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75" windowWidth="18195" windowHeight="11820" tabRatio="868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AVAILABILITY'!$A$17:$J$1149</definedName>
    <definedName name="_xlnm.Print_Area" localSheetId="2">'RAP-HEAVY &amp; LIGHT OIL &amp; WTI'!$A$17:$E$1149</definedName>
    <definedName name="_xlnm.Print_Area" localSheetId="0">'RAP-NATURAL GAS PRICES'!$A$16:$S$1147</definedName>
    <definedName name="_xlnm.Print_Area" localSheetId="3">'RAP-SOLID FUEL PRICES'!$A$16:$O$1147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PRICES'!$1:$15</definedName>
    <definedName name="_xlnm.Print_Titles" localSheetId="3">'RAP-SOLID FUEL PRICES'!$1:$15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2" i="4" l="1"/>
  <c r="E12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B109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B114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B125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B126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B156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B160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B163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B164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B167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B176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B177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B178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84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B185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B187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B188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B189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B190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B191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B192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B193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B194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B195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B196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B197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B198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B199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B200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B201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B202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B203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B204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B205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B206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B207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B208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B209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B210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B211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B212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B213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B214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B215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B216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B217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B218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B219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B220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B221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B222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B223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B224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B225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B226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B227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B228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B229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B230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B231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B232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B233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B234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B235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B236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B237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B238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B239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B240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B241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B242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B243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B244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B245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B246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B247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B248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B249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B250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B251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B252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B253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B254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B255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B256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B257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B258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B259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B260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B261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B262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B263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B264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B265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B266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B267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B268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B269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B270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B271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B272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B273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B274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B275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B276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B277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B278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B279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B280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B281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B282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O282" i="4"/>
  <c r="B283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B284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B285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B286" i="4"/>
  <c r="C286" i="4"/>
  <c r="D286" i="4"/>
  <c r="E286" i="4"/>
  <c r="F286" i="4"/>
  <c r="G286" i="4"/>
  <c r="H286" i="4"/>
  <c r="I286" i="4"/>
  <c r="J286" i="4"/>
  <c r="K286" i="4"/>
  <c r="L286" i="4"/>
  <c r="M286" i="4"/>
  <c r="N286" i="4"/>
  <c r="O286" i="4"/>
  <c r="B287" i="4"/>
  <c r="C287" i="4"/>
  <c r="D287" i="4"/>
  <c r="E287" i="4"/>
  <c r="F287" i="4"/>
  <c r="G287" i="4"/>
  <c r="H287" i="4"/>
  <c r="I287" i="4"/>
  <c r="J287" i="4"/>
  <c r="K287" i="4"/>
  <c r="L287" i="4"/>
  <c r="M287" i="4"/>
  <c r="N287" i="4"/>
  <c r="O287" i="4"/>
  <c r="B288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B289" i="4"/>
  <c r="C289" i="4"/>
  <c r="D289" i="4"/>
  <c r="E289" i="4"/>
  <c r="F289" i="4"/>
  <c r="G289" i="4"/>
  <c r="H289" i="4"/>
  <c r="I289" i="4"/>
  <c r="J289" i="4"/>
  <c r="K289" i="4"/>
  <c r="L289" i="4"/>
  <c r="M289" i="4"/>
  <c r="N289" i="4"/>
  <c r="O289" i="4"/>
  <c r="B290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B291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O291" i="4"/>
  <c r="B292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O292" i="4"/>
  <c r="B293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O293" i="4"/>
  <c r="B294" i="4"/>
  <c r="C294" i="4"/>
  <c r="D294" i="4"/>
  <c r="E294" i="4"/>
  <c r="F294" i="4"/>
  <c r="G294" i="4"/>
  <c r="H294" i="4"/>
  <c r="I294" i="4"/>
  <c r="J294" i="4"/>
  <c r="K294" i="4"/>
  <c r="L294" i="4"/>
  <c r="M294" i="4"/>
  <c r="N294" i="4"/>
  <c r="O294" i="4"/>
  <c r="B295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O295" i="4"/>
  <c r="B296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O296" i="4"/>
  <c r="B297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O297" i="4"/>
  <c r="B298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O298" i="4"/>
  <c r="B299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O299" i="4"/>
  <c r="B300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O300" i="4"/>
  <c r="B301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O301" i="4"/>
  <c r="B302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O302" i="4"/>
  <c r="B303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O303" i="4"/>
  <c r="B304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O304" i="4"/>
  <c r="B305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B306" i="4"/>
  <c r="C306" i="4"/>
  <c r="D306" i="4"/>
  <c r="E306" i="4"/>
  <c r="F306" i="4"/>
  <c r="G306" i="4"/>
  <c r="H306" i="4"/>
  <c r="I306" i="4"/>
  <c r="J306" i="4"/>
  <c r="K306" i="4"/>
  <c r="L306" i="4"/>
  <c r="M306" i="4"/>
  <c r="N306" i="4"/>
  <c r="O306" i="4"/>
  <c r="B307" i="4"/>
  <c r="C307" i="4"/>
  <c r="D307" i="4"/>
  <c r="E307" i="4"/>
  <c r="F307" i="4"/>
  <c r="G307" i="4"/>
  <c r="H307" i="4"/>
  <c r="I307" i="4"/>
  <c r="J307" i="4"/>
  <c r="K307" i="4"/>
  <c r="L307" i="4"/>
  <c r="M307" i="4"/>
  <c r="N307" i="4"/>
  <c r="O307" i="4"/>
  <c r="B308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O308" i="4"/>
  <c r="B309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O309" i="4"/>
  <c r="B310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O310" i="4"/>
  <c r="B311" i="4"/>
  <c r="C311" i="4"/>
  <c r="D311" i="4"/>
  <c r="E311" i="4"/>
  <c r="F311" i="4"/>
  <c r="G311" i="4"/>
  <c r="H311" i="4"/>
  <c r="I311" i="4"/>
  <c r="J311" i="4"/>
  <c r="K311" i="4"/>
  <c r="L311" i="4"/>
  <c r="M311" i="4"/>
  <c r="N311" i="4"/>
  <c r="O311" i="4"/>
  <c r="B312" i="4"/>
  <c r="C312" i="4"/>
  <c r="D312" i="4"/>
  <c r="E312" i="4"/>
  <c r="F312" i="4"/>
  <c r="G312" i="4"/>
  <c r="H312" i="4"/>
  <c r="I312" i="4"/>
  <c r="J312" i="4"/>
  <c r="K312" i="4"/>
  <c r="L312" i="4"/>
  <c r="M312" i="4"/>
  <c r="N312" i="4"/>
  <c r="O312" i="4"/>
  <c r="B313" i="4"/>
  <c r="C313" i="4"/>
  <c r="D313" i="4"/>
  <c r="E313" i="4"/>
  <c r="F313" i="4"/>
  <c r="G313" i="4"/>
  <c r="H313" i="4"/>
  <c r="I313" i="4"/>
  <c r="J313" i="4"/>
  <c r="K313" i="4"/>
  <c r="L313" i="4"/>
  <c r="M313" i="4"/>
  <c r="N313" i="4"/>
  <c r="O313" i="4"/>
  <c r="B314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O314" i="4"/>
  <c r="B315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O315" i="4"/>
  <c r="B316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O316" i="4"/>
  <c r="B317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O317" i="4"/>
  <c r="B318" i="4"/>
  <c r="C318" i="4"/>
  <c r="D318" i="4"/>
  <c r="E318" i="4"/>
  <c r="F318" i="4"/>
  <c r="G318" i="4"/>
  <c r="H318" i="4"/>
  <c r="I318" i="4"/>
  <c r="J318" i="4"/>
  <c r="K318" i="4"/>
  <c r="L318" i="4"/>
  <c r="M318" i="4"/>
  <c r="N318" i="4"/>
  <c r="O318" i="4"/>
  <c r="B319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O319" i="4"/>
  <c r="B320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O320" i="4"/>
  <c r="B321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O321" i="4"/>
  <c r="B322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O322" i="4"/>
  <c r="B323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O323" i="4"/>
  <c r="B324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O324" i="4"/>
  <c r="B325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B326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B327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B328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B329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B330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B331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B332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B333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O333" i="4"/>
  <c r="B334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B335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B336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B337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B338" i="4"/>
  <c r="C338" i="4"/>
  <c r="D338" i="4"/>
  <c r="E338" i="4"/>
  <c r="F338" i="4"/>
  <c r="G338" i="4"/>
  <c r="H338" i="4"/>
  <c r="I338" i="4"/>
  <c r="J338" i="4"/>
  <c r="K338" i="4"/>
  <c r="L338" i="4"/>
  <c r="M338" i="4"/>
  <c r="N338" i="4"/>
  <c r="O338" i="4"/>
  <c r="B339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B340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B341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B342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B343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O343" i="4"/>
  <c r="B344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B345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B346" i="4"/>
  <c r="C346" i="4"/>
  <c r="D346" i="4"/>
  <c r="E346" i="4"/>
  <c r="F346" i="4"/>
  <c r="G346" i="4"/>
  <c r="H346" i="4"/>
  <c r="I346" i="4"/>
  <c r="J346" i="4"/>
  <c r="K346" i="4"/>
  <c r="L346" i="4"/>
  <c r="M346" i="4"/>
  <c r="N346" i="4"/>
  <c r="O346" i="4"/>
  <c r="B347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B348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B349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B350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O350" i="4"/>
  <c r="B351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B352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B353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B354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B355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B356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B357" i="4"/>
  <c r="C357" i="4"/>
  <c r="D357" i="4"/>
  <c r="E357" i="4"/>
  <c r="F357" i="4"/>
  <c r="G357" i="4"/>
  <c r="H357" i="4"/>
  <c r="I357" i="4"/>
  <c r="J357" i="4"/>
  <c r="K357" i="4"/>
  <c r="L357" i="4"/>
  <c r="M357" i="4"/>
  <c r="N357" i="4"/>
  <c r="O357" i="4"/>
  <c r="B358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B359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B360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B361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B362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B363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B364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B365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B366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B367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B368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B369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B370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B371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B372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O372" i="4"/>
  <c r="B373" i="4"/>
  <c r="C373" i="4"/>
  <c r="D373" i="4"/>
  <c r="E373" i="4"/>
  <c r="F373" i="4"/>
  <c r="G373" i="4"/>
  <c r="H373" i="4"/>
  <c r="I373" i="4"/>
  <c r="J373" i="4"/>
  <c r="K373" i="4"/>
  <c r="L373" i="4"/>
  <c r="M373" i="4"/>
  <c r="N373" i="4"/>
  <c r="O373" i="4"/>
  <c r="B374" i="4"/>
  <c r="C374" i="4"/>
  <c r="D374" i="4"/>
  <c r="E374" i="4"/>
  <c r="F374" i="4"/>
  <c r="G374" i="4"/>
  <c r="H374" i="4"/>
  <c r="I374" i="4"/>
  <c r="J374" i="4"/>
  <c r="K374" i="4"/>
  <c r="L374" i="4"/>
  <c r="M374" i="4"/>
  <c r="N374" i="4"/>
  <c r="O374" i="4"/>
  <c r="B375" i="4"/>
  <c r="C375" i="4"/>
  <c r="D375" i="4"/>
  <c r="E375" i="4"/>
  <c r="F375" i="4"/>
  <c r="G375" i="4"/>
  <c r="H375" i="4"/>
  <c r="I375" i="4"/>
  <c r="J375" i="4"/>
  <c r="K375" i="4"/>
  <c r="L375" i="4"/>
  <c r="M375" i="4"/>
  <c r="N375" i="4"/>
  <c r="O375" i="4"/>
  <c r="B376" i="4"/>
  <c r="C376" i="4"/>
  <c r="D376" i="4"/>
  <c r="E376" i="4"/>
  <c r="F376" i="4"/>
  <c r="G376" i="4"/>
  <c r="H376" i="4"/>
  <c r="I376" i="4"/>
  <c r="J376" i="4"/>
  <c r="K376" i="4"/>
  <c r="L376" i="4"/>
  <c r="M376" i="4"/>
  <c r="N376" i="4"/>
  <c r="O376" i="4"/>
  <c r="B377" i="4"/>
  <c r="C377" i="4"/>
  <c r="D377" i="4"/>
  <c r="E377" i="4"/>
  <c r="E1091" i="4" s="1"/>
  <c r="F377" i="4"/>
  <c r="G377" i="4"/>
  <c r="H377" i="4"/>
  <c r="I377" i="4"/>
  <c r="J377" i="4"/>
  <c r="K377" i="4"/>
  <c r="L377" i="4"/>
  <c r="M377" i="4"/>
  <c r="N377" i="4"/>
  <c r="O377" i="4"/>
  <c r="B378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B379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B380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B381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B382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B383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B384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B385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B386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B387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B388" i="4"/>
  <c r="C388" i="4"/>
  <c r="D388" i="4"/>
  <c r="E388" i="4"/>
  <c r="F388" i="4"/>
  <c r="G388" i="4"/>
  <c r="H388" i="4"/>
  <c r="I388" i="4"/>
  <c r="J388" i="4"/>
  <c r="K388" i="4"/>
  <c r="L388" i="4"/>
  <c r="M388" i="4"/>
  <c r="N388" i="4"/>
  <c r="O388" i="4"/>
  <c r="B389" i="4"/>
  <c r="C389" i="4"/>
  <c r="D389" i="4"/>
  <c r="E389" i="4"/>
  <c r="F389" i="4"/>
  <c r="G389" i="4"/>
  <c r="H389" i="4"/>
  <c r="I389" i="4"/>
  <c r="J389" i="4"/>
  <c r="K389" i="4"/>
  <c r="L389" i="4"/>
  <c r="M389" i="4"/>
  <c r="N389" i="4"/>
  <c r="O389" i="4"/>
  <c r="B390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B391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B392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B393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B394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B395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B396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B397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B398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B399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B400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B401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O401" i="4"/>
  <c r="B402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B403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B404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O404" i="4"/>
  <c r="B405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O405" i="4"/>
  <c r="B406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O406" i="4"/>
  <c r="B407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O407" i="4"/>
  <c r="B408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O408" i="4"/>
  <c r="B409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O409" i="4"/>
  <c r="B410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O410" i="4"/>
  <c r="B411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O411" i="4"/>
  <c r="B412" i="4"/>
  <c r="C412" i="4"/>
  <c r="C1094" i="4" s="1"/>
  <c r="D412" i="4"/>
  <c r="E412" i="4"/>
  <c r="F412" i="4"/>
  <c r="G412" i="4"/>
  <c r="H412" i="4"/>
  <c r="I412" i="4"/>
  <c r="J412" i="4"/>
  <c r="K412" i="4"/>
  <c r="L412" i="4"/>
  <c r="M412" i="4"/>
  <c r="N412" i="4"/>
  <c r="O412" i="4"/>
  <c r="B413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O413" i="4"/>
  <c r="B414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O414" i="4"/>
  <c r="B415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O415" i="4"/>
  <c r="B416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O416" i="4"/>
  <c r="B417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O417" i="4"/>
  <c r="B418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O418" i="4"/>
  <c r="B419" i="4"/>
  <c r="C419" i="4"/>
  <c r="D419" i="4"/>
  <c r="E419" i="4"/>
  <c r="F419" i="4"/>
  <c r="G419" i="4"/>
  <c r="H419" i="4"/>
  <c r="I419" i="4"/>
  <c r="J419" i="4"/>
  <c r="K419" i="4"/>
  <c r="L419" i="4"/>
  <c r="M419" i="4"/>
  <c r="N419" i="4"/>
  <c r="O419" i="4"/>
  <c r="B420" i="4"/>
  <c r="C420" i="4"/>
  <c r="D420" i="4"/>
  <c r="E420" i="4"/>
  <c r="F420" i="4"/>
  <c r="G420" i="4"/>
  <c r="H420" i="4"/>
  <c r="I420" i="4"/>
  <c r="J420" i="4"/>
  <c r="K420" i="4"/>
  <c r="L420" i="4"/>
  <c r="M420" i="4"/>
  <c r="N420" i="4"/>
  <c r="O420" i="4"/>
  <c r="B421" i="4"/>
  <c r="C421" i="4"/>
  <c r="D421" i="4"/>
  <c r="E421" i="4"/>
  <c r="F421" i="4"/>
  <c r="G421" i="4"/>
  <c r="H421" i="4"/>
  <c r="I421" i="4"/>
  <c r="J421" i="4"/>
  <c r="K421" i="4"/>
  <c r="L421" i="4"/>
  <c r="M421" i="4"/>
  <c r="N421" i="4"/>
  <c r="O421" i="4"/>
  <c r="B422" i="4"/>
  <c r="C422" i="4"/>
  <c r="D422" i="4"/>
  <c r="E422" i="4"/>
  <c r="F422" i="4"/>
  <c r="G422" i="4"/>
  <c r="H422" i="4"/>
  <c r="I422" i="4"/>
  <c r="J422" i="4"/>
  <c r="K422" i="4"/>
  <c r="L422" i="4"/>
  <c r="M422" i="4"/>
  <c r="N422" i="4"/>
  <c r="O422" i="4"/>
  <c r="B423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O423" i="4"/>
  <c r="B424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O424" i="4"/>
  <c r="B425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O425" i="4"/>
  <c r="B426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O426" i="4"/>
  <c r="B427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O427" i="4"/>
  <c r="B428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O428" i="4"/>
  <c r="B429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O429" i="4"/>
  <c r="B430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O430" i="4"/>
  <c r="B431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O431" i="4"/>
  <c r="B432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O432" i="4"/>
  <c r="B433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O433" i="4"/>
  <c r="B434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O434" i="4"/>
  <c r="B435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O435" i="4"/>
  <c r="B436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O436" i="4"/>
  <c r="B437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O437" i="4"/>
  <c r="B438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O438" i="4"/>
  <c r="B439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O439" i="4"/>
  <c r="B440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O440" i="4"/>
  <c r="B441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O441" i="4"/>
  <c r="B442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O442" i="4"/>
  <c r="B443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O443" i="4"/>
  <c r="B444" i="4"/>
  <c r="C444" i="4"/>
  <c r="D444" i="4"/>
  <c r="E444" i="4"/>
  <c r="F444" i="4"/>
  <c r="G444" i="4"/>
  <c r="H444" i="4"/>
  <c r="I444" i="4"/>
  <c r="J444" i="4"/>
  <c r="K444" i="4"/>
  <c r="L444" i="4"/>
  <c r="M444" i="4"/>
  <c r="N444" i="4"/>
  <c r="O444" i="4"/>
  <c r="B445" i="4"/>
  <c r="C445" i="4"/>
  <c r="D445" i="4"/>
  <c r="E445" i="4"/>
  <c r="F445" i="4"/>
  <c r="G445" i="4"/>
  <c r="H445" i="4"/>
  <c r="I445" i="4"/>
  <c r="J445" i="4"/>
  <c r="K445" i="4"/>
  <c r="L445" i="4"/>
  <c r="M445" i="4"/>
  <c r="N445" i="4"/>
  <c r="O445" i="4"/>
  <c r="B446" i="4"/>
  <c r="C446" i="4"/>
  <c r="D446" i="4"/>
  <c r="E446" i="4"/>
  <c r="F446" i="4"/>
  <c r="G446" i="4"/>
  <c r="H446" i="4"/>
  <c r="I446" i="4"/>
  <c r="J446" i="4"/>
  <c r="K446" i="4"/>
  <c r="L446" i="4"/>
  <c r="M446" i="4"/>
  <c r="N446" i="4"/>
  <c r="O446" i="4"/>
  <c r="B447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O447" i="4"/>
  <c r="B448" i="4"/>
  <c r="C448" i="4"/>
  <c r="D448" i="4"/>
  <c r="E448" i="4"/>
  <c r="F448" i="4"/>
  <c r="G448" i="4"/>
  <c r="H448" i="4"/>
  <c r="I448" i="4"/>
  <c r="J448" i="4"/>
  <c r="K448" i="4"/>
  <c r="L448" i="4"/>
  <c r="M448" i="4"/>
  <c r="N448" i="4"/>
  <c r="O448" i="4"/>
  <c r="B449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O449" i="4"/>
  <c r="B450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O450" i="4"/>
  <c r="B451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O451" i="4"/>
  <c r="B452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O452" i="4"/>
  <c r="B453" i="4"/>
  <c r="C453" i="4"/>
  <c r="D453" i="4"/>
  <c r="E453" i="4"/>
  <c r="F453" i="4"/>
  <c r="G453" i="4"/>
  <c r="H453" i="4"/>
  <c r="I453" i="4"/>
  <c r="J453" i="4"/>
  <c r="K453" i="4"/>
  <c r="L453" i="4"/>
  <c r="M453" i="4"/>
  <c r="N453" i="4"/>
  <c r="O453" i="4"/>
  <c r="B454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O454" i="4"/>
  <c r="B455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O455" i="4"/>
  <c r="B456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O456" i="4"/>
  <c r="B457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O457" i="4"/>
  <c r="B458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O458" i="4"/>
  <c r="B459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O459" i="4"/>
  <c r="B460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O460" i="4"/>
  <c r="B461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O461" i="4"/>
  <c r="B462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O462" i="4"/>
  <c r="B463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O463" i="4"/>
  <c r="B464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O464" i="4"/>
  <c r="B465" i="4"/>
  <c r="C465" i="4"/>
  <c r="D465" i="4"/>
  <c r="E465" i="4"/>
  <c r="F465" i="4"/>
  <c r="G465" i="4"/>
  <c r="H465" i="4"/>
  <c r="I465" i="4"/>
  <c r="J465" i="4"/>
  <c r="K465" i="4"/>
  <c r="L465" i="4"/>
  <c r="M465" i="4"/>
  <c r="N465" i="4"/>
  <c r="O465" i="4"/>
  <c r="B466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O466" i="4"/>
  <c r="B467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O467" i="4"/>
  <c r="B468" i="4"/>
  <c r="C468" i="4"/>
  <c r="D468" i="4"/>
  <c r="E468" i="4"/>
  <c r="F468" i="4"/>
  <c r="G468" i="4"/>
  <c r="H468" i="4"/>
  <c r="I468" i="4"/>
  <c r="J468" i="4"/>
  <c r="K468" i="4"/>
  <c r="L468" i="4"/>
  <c r="M468" i="4"/>
  <c r="N468" i="4"/>
  <c r="O468" i="4"/>
  <c r="B469" i="4"/>
  <c r="C469" i="4"/>
  <c r="D469" i="4"/>
  <c r="E469" i="4"/>
  <c r="F469" i="4"/>
  <c r="G469" i="4"/>
  <c r="H469" i="4"/>
  <c r="I469" i="4"/>
  <c r="J469" i="4"/>
  <c r="K469" i="4"/>
  <c r="L469" i="4"/>
  <c r="M469" i="4"/>
  <c r="N469" i="4"/>
  <c r="O469" i="4"/>
  <c r="B470" i="4"/>
  <c r="C470" i="4"/>
  <c r="D470" i="4"/>
  <c r="E470" i="4"/>
  <c r="F470" i="4"/>
  <c r="G470" i="4"/>
  <c r="H470" i="4"/>
  <c r="I470" i="4"/>
  <c r="J470" i="4"/>
  <c r="K470" i="4"/>
  <c r="L470" i="4"/>
  <c r="M470" i="4"/>
  <c r="N470" i="4"/>
  <c r="O470" i="4"/>
  <c r="B471" i="4"/>
  <c r="C471" i="4"/>
  <c r="D471" i="4"/>
  <c r="E471" i="4"/>
  <c r="F471" i="4"/>
  <c r="G471" i="4"/>
  <c r="H471" i="4"/>
  <c r="I471" i="4"/>
  <c r="J471" i="4"/>
  <c r="K471" i="4"/>
  <c r="L471" i="4"/>
  <c r="M471" i="4"/>
  <c r="N471" i="4"/>
  <c r="O471" i="4"/>
  <c r="B472" i="4"/>
  <c r="C472" i="4"/>
  <c r="D472" i="4"/>
  <c r="E472" i="4"/>
  <c r="F472" i="4"/>
  <c r="G472" i="4"/>
  <c r="H472" i="4"/>
  <c r="I472" i="4"/>
  <c r="J472" i="4"/>
  <c r="K472" i="4"/>
  <c r="L472" i="4"/>
  <c r="M472" i="4"/>
  <c r="N472" i="4"/>
  <c r="O472" i="4"/>
  <c r="B473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O473" i="4"/>
  <c r="B474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O474" i="4"/>
  <c r="B475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O475" i="4"/>
  <c r="B476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O476" i="4"/>
  <c r="B477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O477" i="4"/>
  <c r="B478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O478" i="4"/>
  <c r="B479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O479" i="4"/>
  <c r="B480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O480" i="4"/>
  <c r="B481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O481" i="4"/>
  <c r="B482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O482" i="4"/>
  <c r="B483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O483" i="4"/>
  <c r="B484" i="4"/>
  <c r="C484" i="4"/>
  <c r="D484" i="4"/>
  <c r="E484" i="4"/>
  <c r="F484" i="4"/>
  <c r="G484" i="4"/>
  <c r="H484" i="4"/>
  <c r="I484" i="4"/>
  <c r="J484" i="4"/>
  <c r="K484" i="4"/>
  <c r="L484" i="4"/>
  <c r="M484" i="4"/>
  <c r="N484" i="4"/>
  <c r="O484" i="4"/>
  <c r="B485" i="4"/>
  <c r="C485" i="4"/>
  <c r="D485" i="4"/>
  <c r="E485" i="4"/>
  <c r="F485" i="4"/>
  <c r="G485" i="4"/>
  <c r="H485" i="4"/>
  <c r="I485" i="4"/>
  <c r="J485" i="4"/>
  <c r="K485" i="4"/>
  <c r="L485" i="4"/>
  <c r="M485" i="4"/>
  <c r="N485" i="4"/>
  <c r="O485" i="4"/>
  <c r="B486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O486" i="4"/>
  <c r="B487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O487" i="4"/>
  <c r="B488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O488" i="4"/>
  <c r="B489" i="4"/>
  <c r="C489" i="4"/>
  <c r="D489" i="4"/>
  <c r="E489" i="4"/>
  <c r="F489" i="4"/>
  <c r="G489" i="4"/>
  <c r="H489" i="4"/>
  <c r="I489" i="4"/>
  <c r="J489" i="4"/>
  <c r="K489" i="4"/>
  <c r="L489" i="4"/>
  <c r="M489" i="4"/>
  <c r="N489" i="4"/>
  <c r="O489" i="4"/>
  <c r="B490" i="4"/>
  <c r="C490" i="4"/>
  <c r="D490" i="4"/>
  <c r="E490" i="4"/>
  <c r="F490" i="4"/>
  <c r="G490" i="4"/>
  <c r="H490" i="4"/>
  <c r="I490" i="4"/>
  <c r="J490" i="4"/>
  <c r="K490" i="4"/>
  <c r="L490" i="4"/>
  <c r="M490" i="4"/>
  <c r="N490" i="4"/>
  <c r="O490" i="4"/>
  <c r="B491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O491" i="4"/>
  <c r="B492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B493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B494" i="4"/>
  <c r="C494" i="4"/>
  <c r="D494" i="4"/>
  <c r="E494" i="4"/>
  <c r="F494" i="4"/>
  <c r="G494" i="4"/>
  <c r="H494" i="4"/>
  <c r="I494" i="4"/>
  <c r="J494" i="4"/>
  <c r="K494" i="4"/>
  <c r="L494" i="4"/>
  <c r="M494" i="4"/>
  <c r="N494" i="4"/>
  <c r="O494" i="4"/>
  <c r="B495" i="4"/>
  <c r="C495" i="4"/>
  <c r="D495" i="4"/>
  <c r="E495" i="4"/>
  <c r="F495" i="4"/>
  <c r="G495" i="4"/>
  <c r="H495" i="4"/>
  <c r="I495" i="4"/>
  <c r="J495" i="4"/>
  <c r="K495" i="4"/>
  <c r="L495" i="4"/>
  <c r="M495" i="4"/>
  <c r="N495" i="4"/>
  <c r="O495" i="4"/>
  <c r="B496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O496" i="4"/>
  <c r="B497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O497" i="4"/>
  <c r="B498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O498" i="4"/>
  <c r="B499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O499" i="4"/>
  <c r="B500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O500" i="4"/>
  <c r="B501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O501" i="4"/>
  <c r="B502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O502" i="4"/>
  <c r="B503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O503" i="4"/>
  <c r="B504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O504" i="4"/>
  <c r="B505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O505" i="4"/>
  <c r="B506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O506" i="4"/>
  <c r="B507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O507" i="4"/>
  <c r="B508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O508" i="4"/>
  <c r="B509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O509" i="4"/>
  <c r="B510" i="4"/>
  <c r="C510" i="4"/>
  <c r="D510" i="4"/>
  <c r="E510" i="4"/>
  <c r="F510" i="4"/>
  <c r="G510" i="4"/>
  <c r="H510" i="4"/>
  <c r="I510" i="4"/>
  <c r="J510" i="4"/>
  <c r="K510" i="4"/>
  <c r="L510" i="4"/>
  <c r="M510" i="4"/>
  <c r="N510" i="4"/>
  <c r="O510" i="4"/>
  <c r="B511" i="4"/>
  <c r="C511" i="4"/>
  <c r="D511" i="4"/>
  <c r="E511" i="4"/>
  <c r="F511" i="4"/>
  <c r="G511" i="4"/>
  <c r="H511" i="4"/>
  <c r="I511" i="4"/>
  <c r="J511" i="4"/>
  <c r="K511" i="4"/>
  <c r="L511" i="4"/>
  <c r="M511" i="4"/>
  <c r="N511" i="4"/>
  <c r="O511" i="4"/>
  <c r="B512" i="4"/>
  <c r="C512" i="4"/>
  <c r="D512" i="4"/>
  <c r="E512" i="4"/>
  <c r="F512" i="4"/>
  <c r="G512" i="4"/>
  <c r="H512" i="4"/>
  <c r="I512" i="4"/>
  <c r="J512" i="4"/>
  <c r="K512" i="4"/>
  <c r="L512" i="4"/>
  <c r="M512" i="4"/>
  <c r="N512" i="4"/>
  <c r="O512" i="4"/>
  <c r="B513" i="4"/>
  <c r="C513" i="4"/>
  <c r="D513" i="4"/>
  <c r="E513" i="4"/>
  <c r="F513" i="4"/>
  <c r="G513" i="4"/>
  <c r="H513" i="4"/>
  <c r="I513" i="4"/>
  <c r="J513" i="4"/>
  <c r="K513" i="4"/>
  <c r="L513" i="4"/>
  <c r="M513" i="4"/>
  <c r="N513" i="4"/>
  <c r="O513" i="4"/>
  <c r="B514" i="4"/>
  <c r="C514" i="4"/>
  <c r="D514" i="4"/>
  <c r="E514" i="4"/>
  <c r="F514" i="4"/>
  <c r="G514" i="4"/>
  <c r="H514" i="4"/>
  <c r="I514" i="4"/>
  <c r="J514" i="4"/>
  <c r="K514" i="4"/>
  <c r="L514" i="4"/>
  <c r="M514" i="4"/>
  <c r="N514" i="4"/>
  <c r="O514" i="4"/>
  <c r="B515" i="4"/>
  <c r="C515" i="4"/>
  <c r="D515" i="4"/>
  <c r="E515" i="4"/>
  <c r="F515" i="4"/>
  <c r="G515" i="4"/>
  <c r="H515" i="4"/>
  <c r="I515" i="4"/>
  <c r="J515" i="4"/>
  <c r="K515" i="4"/>
  <c r="L515" i="4"/>
  <c r="M515" i="4"/>
  <c r="N515" i="4"/>
  <c r="O515" i="4"/>
  <c r="B516" i="4"/>
  <c r="C516" i="4"/>
  <c r="D516" i="4"/>
  <c r="E516" i="4"/>
  <c r="F516" i="4"/>
  <c r="G516" i="4"/>
  <c r="H516" i="4"/>
  <c r="I516" i="4"/>
  <c r="J516" i="4"/>
  <c r="K516" i="4"/>
  <c r="L516" i="4"/>
  <c r="M516" i="4"/>
  <c r="N516" i="4"/>
  <c r="O516" i="4"/>
  <c r="B517" i="4"/>
  <c r="C517" i="4"/>
  <c r="D517" i="4"/>
  <c r="E517" i="4"/>
  <c r="F517" i="4"/>
  <c r="G517" i="4"/>
  <c r="H517" i="4"/>
  <c r="I517" i="4"/>
  <c r="J517" i="4"/>
  <c r="K517" i="4"/>
  <c r="L517" i="4"/>
  <c r="M517" i="4"/>
  <c r="N517" i="4"/>
  <c r="O517" i="4"/>
  <c r="B518" i="4"/>
  <c r="C518" i="4"/>
  <c r="D518" i="4"/>
  <c r="E518" i="4"/>
  <c r="F518" i="4"/>
  <c r="G518" i="4"/>
  <c r="H518" i="4"/>
  <c r="I518" i="4"/>
  <c r="J518" i="4"/>
  <c r="K518" i="4"/>
  <c r="L518" i="4"/>
  <c r="M518" i="4"/>
  <c r="N518" i="4"/>
  <c r="O518" i="4"/>
  <c r="B519" i="4"/>
  <c r="C519" i="4"/>
  <c r="D519" i="4"/>
  <c r="E519" i="4"/>
  <c r="F519" i="4"/>
  <c r="G519" i="4"/>
  <c r="H519" i="4"/>
  <c r="I519" i="4"/>
  <c r="J519" i="4"/>
  <c r="K519" i="4"/>
  <c r="L519" i="4"/>
  <c r="M519" i="4"/>
  <c r="N519" i="4"/>
  <c r="O519" i="4"/>
  <c r="B520" i="4"/>
  <c r="C520" i="4"/>
  <c r="D520" i="4"/>
  <c r="E520" i="4"/>
  <c r="F520" i="4"/>
  <c r="G520" i="4"/>
  <c r="H520" i="4"/>
  <c r="I520" i="4"/>
  <c r="J520" i="4"/>
  <c r="K520" i="4"/>
  <c r="L520" i="4"/>
  <c r="M520" i="4"/>
  <c r="N520" i="4"/>
  <c r="O520" i="4"/>
  <c r="B521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O521" i="4"/>
  <c r="B522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O522" i="4"/>
  <c r="B523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O523" i="4"/>
  <c r="B524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O524" i="4"/>
  <c r="B525" i="4"/>
  <c r="C525" i="4"/>
  <c r="D525" i="4"/>
  <c r="E525" i="4"/>
  <c r="F525" i="4"/>
  <c r="G525" i="4"/>
  <c r="H525" i="4"/>
  <c r="I525" i="4"/>
  <c r="J525" i="4"/>
  <c r="K525" i="4"/>
  <c r="L525" i="4"/>
  <c r="M525" i="4"/>
  <c r="N525" i="4"/>
  <c r="O525" i="4"/>
  <c r="B526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O526" i="4"/>
  <c r="B527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O527" i="4"/>
  <c r="B528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O528" i="4"/>
  <c r="B529" i="4"/>
  <c r="C529" i="4"/>
  <c r="D529" i="4"/>
  <c r="E529" i="4"/>
  <c r="F529" i="4"/>
  <c r="G529" i="4"/>
  <c r="H529" i="4"/>
  <c r="I529" i="4"/>
  <c r="J529" i="4"/>
  <c r="K529" i="4"/>
  <c r="L529" i="4"/>
  <c r="M529" i="4"/>
  <c r="N529" i="4"/>
  <c r="O529" i="4"/>
  <c r="B530" i="4"/>
  <c r="C530" i="4"/>
  <c r="D530" i="4"/>
  <c r="E530" i="4"/>
  <c r="F530" i="4"/>
  <c r="G530" i="4"/>
  <c r="H530" i="4"/>
  <c r="I530" i="4"/>
  <c r="J530" i="4"/>
  <c r="K530" i="4"/>
  <c r="L530" i="4"/>
  <c r="M530" i="4"/>
  <c r="N530" i="4"/>
  <c r="O530" i="4"/>
  <c r="B531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O531" i="4"/>
  <c r="B532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O532" i="4"/>
  <c r="B533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O533" i="4"/>
  <c r="B534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O534" i="4"/>
  <c r="B535" i="4"/>
  <c r="C535" i="4"/>
  <c r="D535" i="4"/>
  <c r="E535" i="4"/>
  <c r="F535" i="4"/>
  <c r="G535" i="4"/>
  <c r="H535" i="4"/>
  <c r="I535" i="4"/>
  <c r="J535" i="4"/>
  <c r="K535" i="4"/>
  <c r="L535" i="4"/>
  <c r="M535" i="4"/>
  <c r="N535" i="4"/>
  <c r="O535" i="4"/>
  <c r="B536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O536" i="4"/>
  <c r="B537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O537" i="4"/>
  <c r="B538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O538" i="4"/>
  <c r="B539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O539" i="4"/>
  <c r="B540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O540" i="4"/>
  <c r="B541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O541" i="4"/>
  <c r="B542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O542" i="4"/>
  <c r="B543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O543" i="4"/>
  <c r="B544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O544" i="4"/>
  <c r="B545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O545" i="4"/>
  <c r="B546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O546" i="4"/>
  <c r="B547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O547" i="4"/>
  <c r="B548" i="4"/>
  <c r="C548" i="4"/>
  <c r="D548" i="4"/>
  <c r="E548" i="4"/>
  <c r="F548" i="4"/>
  <c r="G548" i="4"/>
  <c r="H548" i="4"/>
  <c r="I548" i="4"/>
  <c r="J548" i="4"/>
  <c r="K548" i="4"/>
  <c r="L548" i="4"/>
  <c r="M548" i="4"/>
  <c r="N548" i="4"/>
  <c r="O548" i="4"/>
  <c r="B549" i="4"/>
  <c r="C549" i="4"/>
  <c r="D549" i="4"/>
  <c r="E549" i="4"/>
  <c r="F549" i="4"/>
  <c r="G549" i="4"/>
  <c r="H549" i="4"/>
  <c r="I549" i="4"/>
  <c r="J549" i="4"/>
  <c r="K549" i="4"/>
  <c r="L549" i="4"/>
  <c r="M549" i="4"/>
  <c r="N549" i="4"/>
  <c r="O549" i="4"/>
  <c r="B550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O550" i="4"/>
  <c r="B551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O551" i="4"/>
  <c r="B552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O552" i="4"/>
  <c r="B553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O553" i="4"/>
  <c r="B554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O554" i="4"/>
  <c r="B555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O555" i="4"/>
  <c r="B556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O556" i="4"/>
  <c r="B557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O557" i="4"/>
  <c r="B558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O558" i="4"/>
  <c r="B559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O559" i="4"/>
  <c r="B560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O560" i="4"/>
  <c r="B561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O561" i="4"/>
  <c r="B562" i="4"/>
  <c r="C562" i="4"/>
  <c r="D562" i="4"/>
  <c r="E562" i="4"/>
  <c r="F562" i="4"/>
  <c r="G562" i="4"/>
  <c r="H562" i="4"/>
  <c r="I562" i="4"/>
  <c r="J562" i="4"/>
  <c r="K562" i="4"/>
  <c r="L562" i="4"/>
  <c r="M562" i="4"/>
  <c r="N562" i="4"/>
  <c r="O562" i="4"/>
  <c r="B563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O563" i="4"/>
  <c r="B564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O564" i="4"/>
  <c r="B565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O565" i="4"/>
  <c r="B566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O566" i="4"/>
  <c r="B567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O567" i="4"/>
  <c r="B568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O568" i="4"/>
  <c r="B569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O569" i="4"/>
  <c r="B570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O570" i="4"/>
  <c r="B571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O571" i="4"/>
  <c r="B572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O572" i="4"/>
  <c r="B573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O573" i="4"/>
  <c r="B574" i="4"/>
  <c r="C574" i="4"/>
  <c r="D574" i="4"/>
  <c r="E574" i="4"/>
  <c r="F574" i="4"/>
  <c r="G574" i="4"/>
  <c r="H574" i="4"/>
  <c r="I574" i="4"/>
  <c r="J574" i="4"/>
  <c r="K574" i="4"/>
  <c r="L574" i="4"/>
  <c r="M574" i="4"/>
  <c r="N574" i="4"/>
  <c r="O574" i="4"/>
  <c r="B575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O575" i="4"/>
  <c r="B576" i="4"/>
  <c r="C576" i="4"/>
  <c r="D576" i="4"/>
  <c r="E576" i="4"/>
  <c r="F576" i="4"/>
  <c r="G576" i="4"/>
  <c r="H576" i="4"/>
  <c r="I576" i="4"/>
  <c r="J576" i="4"/>
  <c r="K576" i="4"/>
  <c r="L576" i="4"/>
  <c r="M576" i="4"/>
  <c r="N576" i="4"/>
  <c r="O576" i="4"/>
  <c r="B577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O577" i="4"/>
  <c r="B578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O578" i="4"/>
  <c r="B579" i="4"/>
  <c r="C579" i="4"/>
  <c r="D579" i="4"/>
  <c r="E579" i="4"/>
  <c r="F579" i="4"/>
  <c r="G579" i="4"/>
  <c r="H579" i="4"/>
  <c r="I579" i="4"/>
  <c r="J579" i="4"/>
  <c r="K579" i="4"/>
  <c r="L579" i="4"/>
  <c r="M579" i="4"/>
  <c r="N579" i="4"/>
  <c r="O579" i="4"/>
  <c r="B580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O580" i="4"/>
  <c r="B581" i="4"/>
  <c r="C581" i="4"/>
  <c r="D581" i="4"/>
  <c r="E581" i="4"/>
  <c r="F581" i="4"/>
  <c r="G581" i="4"/>
  <c r="H581" i="4"/>
  <c r="I581" i="4"/>
  <c r="J581" i="4"/>
  <c r="K581" i="4"/>
  <c r="L581" i="4"/>
  <c r="M581" i="4"/>
  <c r="N581" i="4"/>
  <c r="O581" i="4"/>
  <c r="B582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O582" i="4"/>
  <c r="B583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O583" i="4"/>
  <c r="B584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O584" i="4"/>
  <c r="B585" i="4"/>
  <c r="C585" i="4"/>
  <c r="D585" i="4"/>
  <c r="E585" i="4"/>
  <c r="F585" i="4"/>
  <c r="G585" i="4"/>
  <c r="H585" i="4"/>
  <c r="I585" i="4"/>
  <c r="J585" i="4"/>
  <c r="K585" i="4"/>
  <c r="L585" i="4"/>
  <c r="M585" i="4"/>
  <c r="N585" i="4"/>
  <c r="O585" i="4"/>
  <c r="B586" i="4"/>
  <c r="C586" i="4"/>
  <c r="D586" i="4"/>
  <c r="E586" i="4"/>
  <c r="F586" i="4"/>
  <c r="G586" i="4"/>
  <c r="H586" i="4"/>
  <c r="I586" i="4"/>
  <c r="J586" i="4"/>
  <c r="K586" i="4"/>
  <c r="L586" i="4"/>
  <c r="M586" i="4"/>
  <c r="N586" i="4"/>
  <c r="O586" i="4"/>
  <c r="B587" i="4"/>
  <c r="C587" i="4"/>
  <c r="D587" i="4"/>
  <c r="E587" i="4"/>
  <c r="F587" i="4"/>
  <c r="G587" i="4"/>
  <c r="H587" i="4"/>
  <c r="I587" i="4"/>
  <c r="J587" i="4"/>
  <c r="K587" i="4"/>
  <c r="L587" i="4"/>
  <c r="M587" i="4"/>
  <c r="N587" i="4"/>
  <c r="O587" i="4"/>
  <c r="B588" i="4"/>
  <c r="C588" i="4"/>
  <c r="D588" i="4"/>
  <c r="E588" i="4"/>
  <c r="F588" i="4"/>
  <c r="G588" i="4"/>
  <c r="H588" i="4"/>
  <c r="I588" i="4"/>
  <c r="J588" i="4"/>
  <c r="K588" i="4"/>
  <c r="L588" i="4"/>
  <c r="M588" i="4"/>
  <c r="N588" i="4"/>
  <c r="O588" i="4"/>
  <c r="B589" i="4"/>
  <c r="C589" i="4"/>
  <c r="D589" i="4"/>
  <c r="E589" i="4"/>
  <c r="F589" i="4"/>
  <c r="G589" i="4"/>
  <c r="H589" i="4"/>
  <c r="I589" i="4"/>
  <c r="J589" i="4"/>
  <c r="K589" i="4"/>
  <c r="L589" i="4"/>
  <c r="M589" i="4"/>
  <c r="N589" i="4"/>
  <c r="O589" i="4"/>
  <c r="B590" i="4"/>
  <c r="C590" i="4"/>
  <c r="D590" i="4"/>
  <c r="E590" i="4"/>
  <c r="F590" i="4"/>
  <c r="G590" i="4"/>
  <c r="H590" i="4"/>
  <c r="I590" i="4"/>
  <c r="J590" i="4"/>
  <c r="K590" i="4"/>
  <c r="L590" i="4"/>
  <c r="M590" i="4"/>
  <c r="N590" i="4"/>
  <c r="O590" i="4"/>
  <c r="B591" i="4"/>
  <c r="C591" i="4"/>
  <c r="D591" i="4"/>
  <c r="E591" i="4"/>
  <c r="F591" i="4"/>
  <c r="G591" i="4"/>
  <c r="H591" i="4"/>
  <c r="I591" i="4"/>
  <c r="J591" i="4"/>
  <c r="K591" i="4"/>
  <c r="L591" i="4"/>
  <c r="M591" i="4"/>
  <c r="N591" i="4"/>
  <c r="O591" i="4"/>
  <c r="B592" i="4"/>
  <c r="C592" i="4"/>
  <c r="D592" i="4"/>
  <c r="E592" i="4"/>
  <c r="F592" i="4"/>
  <c r="G592" i="4"/>
  <c r="H592" i="4"/>
  <c r="I592" i="4"/>
  <c r="J592" i="4"/>
  <c r="K592" i="4"/>
  <c r="L592" i="4"/>
  <c r="M592" i="4"/>
  <c r="N592" i="4"/>
  <c r="O592" i="4"/>
  <c r="B593" i="4"/>
  <c r="C593" i="4"/>
  <c r="D593" i="4"/>
  <c r="E593" i="4"/>
  <c r="F593" i="4"/>
  <c r="G593" i="4"/>
  <c r="H593" i="4"/>
  <c r="I593" i="4"/>
  <c r="J593" i="4"/>
  <c r="K593" i="4"/>
  <c r="L593" i="4"/>
  <c r="M593" i="4"/>
  <c r="N593" i="4"/>
  <c r="O593" i="4"/>
  <c r="B594" i="4"/>
  <c r="C594" i="4"/>
  <c r="D594" i="4"/>
  <c r="E594" i="4"/>
  <c r="F594" i="4"/>
  <c r="G594" i="4"/>
  <c r="H594" i="4"/>
  <c r="I594" i="4"/>
  <c r="J594" i="4"/>
  <c r="K594" i="4"/>
  <c r="L594" i="4"/>
  <c r="M594" i="4"/>
  <c r="N594" i="4"/>
  <c r="O594" i="4"/>
  <c r="B595" i="4"/>
  <c r="C595" i="4"/>
  <c r="D595" i="4"/>
  <c r="E595" i="4"/>
  <c r="F595" i="4"/>
  <c r="G595" i="4"/>
  <c r="H595" i="4"/>
  <c r="I595" i="4"/>
  <c r="J595" i="4"/>
  <c r="K595" i="4"/>
  <c r="L595" i="4"/>
  <c r="M595" i="4"/>
  <c r="N595" i="4"/>
  <c r="O595" i="4"/>
  <c r="B596" i="4"/>
  <c r="C596" i="4"/>
  <c r="D596" i="4"/>
  <c r="E596" i="4"/>
  <c r="F596" i="4"/>
  <c r="G596" i="4"/>
  <c r="H596" i="4"/>
  <c r="I596" i="4"/>
  <c r="J596" i="4"/>
  <c r="K596" i="4"/>
  <c r="L596" i="4"/>
  <c r="M596" i="4"/>
  <c r="N596" i="4"/>
  <c r="O596" i="4"/>
  <c r="B597" i="4"/>
  <c r="C597" i="4"/>
  <c r="D597" i="4"/>
  <c r="E597" i="4"/>
  <c r="F597" i="4"/>
  <c r="G597" i="4"/>
  <c r="H597" i="4"/>
  <c r="I597" i="4"/>
  <c r="J597" i="4"/>
  <c r="K597" i="4"/>
  <c r="L597" i="4"/>
  <c r="M597" i="4"/>
  <c r="N597" i="4"/>
  <c r="O597" i="4"/>
  <c r="B598" i="4"/>
  <c r="C598" i="4"/>
  <c r="D598" i="4"/>
  <c r="E598" i="4"/>
  <c r="F598" i="4"/>
  <c r="G598" i="4"/>
  <c r="H598" i="4"/>
  <c r="I598" i="4"/>
  <c r="J598" i="4"/>
  <c r="K598" i="4"/>
  <c r="L598" i="4"/>
  <c r="M598" i="4"/>
  <c r="N598" i="4"/>
  <c r="O598" i="4"/>
  <c r="B599" i="4"/>
  <c r="C599" i="4"/>
  <c r="D599" i="4"/>
  <c r="E599" i="4"/>
  <c r="F599" i="4"/>
  <c r="G599" i="4"/>
  <c r="H599" i="4"/>
  <c r="I599" i="4"/>
  <c r="J599" i="4"/>
  <c r="K599" i="4"/>
  <c r="L599" i="4"/>
  <c r="M599" i="4"/>
  <c r="N599" i="4"/>
  <c r="O599" i="4"/>
  <c r="B600" i="4"/>
  <c r="C600" i="4"/>
  <c r="D600" i="4"/>
  <c r="E600" i="4"/>
  <c r="F600" i="4"/>
  <c r="G600" i="4"/>
  <c r="H600" i="4"/>
  <c r="I600" i="4"/>
  <c r="J600" i="4"/>
  <c r="K600" i="4"/>
  <c r="L600" i="4"/>
  <c r="M600" i="4"/>
  <c r="N600" i="4"/>
  <c r="O600" i="4"/>
  <c r="B601" i="4"/>
  <c r="C601" i="4"/>
  <c r="D601" i="4"/>
  <c r="E601" i="4"/>
  <c r="F601" i="4"/>
  <c r="G601" i="4"/>
  <c r="H601" i="4"/>
  <c r="I601" i="4"/>
  <c r="J601" i="4"/>
  <c r="K601" i="4"/>
  <c r="L601" i="4"/>
  <c r="M601" i="4"/>
  <c r="N601" i="4"/>
  <c r="O601" i="4"/>
  <c r="B602" i="4"/>
  <c r="C602" i="4"/>
  <c r="D602" i="4"/>
  <c r="E602" i="4"/>
  <c r="F602" i="4"/>
  <c r="G602" i="4"/>
  <c r="H602" i="4"/>
  <c r="I602" i="4"/>
  <c r="J602" i="4"/>
  <c r="K602" i="4"/>
  <c r="L602" i="4"/>
  <c r="M602" i="4"/>
  <c r="N602" i="4"/>
  <c r="O602" i="4"/>
  <c r="B603" i="4"/>
  <c r="C603" i="4"/>
  <c r="D603" i="4"/>
  <c r="E603" i="4"/>
  <c r="F603" i="4"/>
  <c r="G603" i="4"/>
  <c r="H603" i="4"/>
  <c r="I603" i="4"/>
  <c r="J603" i="4"/>
  <c r="K603" i="4"/>
  <c r="L603" i="4"/>
  <c r="M603" i="4"/>
  <c r="N603" i="4"/>
  <c r="O603" i="4"/>
  <c r="B604" i="4"/>
  <c r="C604" i="4"/>
  <c r="D604" i="4"/>
  <c r="E604" i="4"/>
  <c r="F604" i="4"/>
  <c r="G604" i="4"/>
  <c r="H604" i="4"/>
  <c r="I604" i="4"/>
  <c r="J604" i="4"/>
  <c r="K604" i="4"/>
  <c r="L604" i="4"/>
  <c r="M604" i="4"/>
  <c r="N604" i="4"/>
  <c r="O604" i="4"/>
  <c r="B605" i="4"/>
  <c r="C605" i="4"/>
  <c r="D605" i="4"/>
  <c r="E605" i="4"/>
  <c r="F605" i="4"/>
  <c r="G605" i="4"/>
  <c r="H605" i="4"/>
  <c r="I605" i="4"/>
  <c r="J605" i="4"/>
  <c r="K605" i="4"/>
  <c r="L605" i="4"/>
  <c r="M605" i="4"/>
  <c r="N605" i="4"/>
  <c r="O605" i="4"/>
  <c r="B606" i="4"/>
  <c r="C606" i="4"/>
  <c r="D606" i="4"/>
  <c r="E606" i="4"/>
  <c r="F606" i="4"/>
  <c r="G606" i="4"/>
  <c r="H606" i="4"/>
  <c r="I606" i="4"/>
  <c r="J606" i="4"/>
  <c r="K606" i="4"/>
  <c r="L606" i="4"/>
  <c r="M606" i="4"/>
  <c r="N606" i="4"/>
  <c r="O606" i="4"/>
  <c r="B607" i="4"/>
  <c r="C607" i="4"/>
  <c r="D607" i="4"/>
  <c r="E607" i="4"/>
  <c r="F607" i="4"/>
  <c r="G607" i="4"/>
  <c r="H607" i="4"/>
  <c r="I607" i="4"/>
  <c r="J607" i="4"/>
  <c r="K607" i="4"/>
  <c r="L607" i="4"/>
  <c r="M607" i="4"/>
  <c r="N607" i="4"/>
  <c r="O607" i="4"/>
  <c r="B608" i="4"/>
  <c r="C608" i="4"/>
  <c r="D608" i="4"/>
  <c r="E608" i="4"/>
  <c r="F608" i="4"/>
  <c r="G608" i="4"/>
  <c r="H608" i="4"/>
  <c r="I608" i="4"/>
  <c r="J608" i="4"/>
  <c r="K608" i="4"/>
  <c r="L608" i="4"/>
  <c r="M608" i="4"/>
  <c r="N608" i="4"/>
  <c r="O608" i="4"/>
  <c r="B609" i="4"/>
  <c r="C609" i="4"/>
  <c r="D609" i="4"/>
  <c r="E609" i="4"/>
  <c r="F609" i="4"/>
  <c r="G609" i="4"/>
  <c r="H609" i="4"/>
  <c r="I609" i="4"/>
  <c r="J609" i="4"/>
  <c r="K609" i="4"/>
  <c r="L609" i="4"/>
  <c r="M609" i="4"/>
  <c r="N609" i="4"/>
  <c r="O609" i="4"/>
  <c r="B610" i="4"/>
  <c r="C610" i="4"/>
  <c r="D610" i="4"/>
  <c r="E610" i="4"/>
  <c r="F610" i="4"/>
  <c r="G610" i="4"/>
  <c r="H610" i="4"/>
  <c r="I610" i="4"/>
  <c r="J610" i="4"/>
  <c r="K610" i="4"/>
  <c r="L610" i="4"/>
  <c r="M610" i="4"/>
  <c r="N610" i="4"/>
  <c r="O610" i="4"/>
  <c r="B611" i="4"/>
  <c r="C611" i="4"/>
  <c r="D611" i="4"/>
  <c r="E611" i="4"/>
  <c r="F611" i="4"/>
  <c r="G611" i="4"/>
  <c r="H611" i="4"/>
  <c r="I611" i="4"/>
  <c r="J611" i="4"/>
  <c r="K611" i="4"/>
  <c r="L611" i="4"/>
  <c r="M611" i="4"/>
  <c r="N611" i="4"/>
  <c r="O611" i="4"/>
  <c r="B612" i="4"/>
  <c r="C612" i="4"/>
  <c r="D612" i="4"/>
  <c r="E612" i="4"/>
  <c r="F612" i="4"/>
  <c r="G612" i="4"/>
  <c r="H612" i="4"/>
  <c r="I612" i="4"/>
  <c r="J612" i="4"/>
  <c r="K612" i="4"/>
  <c r="L612" i="4"/>
  <c r="M612" i="4"/>
  <c r="N612" i="4"/>
  <c r="O612" i="4"/>
  <c r="B613" i="4"/>
  <c r="C613" i="4"/>
  <c r="D613" i="4"/>
  <c r="E613" i="4"/>
  <c r="F613" i="4"/>
  <c r="G613" i="4"/>
  <c r="H613" i="4"/>
  <c r="I613" i="4"/>
  <c r="J613" i="4"/>
  <c r="K613" i="4"/>
  <c r="L613" i="4"/>
  <c r="M613" i="4"/>
  <c r="N613" i="4"/>
  <c r="O613" i="4"/>
  <c r="B614" i="4"/>
  <c r="C614" i="4"/>
  <c r="D614" i="4"/>
  <c r="E614" i="4"/>
  <c r="F614" i="4"/>
  <c r="G614" i="4"/>
  <c r="H614" i="4"/>
  <c r="I614" i="4"/>
  <c r="J614" i="4"/>
  <c r="K614" i="4"/>
  <c r="L614" i="4"/>
  <c r="M614" i="4"/>
  <c r="N614" i="4"/>
  <c r="O614" i="4"/>
  <c r="B615" i="4"/>
  <c r="C615" i="4"/>
  <c r="D615" i="4"/>
  <c r="E615" i="4"/>
  <c r="F615" i="4"/>
  <c r="G615" i="4"/>
  <c r="H615" i="4"/>
  <c r="I615" i="4"/>
  <c r="J615" i="4"/>
  <c r="K615" i="4"/>
  <c r="L615" i="4"/>
  <c r="M615" i="4"/>
  <c r="N615" i="4"/>
  <c r="O615" i="4"/>
  <c r="B616" i="4"/>
  <c r="C616" i="4"/>
  <c r="D616" i="4"/>
  <c r="E616" i="4"/>
  <c r="F616" i="4"/>
  <c r="G616" i="4"/>
  <c r="H616" i="4"/>
  <c r="I616" i="4"/>
  <c r="J616" i="4"/>
  <c r="K616" i="4"/>
  <c r="L616" i="4"/>
  <c r="M616" i="4"/>
  <c r="N616" i="4"/>
  <c r="O616" i="4"/>
  <c r="B617" i="4"/>
  <c r="C617" i="4"/>
  <c r="D617" i="4"/>
  <c r="E617" i="4"/>
  <c r="F617" i="4"/>
  <c r="G617" i="4"/>
  <c r="H617" i="4"/>
  <c r="I617" i="4"/>
  <c r="J617" i="4"/>
  <c r="K617" i="4"/>
  <c r="L617" i="4"/>
  <c r="M617" i="4"/>
  <c r="N617" i="4"/>
  <c r="O617" i="4"/>
  <c r="B618" i="4"/>
  <c r="C618" i="4"/>
  <c r="D618" i="4"/>
  <c r="E618" i="4"/>
  <c r="F618" i="4"/>
  <c r="G618" i="4"/>
  <c r="H618" i="4"/>
  <c r="I618" i="4"/>
  <c r="J618" i="4"/>
  <c r="K618" i="4"/>
  <c r="L618" i="4"/>
  <c r="M618" i="4"/>
  <c r="N618" i="4"/>
  <c r="O618" i="4"/>
  <c r="B619" i="4"/>
  <c r="C619" i="4"/>
  <c r="D619" i="4"/>
  <c r="E619" i="4"/>
  <c r="F619" i="4"/>
  <c r="G619" i="4"/>
  <c r="H619" i="4"/>
  <c r="I619" i="4"/>
  <c r="J619" i="4"/>
  <c r="K619" i="4"/>
  <c r="L619" i="4"/>
  <c r="M619" i="4"/>
  <c r="N619" i="4"/>
  <c r="O619" i="4"/>
  <c r="B620" i="4"/>
  <c r="C620" i="4"/>
  <c r="D620" i="4"/>
  <c r="E620" i="4"/>
  <c r="F620" i="4"/>
  <c r="G620" i="4"/>
  <c r="H620" i="4"/>
  <c r="I620" i="4"/>
  <c r="J620" i="4"/>
  <c r="K620" i="4"/>
  <c r="L620" i="4"/>
  <c r="M620" i="4"/>
  <c r="N620" i="4"/>
  <c r="O620" i="4"/>
  <c r="B621" i="4"/>
  <c r="C621" i="4"/>
  <c r="D621" i="4"/>
  <c r="E621" i="4"/>
  <c r="F621" i="4"/>
  <c r="G621" i="4"/>
  <c r="H621" i="4"/>
  <c r="I621" i="4"/>
  <c r="J621" i="4"/>
  <c r="K621" i="4"/>
  <c r="L621" i="4"/>
  <c r="M621" i="4"/>
  <c r="N621" i="4"/>
  <c r="O621" i="4"/>
  <c r="B622" i="4"/>
  <c r="C622" i="4"/>
  <c r="D622" i="4"/>
  <c r="E622" i="4"/>
  <c r="F622" i="4"/>
  <c r="G622" i="4"/>
  <c r="H622" i="4"/>
  <c r="I622" i="4"/>
  <c r="J622" i="4"/>
  <c r="K622" i="4"/>
  <c r="L622" i="4"/>
  <c r="M622" i="4"/>
  <c r="N622" i="4"/>
  <c r="O622" i="4"/>
  <c r="B623" i="4"/>
  <c r="C623" i="4"/>
  <c r="D623" i="4"/>
  <c r="E623" i="4"/>
  <c r="F623" i="4"/>
  <c r="G623" i="4"/>
  <c r="H623" i="4"/>
  <c r="I623" i="4"/>
  <c r="J623" i="4"/>
  <c r="K623" i="4"/>
  <c r="L623" i="4"/>
  <c r="M623" i="4"/>
  <c r="N623" i="4"/>
  <c r="O623" i="4"/>
  <c r="B624" i="4"/>
  <c r="C624" i="4"/>
  <c r="D624" i="4"/>
  <c r="E624" i="4"/>
  <c r="F624" i="4"/>
  <c r="G624" i="4"/>
  <c r="H624" i="4"/>
  <c r="I624" i="4"/>
  <c r="J624" i="4"/>
  <c r="K624" i="4"/>
  <c r="L624" i="4"/>
  <c r="M624" i="4"/>
  <c r="N624" i="4"/>
  <c r="O624" i="4"/>
  <c r="B625" i="4"/>
  <c r="C625" i="4"/>
  <c r="D625" i="4"/>
  <c r="E625" i="4"/>
  <c r="F625" i="4"/>
  <c r="G625" i="4"/>
  <c r="H625" i="4"/>
  <c r="I625" i="4"/>
  <c r="J625" i="4"/>
  <c r="K625" i="4"/>
  <c r="L625" i="4"/>
  <c r="M625" i="4"/>
  <c r="N625" i="4"/>
  <c r="O625" i="4"/>
  <c r="B626" i="4"/>
  <c r="C626" i="4"/>
  <c r="D626" i="4"/>
  <c r="E626" i="4"/>
  <c r="F626" i="4"/>
  <c r="G626" i="4"/>
  <c r="H626" i="4"/>
  <c r="I626" i="4"/>
  <c r="J626" i="4"/>
  <c r="K626" i="4"/>
  <c r="L626" i="4"/>
  <c r="M626" i="4"/>
  <c r="N626" i="4"/>
  <c r="O626" i="4"/>
  <c r="B627" i="4"/>
  <c r="C627" i="4"/>
  <c r="D627" i="4"/>
  <c r="E627" i="4"/>
  <c r="F627" i="4"/>
  <c r="G627" i="4"/>
  <c r="H627" i="4"/>
  <c r="I627" i="4"/>
  <c r="J627" i="4"/>
  <c r="K627" i="4"/>
  <c r="L627" i="4"/>
  <c r="M627" i="4"/>
  <c r="N627" i="4"/>
  <c r="O627" i="4"/>
  <c r="B628" i="4"/>
  <c r="C628" i="4"/>
  <c r="D628" i="4"/>
  <c r="E628" i="4"/>
  <c r="F628" i="4"/>
  <c r="G628" i="4"/>
  <c r="H628" i="4"/>
  <c r="I628" i="4"/>
  <c r="J628" i="4"/>
  <c r="K628" i="4"/>
  <c r="L628" i="4"/>
  <c r="M628" i="4"/>
  <c r="N628" i="4"/>
  <c r="O628" i="4"/>
  <c r="B629" i="4"/>
  <c r="C629" i="4"/>
  <c r="D629" i="4"/>
  <c r="E629" i="4"/>
  <c r="F629" i="4"/>
  <c r="G629" i="4"/>
  <c r="H629" i="4"/>
  <c r="I629" i="4"/>
  <c r="J629" i="4"/>
  <c r="K629" i="4"/>
  <c r="L629" i="4"/>
  <c r="M629" i="4"/>
  <c r="N629" i="4"/>
  <c r="O629" i="4"/>
  <c r="B630" i="4"/>
  <c r="C630" i="4"/>
  <c r="D630" i="4"/>
  <c r="E630" i="4"/>
  <c r="F630" i="4"/>
  <c r="G630" i="4"/>
  <c r="H630" i="4"/>
  <c r="I630" i="4"/>
  <c r="J630" i="4"/>
  <c r="K630" i="4"/>
  <c r="L630" i="4"/>
  <c r="M630" i="4"/>
  <c r="N630" i="4"/>
  <c r="O630" i="4"/>
  <c r="B631" i="4"/>
  <c r="C631" i="4"/>
  <c r="D631" i="4"/>
  <c r="E631" i="4"/>
  <c r="F631" i="4"/>
  <c r="G631" i="4"/>
  <c r="H631" i="4"/>
  <c r="I631" i="4"/>
  <c r="J631" i="4"/>
  <c r="K631" i="4"/>
  <c r="L631" i="4"/>
  <c r="M631" i="4"/>
  <c r="N631" i="4"/>
  <c r="O631" i="4"/>
  <c r="B632" i="4"/>
  <c r="C632" i="4"/>
  <c r="D632" i="4"/>
  <c r="E632" i="4"/>
  <c r="F632" i="4"/>
  <c r="G632" i="4"/>
  <c r="H632" i="4"/>
  <c r="I632" i="4"/>
  <c r="J632" i="4"/>
  <c r="K632" i="4"/>
  <c r="L632" i="4"/>
  <c r="M632" i="4"/>
  <c r="N632" i="4"/>
  <c r="O632" i="4"/>
  <c r="B633" i="4"/>
  <c r="C633" i="4"/>
  <c r="D633" i="4"/>
  <c r="E633" i="4"/>
  <c r="F633" i="4"/>
  <c r="G633" i="4"/>
  <c r="H633" i="4"/>
  <c r="I633" i="4"/>
  <c r="J633" i="4"/>
  <c r="K633" i="4"/>
  <c r="L633" i="4"/>
  <c r="M633" i="4"/>
  <c r="N633" i="4"/>
  <c r="O633" i="4"/>
  <c r="B634" i="4"/>
  <c r="C634" i="4"/>
  <c r="D634" i="4"/>
  <c r="E634" i="4"/>
  <c r="F634" i="4"/>
  <c r="G634" i="4"/>
  <c r="H634" i="4"/>
  <c r="I634" i="4"/>
  <c r="J634" i="4"/>
  <c r="K634" i="4"/>
  <c r="L634" i="4"/>
  <c r="M634" i="4"/>
  <c r="N634" i="4"/>
  <c r="O634" i="4"/>
  <c r="B635" i="4"/>
  <c r="C635" i="4"/>
  <c r="D635" i="4"/>
  <c r="E635" i="4"/>
  <c r="F635" i="4"/>
  <c r="G635" i="4"/>
  <c r="H635" i="4"/>
  <c r="I635" i="4"/>
  <c r="J635" i="4"/>
  <c r="K635" i="4"/>
  <c r="L635" i="4"/>
  <c r="M635" i="4"/>
  <c r="N635" i="4"/>
  <c r="O635" i="4"/>
  <c r="B636" i="4"/>
  <c r="C636" i="4"/>
  <c r="D636" i="4"/>
  <c r="E636" i="4"/>
  <c r="F636" i="4"/>
  <c r="G636" i="4"/>
  <c r="H636" i="4"/>
  <c r="I636" i="4"/>
  <c r="J636" i="4"/>
  <c r="K636" i="4"/>
  <c r="L636" i="4"/>
  <c r="M636" i="4"/>
  <c r="N636" i="4"/>
  <c r="O636" i="4"/>
  <c r="B637" i="4"/>
  <c r="C637" i="4"/>
  <c r="D637" i="4"/>
  <c r="E637" i="4"/>
  <c r="F637" i="4"/>
  <c r="G637" i="4"/>
  <c r="H637" i="4"/>
  <c r="I637" i="4"/>
  <c r="J637" i="4"/>
  <c r="K637" i="4"/>
  <c r="L637" i="4"/>
  <c r="M637" i="4"/>
  <c r="N637" i="4"/>
  <c r="O637" i="4"/>
  <c r="B638" i="4"/>
  <c r="C638" i="4"/>
  <c r="D638" i="4"/>
  <c r="E638" i="4"/>
  <c r="F638" i="4"/>
  <c r="G638" i="4"/>
  <c r="H638" i="4"/>
  <c r="I638" i="4"/>
  <c r="J638" i="4"/>
  <c r="K638" i="4"/>
  <c r="L638" i="4"/>
  <c r="M638" i="4"/>
  <c r="N638" i="4"/>
  <c r="O638" i="4"/>
  <c r="B639" i="4"/>
  <c r="C639" i="4"/>
  <c r="D639" i="4"/>
  <c r="E639" i="4"/>
  <c r="F639" i="4"/>
  <c r="G639" i="4"/>
  <c r="H639" i="4"/>
  <c r="I639" i="4"/>
  <c r="J639" i="4"/>
  <c r="K639" i="4"/>
  <c r="L639" i="4"/>
  <c r="M639" i="4"/>
  <c r="N639" i="4"/>
  <c r="O639" i="4"/>
  <c r="B640" i="4"/>
  <c r="C640" i="4"/>
  <c r="D640" i="4"/>
  <c r="E640" i="4"/>
  <c r="F640" i="4"/>
  <c r="G640" i="4"/>
  <c r="H640" i="4"/>
  <c r="I640" i="4"/>
  <c r="J640" i="4"/>
  <c r="K640" i="4"/>
  <c r="L640" i="4"/>
  <c r="M640" i="4"/>
  <c r="N640" i="4"/>
  <c r="O640" i="4"/>
  <c r="B641" i="4"/>
  <c r="C641" i="4"/>
  <c r="D641" i="4"/>
  <c r="E641" i="4"/>
  <c r="F641" i="4"/>
  <c r="G641" i="4"/>
  <c r="H641" i="4"/>
  <c r="I641" i="4"/>
  <c r="J641" i="4"/>
  <c r="K641" i="4"/>
  <c r="L641" i="4"/>
  <c r="M641" i="4"/>
  <c r="N641" i="4"/>
  <c r="O641" i="4"/>
  <c r="B642" i="4"/>
  <c r="C642" i="4"/>
  <c r="D642" i="4"/>
  <c r="E642" i="4"/>
  <c r="F642" i="4"/>
  <c r="G642" i="4"/>
  <c r="H642" i="4"/>
  <c r="I642" i="4"/>
  <c r="J642" i="4"/>
  <c r="K642" i="4"/>
  <c r="L642" i="4"/>
  <c r="M642" i="4"/>
  <c r="N642" i="4"/>
  <c r="O642" i="4"/>
  <c r="B643" i="4"/>
  <c r="C643" i="4"/>
  <c r="D643" i="4"/>
  <c r="E643" i="4"/>
  <c r="F643" i="4"/>
  <c r="G643" i="4"/>
  <c r="H643" i="4"/>
  <c r="I643" i="4"/>
  <c r="J643" i="4"/>
  <c r="K643" i="4"/>
  <c r="L643" i="4"/>
  <c r="M643" i="4"/>
  <c r="N643" i="4"/>
  <c r="O643" i="4"/>
  <c r="B644" i="4"/>
  <c r="C644" i="4"/>
  <c r="D644" i="4"/>
  <c r="E644" i="4"/>
  <c r="F644" i="4"/>
  <c r="G644" i="4"/>
  <c r="H644" i="4"/>
  <c r="I644" i="4"/>
  <c r="J644" i="4"/>
  <c r="K644" i="4"/>
  <c r="L644" i="4"/>
  <c r="M644" i="4"/>
  <c r="N644" i="4"/>
  <c r="O644" i="4"/>
  <c r="B645" i="4"/>
  <c r="C645" i="4"/>
  <c r="D645" i="4"/>
  <c r="E645" i="4"/>
  <c r="F645" i="4"/>
  <c r="G645" i="4"/>
  <c r="H645" i="4"/>
  <c r="I645" i="4"/>
  <c r="J645" i="4"/>
  <c r="K645" i="4"/>
  <c r="L645" i="4"/>
  <c r="M645" i="4"/>
  <c r="N645" i="4"/>
  <c r="O645" i="4"/>
  <c r="B646" i="4"/>
  <c r="C646" i="4"/>
  <c r="D646" i="4"/>
  <c r="E646" i="4"/>
  <c r="F646" i="4"/>
  <c r="G646" i="4"/>
  <c r="H646" i="4"/>
  <c r="I646" i="4"/>
  <c r="J646" i="4"/>
  <c r="K646" i="4"/>
  <c r="L646" i="4"/>
  <c r="M646" i="4"/>
  <c r="N646" i="4"/>
  <c r="O646" i="4"/>
  <c r="B647" i="4"/>
  <c r="C647" i="4"/>
  <c r="D647" i="4"/>
  <c r="E647" i="4"/>
  <c r="F647" i="4"/>
  <c r="G647" i="4"/>
  <c r="H647" i="4"/>
  <c r="I647" i="4"/>
  <c r="J647" i="4"/>
  <c r="K647" i="4"/>
  <c r="L647" i="4"/>
  <c r="M647" i="4"/>
  <c r="N647" i="4"/>
  <c r="O647" i="4"/>
  <c r="B648" i="4"/>
  <c r="C648" i="4"/>
  <c r="D648" i="4"/>
  <c r="E648" i="4"/>
  <c r="F648" i="4"/>
  <c r="G648" i="4"/>
  <c r="H648" i="4"/>
  <c r="I648" i="4"/>
  <c r="J648" i="4"/>
  <c r="K648" i="4"/>
  <c r="L648" i="4"/>
  <c r="M648" i="4"/>
  <c r="N648" i="4"/>
  <c r="O648" i="4"/>
  <c r="B649" i="4"/>
  <c r="C649" i="4"/>
  <c r="D649" i="4"/>
  <c r="E649" i="4"/>
  <c r="F649" i="4"/>
  <c r="G649" i="4"/>
  <c r="H649" i="4"/>
  <c r="I649" i="4"/>
  <c r="J649" i="4"/>
  <c r="K649" i="4"/>
  <c r="L649" i="4"/>
  <c r="M649" i="4"/>
  <c r="N649" i="4"/>
  <c r="O649" i="4"/>
  <c r="B650" i="4"/>
  <c r="C650" i="4"/>
  <c r="D650" i="4"/>
  <c r="E650" i="4"/>
  <c r="F650" i="4"/>
  <c r="G650" i="4"/>
  <c r="H650" i="4"/>
  <c r="I650" i="4"/>
  <c r="J650" i="4"/>
  <c r="K650" i="4"/>
  <c r="L650" i="4"/>
  <c r="M650" i="4"/>
  <c r="N650" i="4"/>
  <c r="O650" i="4"/>
  <c r="B651" i="4"/>
  <c r="C651" i="4"/>
  <c r="D651" i="4"/>
  <c r="E651" i="4"/>
  <c r="F651" i="4"/>
  <c r="G651" i="4"/>
  <c r="H651" i="4"/>
  <c r="I651" i="4"/>
  <c r="J651" i="4"/>
  <c r="K651" i="4"/>
  <c r="L651" i="4"/>
  <c r="M651" i="4"/>
  <c r="N651" i="4"/>
  <c r="O651" i="4"/>
  <c r="B652" i="4"/>
  <c r="C652" i="4"/>
  <c r="D652" i="4"/>
  <c r="E652" i="4"/>
  <c r="F652" i="4"/>
  <c r="G652" i="4"/>
  <c r="H652" i="4"/>
  <c r="I652" i="4"/>
  <c r="J652" i="4"/>
  <c r="K652" i="4"/>
  <c r="L652" i="4"/>
  <c r="M652" i="4"/>
  <c r="N652" i="4"/>
  <c r="O652" i="4"/>
  <c r="B653" i="4"/>
  <c r="C653" i="4"/>
  <c r="D653" i="4"/>
  <c r="E653" i="4"/>
  <c r="F653" i="4"/>
  <c r="G653" i="4"/>
  <c r="H653" i="4"/>
  <c r="I653" i="4"/>
  <c r="J653" i="4"/>
  <c r="K653" i="4"/>
  <c r="L653" i="4"/>
  <c r="M653" i="4"/>
  <c r="N653" i="4"/>
  <c r="O653" i="4"/>
  <c r="B654" i="4"/>
  <c r="C654" i="4"/>
  <c r="D654" i="4"/>
  <c r="E654" i="4"/>
  <c r="F654" i="4"/>
  <c r="G654" i="4"/>
  <c r="H654" i="4"/>
  <c r="I654" i="4"/>
  <c r="J654" i="4"/>
  <c r="K654" i="4"/>
  <c r="L654" i="4"/>
  <c r="M654" i="4"/>
  <c r="N654" i="4"/>
  <c r="O654" i="4"/>
  <c r="B655" i="4"/>
  <c r="C655" i="4"/>
  <c r="D655" i="4"/>
  <c r="E655" i="4"/>
  <c r="F655" i="4"/>
  <c r="G655" i="4"/>
  <c r="H655" i="4"/>
  <c r="I655" i="4"/>
  <c r="J655" i="4"/>
  <c r="K655" i="4"/>
  <c r="L655" i="4"/>
  <c r="M655" i="4"/>
  <c r="N655" i="4"/>
  <c r="O655" i="4"/>
  <c r="B656" i="4"/>
  <c r="C656" i="4"/>
  <c r="D656" i="4"/>
  <c r="E656" i="4"/>
  <c r="F656" i="4"/>
  <c r="G656" i="4"/>
  <c r="H656" i="4"/>
  <c r="I656" i="4"/>
  <c r="J656" i="4"/>
  <c r="K656" i="4"/>
  <c r="L656" i="4"/>
  <c r="M656" i="4"/>
  <c r="N656" i="4"/>
  <c r="O656" i="4"/>
  <c r="B657" i="4"/>
  <c r="C657" i="4"/>
  <c r="D657" i="4"/>
  <c r="E657" i="4"/>
  <c r="F657" i="4"/>
  <c r="G657" i="4"/>
  <c r="H657" i="4"/>
  <c r="I657" i="4"/>
  <c r="J657" i="4"/>
  <c r="K657" i="4"/>
  <c r="L657" i="4"/>
  <c r="M657" i="4"/>
  <c r="N657" i="4"/>
  <c r="O657" i="4"/>
  <c r="B658" i="4"/>
  <c r="C658" i="4"/>
  <c r="D658" i="4"/>
  <c r="E658" i="4"/>
  <c r="F658" i="4"/>
  <c r="G658" i="4"/>
  <c r="H658" i="4"/>
  <c r="I658" i="4"/>
  <c r="J658" i="4"/>
  <c r="K658" i="4"/>
  <c r="L658" i="4"/>
  <c r="M658" i="4"/>
  <c r="N658" i="4"/>
  <c r="O658" i="4"/>
  <c r="B659" i="4"/>
  <c r="C659" i="4"/>
  <c r="D659" i="4"/>
  <c r="E659" i="4"/>
  <c r="F659" i="4"/>
  <c r="G659" i="4"/>
  <c r="H659" i="4"/>
  <c r="I659" i="4"/>
  <c r="J659" i="4"/>
  <c r="K659" i="4"/>
  <c r="L659" i="4"/>
  <c r="M659" i="4"/>
  <c r="N659" i="4"/>
  <c r="O659" i="4"/>
  <c r="B660" i="4"/>
  <c r="C660" i="4"/>
  <c r="D660" i="4"/>
  <c r="E660" i="4"/>
  <c r="F660" i="4"/>
  <c r="G660" i="4"/>
  <c r="H660" i="4"/>
  <c r="I660" i="4"/>
  <c r="J660" i="4"/>
  <c r="K660" i="4"/>
  <c r="L660" i="4"/>
  <c r="M660" i="4"/>
  <c r="N660" i="4"/>
  <c r="O660" i="4"/>
  <c r="B661" i="4"/>
  <c r="C661" i="4"/>
  <c r="D661" i="4"/>
  <c r="E661" i="4"/>
  <c r="F661" i="4"/>
  <c r="G661" i="4"/>
  <c r="H661" i="4"/>
  <c r="I661" i="4"/>
  <c r="J661" i="4"/>
  <c r="K661" i="4"/>
  <c r="L661" i="4"/>
  <c r="M661" i="4"/>
  <c r="N661" i="4"/>
  <c r="O661" i="4"/>
  <c r="B662" i="4"/>
  <c r="C662" i="4"/>
  <c r="D662" i="4"/>
  <c r="E662" i="4"/>
  <c r="F662" i="4"/>
  <c r="G662" i="4"/>
  <c r="H662" i="4"/>
  <c r="I662" i="4"/>
  <c r="J662" i="4"/>
  <c r="K662" i="4"/>
  <c r="L662" i="4"/>
  <c r="M662" i="4"/>
  <c r="N662" i="4"/>
  <c r="O662" i="4"/>
  <c r="B663" i="4"/>
  <c r="C663" i="4"/>
  <c r="D663" i="4"/>
  <c r="E663" i="4"/>
  <c r="F663" i="4"/>
  <c r="G663" i="4"/>
  <c r="H663" i="4"/>
  <c r="I663" i="4"/>
  <c r="J663" i="4"/>
  <c r="K663" i="4"/>
  <c r="L663" i="4"/>
  <c r="M663" i="4"/>
  <c r="N663" i="4"/>
  <c r="O663" i="4"/>
  <c r="B664" i="4"/>
  <c r="C664" i="4"/>
  <c r="D664" i="4"/>
  <c r="E664" i="4"/>
  <c r="F664" i="4"/>
  <c r="G664" i="4"/>
  <c r="H664" i="4"/>
  <c r="I664" i="4"/>
  <c r="J664" i="4"/>
  <c r="K664" i="4"/>
  <c r="L664" i="4"/>
  <c r="M664" i="4"/>
  <c r="N664" i="4"/>
  <c r="O664" i="4"/>
  <c r="B665" i="4"/>
  <c r="C665" i="4"/>
  <c r="D665" i="4"/>
  <c r="E665" i="4"/>
  <c r="F665" i="4"/>
  <c r="G665" i="4"/>
  <c r="H665" i="4"/>
  <c r="I665" i="4"/>
  <c r="J665" i="4"/>
  <c r="K665" i="4"/>
  <c r="L665" i="4"/>
  <c r="M665" i="4"/>
  <c r="N665" i="4"/>
  <c r="O665" i="4"/>
  <c r="B666" i="4"/>
  <c r="C666" i="4"/>
  <c r="D666" i="4"/>
  <c r="E666" i="4"/>
  <c r="F666" i="4"/>
  <c r="G666" i="4"/>
  <c r="H666" i="4"/>
  <c r="I666" i="4"/>
  <c r="J666" i="4"/>
  <c r="K666" i="4"/>
  <c r="L666" i="4"/>
  <c r="M666" i="4"/>
  <c r="N666" i="4"/>
  <c r="O666" i="4"/>
  <c r="B667" i="4"/>
  <c r="C667" i="4"/>
  <c r="D667" i="4"/>
  <c r="E667" i="4"/>
  <c r="F667" i="4"/>
  <c r="G667" i="4"/>
  <c r="H667" i="4"/>
  <c r="I667" i="4"/>
  <c r="J667" i="4"/>
  <c r="K667" i="4"/>
  <c r="L667" i="4"/>
  <c r="M667" i="4"/>
  <c r="N667" i="4"/>
  <c r="O667" i="4"/>
  <c r="B668" i="4"/>
  <c r="C668" i="4"/>
  <c r="D668" i="4"/>
  <c r="E668" i="4"/>
  <c r="F668" i="4"/>
  <c r="G668" i="4"/>
  <c r="H668" i="4"/>
  <c r="I668" i="4"/>
  <c r="J668" i="4"/>
  <c r="K668" i="4"/>
  <c r="L668" i="4"/>
  <c r="M668" i="4"/>
  <c r="N668" i="4"/>
  <c r="O668" i="4"/>
  <c r="B669" i="4"/>
  <c r="C669" i="4"/>
  <c r="D669" i="4"/>
  <c r="E669" i="4"/>
  <c r="F669" i="4"/>
  <c r="G669" i="4"/>
  <c r="H669" i="4"/>
  <c r="I669" i="4"/>
  <c r="J669" i="4"/>
  <c r="K669" i="4"/>
  <c r="L669" i="4"/>
  <c r="M669" i="4"/>
  <c r="N669" i="4"/>
  <c r="O669" i="4"/>
  <c r="B670" i="4"/>
  <c r="C670" i="4"/>
  <c r="D670" i="4"/>
  <c r="E670" i="4"/>
  <c r="F670" i="4"/>
  <c r="G670" i="4"/>
  <c r="H670" i="4"/>
  <c r="I670" i="4"/>
  <c r="J670" i="4"/>
  <c r="K670" i="4"/>
  <c r="L670" i="4"/>
  <c r="M670" i="4"/>
  <c r="N670" i="4"/>
  <c r="O670" i="4"/>
  <c r="B671" i="4"/>
  <c r="C671" i="4"/>
  <c r="D671" i="4"/>
  <c r="E671" i="4"/>
  <c r="F671" i="4"/>
  <c r="G671" i="4"/>
  <c r="H671" i="4"/>
  <c r="I671" i="4"/>
  <c r="J671" i="4"/>
  <c r="K671" i="4"/>
  <c r="L671" i="4"/>
  <c r="M671" i="4"/>
  <c r="N671" i="4"/>
  <c r="O671" i="4"/>
  <c r="B672" i="4"/>
  <c r="C672" i="4"/>
  <c r="D672" i="4"/>
  <c r="E672" i="4"/>
  <c r="F672" i="4"/>
  <c r="G672" i="4"/>
  <c r="H672" i="4"/>
  <c r="I672" i="4"/>
  <c r="J672" i="4"/>
  <c r="K672" i="4"/>
  <c r="L672" i="4"/>
  <c r="M672" i="4"/>
  <c r="N672" i="4"/>
  <c r="O672" i="4"/>
  <c r="B673" i="4"/>
  <c r="C673" i="4"/>
  <c r="D673" i="4"/>
  <c r="E673" i="4"/>
  <c r="F673" i="4"/>
  <c r="G673" i="4"/>
  <c r="H673" i="4"/>
  <c r="I673" i="4"/>
  <c r="J673" i="4"/>
  <c r="K673" i="4"/>
  <c r="L673" i="4"/>
  <c r="M673" i="4"/>
  <c r="N673" i="4"/>
  <c r="O673" i="4"/>
  <c r="B674" i="4"/>
  <c r="C674" i="4"/>
  <c r="D674" i="4"/>
  <c r="E674" i="4"/>
  <c r="F674" i="4"/>
  <c r="G674" i="4"/>
  <c r="H674" i="4"/>
  <c r="I674" i="4"/>
  <c r="J674" i="4"/>
  <c r="K674" i="4"/>
  <c r="L674" i="4"/>
  <c r="M674" i="4"/>
  <c r="N674" i="4"/>
  <c r="O674" i="4"/>
  <c r="B675" i="4"/>
  <c r="C675" i="4"/>
  <c r="D675" i="4"/>
  <c r="E675" i="4"/>
  <c r="F675" i="4"/>
  <c r="G675" i="4"/>
  <c r="H675" i="4"/>
  <c r="I675" i="4"/>
  <c r="J675" i="4"/>
  <c r="K675" i="4"/>
  <c r="L675" i="4"/>
  <c r="M675" i="4"/>
  <c r="N675" i="4"/>
  <c r="O675" i="4"/>
  <c r="B676" i="4"/>
  <c r="C676" i="4"/>
  <c r="D676" i="4"/>
  <c r="E676" i="4"/>
  <c r="F676" i="4"/>
  <c r="G676" i="4"/>
  <c r="H676" i="4"/>
  <c r="I676" i="4"/>
  <c r="J676" i="4"/>
  <c r="K676" i="4"/>
  <c r="L676" i="4"/>
  <c r="M676" i="4"/>
  <c r="N676" i="4"/>
  <c r="O676" i="4"/>
  <c r="B677" i="4"/>
  <c r="C677" i="4"/>
  <c r="D677" i="4"/>
  <c r="E677" i="4"/>
  <c r="F677" i="4"/>
  <c r="G677" i="4"/>
  <c r="H677" i="4"/>
  <c r="I677" i="4"/>
  <c r="J677" i="4"/>
  <c r="K677" i="4"/>
  <c r="L677" i="4"/>
  <c r="M677" i="4"/>
  <c r="N677" i="4"/>
  <c r="O677" i="4"/>
  <c r="B678" i="4"/>
  <c r="C678" i="4"/>
  <c r="D678" i="4"/>
  <c r="E678" i="4"/>
  <c r="F678" i="4"/>
  <c r="G678" i="4"/>
  <c r="H678" i="4"/>
  <c r="I678" i="4"/>
  <c r="J678" i="4"/>
  <c r="K678" i="4"/>
  <c r="L678" i="4"/>
  <c r="M678" i="4"/>
  <c r="N678" i="4"/>
  <c r="O678" i="4"/>
  <c r="B679" i="4"/>
  <c r="C679" i="4"/>
  <c r="D679" i="4"/>
  <c r="E679" i="4"/>
  <c r="F679" i="4"/>
  <c r="G679" i="4"/>
  <c r="H679" i="4"/>
  <c r="I679" i="4"/>
  <c r="J679" i="4"/>
  <c r="K679" i="4"/>
  <c r="L679" i="4"/>
  <c r="M679" i="4"/>
  <c r="N679" i="4"/>
  <c r="O679" i="4"/>
  <c r="B680" i="4"/>
  <c r="C680" i="4"/>
  <c r="D680" i="4"/>
  <c r="E680" i="4"/>
  <c r="F680" i="4"/>
  <c r="G680" i="4"/>
  <c r="H680" i="4"/>
  <c r="I680" i="4"/>
  <c r="J680" i="4"/>
  <c r="K680" i="4"/>
  <c r="L680" i="4"/>
  <c r="M680" i="4"/>
  <c r="N680" i="4"/>
  <c r="O680" i="4"/>
  <c r="B681" i="4"/>
  <c r="C681" i="4"/>
  <c r="D681" i="4"/>
  <c r="E681" i="4"/>
  <c r="F681" i="4"/>
  <c r="G681" i="4"/>
  <c r="H681" i="4"/>
  <c r="I681" i="4"/>
  <c r="J681" i="4"/>
  <c r="K681" i="4"/>
  <c r="L681" i="4"/>
  <c r="M681" i="4"/>
  <c r="N681" i="4"/>
  <c r="O681" i="4"/>
  <c r="B682" i="4"/>
  <c r="C682" i="4"/>
  <c r="D682" i="4"/>
  <c r="E682" i="4"/>
  <c r="F682" i="4"/>
  <c r="G682" i="4"/>
  <c r="H682" i="4"/>
  <c r="I682" i="4"/>
  <c r="J682" i="4"/>
  <c r="K682" i="4"/>
  <c r="L682" i="4"/>
  <c r="M682" i="4"/>
  <c r="N682" i="4"/>
  <c r="O682" i="4"/>
  <c r="B683" i="4"/>
  <c r="C683" i="4"/>
  <c r="D683" i="4"/>
  <c r="E683" i="4"/>
  <c r="F683" i="4"/>
  <c r="G683" i="4"/>
  <c r="H683" i="4"/>
  <c r="I683" i="4"/>
  <c r="J683" i="4"/>
  <c r="K683" i="4"/>
  <c r="L683" i="4"/>
  <c r="M683" i="4"/>
  <c r="N683" i="4"/>
  <c r="O683" i="4"/>
  <c r="B684" i="4"/>
  <c r="C684" i="4"/>
  <c r="D684" i="4"/>
  <c r="E684" i="4"/>
  <c r="F684" i="4"/>
  <c r="G684" i="4"/>
  <c r="H684" i="4"/>
  <c r="I684" i="4"/>
  <c r="J684" i="4"/>
  <c r="K684" i="4"/>
  <c r="L684" i="4"/>
  <c r="M684" i="4"/>
  <c r="N684" i="4"/>
  <c r="O684" i="4"/>
  <c r="B685" i="4"/>
  <c r="C685" i="4"/>
  <c r="D685" i="4"/>
  <c r="E685" i="4"/>
  <c r="F685" i="4"/>
  <c r="G685" i="4"/>
  <c r="H685" i="4"/>
  <c r="I685" i="4"/>
  <c r="J685" i="4"/>
  <c r="K685" i="4"/>
  <c r="L685" i="4"/>
  <c r="M685" i="4"/>
  <c r="N685" i="4"/>
  <c r="O685" i="4"/>
  <c r="B686" i="4"/>
  <c r="C686" i="4"/>
  <c r="D686" i="4"/>
  <c r="E686" i="4"/>
  <c r="F686" i="4"/>
  <c r="G686" i="4"/>
  <c r="H686" i="4"/>
  <c r="I686" i="4"/>
  <c r="J686" i="4"/>
  <c r="K686" i="4"/>
  <c r="L686" i="4"/>
  <c r="M686" i="4"/>
  <c r="N686" i="4"/>
  <c r="O686" i="4"/>
  <c r="B687" i="4"/>
  <c r="C687" i="4"/>
  <c r="D687" i="4"/>
  <c r="E687" i="4"/>
  <c r="F687" i="4"/>
  <c r="G687" i="4"/>
  <c r="H687" i="4"/>
  <c r="I687" i="4"/>
  <c r="J687" i="4"/>
  <c r="K687" i="4"/>
  <c r="L687" i="4"/>
  <c r="M687" i="4"/>
  <c r="N687" i="4"/>
  <c r="O687" i="4"/>
  <c r="B688" i="4"/>
  <c r="C688" i="4"/>
  <c r="D688" i="4"/>
  <c r="E688" i="4"/>
  <c r="F688" i="4"/>
  <c r="G688" i="4"/>
  <c r="H688" i="4"/>
  <c r="I688" i="4"/>
  <c r="J688" i="4"/>
  <c r="K688" i="4"/>
  <c r="L688" i="4"/>
  <c r="M688" i="4"/>
  <c r="N688" i="4"/>
  <c r="O688" i="4"/>
  <c r="B689" i="4"/>
  <c r="C689" i="4"/>
  <c r="D689" i="4"/>
  <c r="E689" i="4"/>
  <c r="F689" i="4"/>
  <c r="G689" i="4"/>
  <c r="H689" i="4"/>
  <c r="I689" i="4"/>
  <c r="J689" i="4"/>
  <c r="K689" i="4"/>
  <c r="L689" i="4"/>
  <c r="M689" i="4"/>
  <c r="N689" i="4"/>
  <c r="O689" i="4"/>
  <c r="B690" i="4"/>
  <c r="C690" i="4"/>
  <c r="D690" i="4"/>
  <c r="E690" i="4"/>
  <c r="F690" i="4"/>
  <c r="G690" i="4"/>
  <c r="H690" i="4"/>
  <c r="I690" i="4"/>
  <c r="J690" i="4"/>
  <c r="K690" i="4"/>
  <c r="L690" i="4"/>
  <c r="M690" i="4"/>
  <c r="N690" i="4"/>
  <c r="O690" i="4"/>
  <c r="B691" i="4"/>
  <c r="C691" i="4"/>
  <c r="D691" i="4"/>
  <c r="E691" i="4"/>
  <c r="F691" i="4"/>
  <c r="G691" i="4"/>
  <c r="H691" i="4"/>
  <c r="I691" i="4"/>
  <c r="J691" i="4"/>
  <c r="K691" i="4"/>
  <c r="L691" i="4"/>
  <c r="M691" i="4"/>
  <c r="N691" i="4"/>
  <c r="O691" i="4"/>
  <c r="B692" i="4"/>
  <c r="C692" i="4"/>
  <c r="D692" i="4"/>
  <c r="E692" i="4"/>
  <c r="F692" i="4"/>
  <c r="G692" i="4"/>
  <c r="H692" i="4"/>
  <c r="I692" i="4"/>
  <c r="J692" i="4"/>
  <c r="K692" i="4"/>
  <c r="L692" i="4"/>
  <c r="M692" i="4"/>
  <c r="N692" i="4"/>
  <c r="O692" i="4"/>
  <c r="B693" i="4"/>
  <c r="C693" i="4"/>
  <c r="D693" i="4"/>
  <c r="E693" i="4"/>
  <c r="F693" i="4"/>
  <c r="G693" i="4"/>
  <c r="H693" i="4"/>
  <c r="I693" i="4"/>
  <c r="J693" i="4"/>
  <c r="K693" i="4"/>
  <c r="L693" i="4"/>
  <c r="M693" i="4"/>
  <c r="N693" i="4"/>
  <c r="O693" i="4"/>
  <c r="B694" i="4"/>
  <c r="C694" i="4"/>
  <c r="D694" i="4"/>
  <c r="E694" i="4"/>
  <c r="F694" i="4"/>
  <c r="G694" i="4"/>
  <c r="H694" i="4"/>
  <c r="I694" i="4"/>
  <c r="J694" i="4"/>
  <c r="K694" i="4"/>
  <c r="L694" i="4"/>
  <c r="M694" i="4"/>
  <c r="N694" i="4"/>
  <c r="O694" i="4"/>
  <c r="B695" i="4"/>
  <c r="C695" i="4"/>
  <c r="D695" i="4"/>
  <c r="E695" i="4"/>
  <c r="F695" i="4"/>
  <c r="G695" i="4"/>
  <c r="H695" i="4"/>
  <c r="I695" i="4"/>
  <c r="J695" i="4"/>
  <c r="K695" i="4"/>
  <c r="L695" i="4"/>
  <c r="M695" i="4"/>
  <c r="N695" i="4"/>
  <c r="O695" i="4"/>
  <c r="B696" i="4"/>
  <c r="C696" i="4"/>
  <c r="D696" i="4"/>
  <c r="E696" i="4"/>
  <c r="F696" i="4"/>
  <c r="G696" i="4"/>
  <c r="H696" i="4"/>
  <c r="I696" i="4"/>
  <c r="J696" i="4"/>
  <c r="K696" i="4"/>
  <c r="L696" i="4"/>
  <c r="M696" i="4"/>
  <c r="N696" i="4"/>
  <c r="O696" i="4"/>
  <c r="B697" i="4"/>
  <c r="C697" i="4"/>
  <c r="D697" i="4"/>
  <c r="E697" i="4"/>
  <c r="F697" i="4"/>
  <c r="G697" i="4"/>
  <c r="H697" i="4"/>
  <c r="I697" i="4"/>
  <c r="J697" i="4"/>
  <c r="K697" i="4"/>
  <c r="L697" i="4"/>
  <c r="M697" i="4"/>
  <c r="N697" i="4"/>
  <c r="O697" i="4"/>
  <c r="B698" i="4"/>
  <c r="C698" i="4"/>
  <c r="D698" i="4"/>
  <c r="E698" i="4"/>
  <c r="F698" i="4"/>
  <c r="G698" i="4"/>
  <c r="H698" i="4"/>
  <c r="I698" i="4"/>
  <c r="J698" i="4"/>
  <c r="K698" i="4"/>
  <c r="L698" i="4"/>
  <c r="M698" i="4"/>
  <c r="N698" i="4"/>
  <c r="O698" i="4"/>
  <c r="B699" i="4"/>
  <c r="C699" i="4"/>
  <c r="D699" i="4"/>
  <c r="E699" i="4"/>
  <c r="F699" i="4"/>
  <c r="G699" i="4"/>
  <c r="H699" i="4"/>
  <c r="I699" i="4"/>
  <c r="J699" i="4"/>
  <c r="K699" i="4"/>
  <c r="L699" i="4"/>
  <c r="M699" i="4"/>
  <c r="N699" i="4"/>
  <c r="O699" i="4"/>
  <c r="B700" i="4"/>
  <c r="C700" i="4"/>
  <c r="D700" i="4"/>
  <c r="E700" i="4"/>
  <c r="F700" i="4"/>
  <c r="G700" i="4"/>
  <c r="H700" i="4"/>
  <c r="I700" i="4"/>
  <c r="J700" i="4"/>
  <c r="K700" i="4"/>
  <c r="L700" i="4"/>
  <c r="M700" i="4"/>
  <c r="N700" i="4"/>
  <c r="O700" i="4"/>
  <c r="B701" i="4"/>
  <c r="C701" i="4"/>
  <c r="D701" i="4"/>
  <c r="E701" i="4"/>
  <c r="F701" i="4"/>
  <c r="G701" i="4"/>
  <c r="H701" i="4"/>
  <c r="I701" i="4"/>
  <c r="J701" i="4"/>
  <c r="K701" i="4"/>
  <c r="L701" i="4"/>
  <c r="M701" i="4"/>
  <c r="N701" i="4"/>
  <c r="O701" i="4"/>
  <c r="B702" i="4"/>
  <c r="C702" i="4"/>
  <c r="D702" i="4"/>
  <c r="E702" i="4"/>
  <c r="F702" i="4"/>
  <c r="G702" i="4"/>
  <c r="H702" i="4"/>
  <c r="I702" i="4"/>
  <c r="J702" i="4"/>
  <c r="K702" i="4"/>
  <c r="L702" i="4"/>
  <c r="M702" i="4"/>
  <c r="N702" i="4"/>
  <c r="O702" i="4"/>
  <c r="B703" i="4"/>
  <c r="C703" i="4"/>
  <c r="D703" i="4"/>
  <c r="E703" i="4"/>
  <c r="F703" i="4"/>
  <c r="G703" i="4"/>
  <c r="H703" i="4"/>
  <c r="I703" i="4"/>
  <c r="J703" i="4"/>
  <c r="K703" i="4"/>
  <c r="L703" i="4"/>
  <c r="M703" i="4"/>
  <c r="N703" i="4"/>
  <c r="O703" i="4"/>
  <c r="B704" i="4"/>
  <c r="C704" i="4"/>
  <c r="D704" i="4"/>
  <c r="E704" i="4"/>
  <c r="F704" i="4"/>
  <c r="G704" i="4"/>
  <c r="H704" i="4"/>
  <c r="I704" i="4"/>
  <c r="J704" i="4"/>
  <c r="K704" i="4"/>
  <c r="L704" i="4"/>
  <c r="M704" i="4"/>
  <c r="N704" i="4"/>
  <c r="O704" i="4"/>
  <c r="B705" i="4"/>
  <c r="C705" i="4"/>
  <c r="D705" i="4"/>
  <c r="E705" i="4"/>
  <c r="F705" i="4"/>
  <c r="G705" i="4"/>
  <c r="H705" i="4"/>
  <c r="I705" i="4"/>
  <c r="J705" i="4"/>
  <c r="K705" i="4"/>
  <c r="L705" i="4"/>
  <c r="M705" i="4"/>
  <c r="N705" i="4"/>
  <c r="O705" i="4"/>
  <c r="B706" i="4"/>
  <c r="C706" i="4"/>
  <c r="D706" i="4"/>
  <c r="E706" i="4"/>
  <c r="F706" i="4"/>
  <c r="G706" i="4"/>
  <c r="H706" i="4"/>
  <c r="I706" i="4"/>
  <c r="J706" i="4"/>
  <c r="K706" i="4"/>
  <c r="L706" i="4"/>
  <c r="M706" i="4"/>
  <c r="N706" i="4"/>
  <c r="O706" i="4"/>
  <c r="B707" i="4"/>
  <c r="C707" i="4"/>
  <c r="D707" i="4"/>
  <c r="E707" i="4"/>
  <c r="F707" i="4"/>
  <c r="G707" i="4"/>
  <c r="H707" i="4"/>
  <c r="I707" i="4"/>
  <c r="J707" i="4"/>
  <c r="K707" i="4"/>
  <c r="L707" i="4"/>
  <c r="M707" i="4"/>
  <c r="N707" i="4"/>
  <c r="O707" i="4"/>
  <c r="B708" i="4"/>
  <c r="C708" i="4"/>
  <c r="D708" i="4"/>
  <c r="E708" i="4"/>
  <c r="F708" i="4"/>
  <c r="G708" i="4"/>
  <c r="H708" i="4"/>
  <c r="I708" i="4"/>
  <c r="J708" i="4"/>
  <c r="K708" i="4"/>
  <c r="L708" i="4"/>
  <c r="M708" i="4"/>
  <c r="N708" i="4"/>
  <c r="O708" i="4"/>
  <c r="B709" i="4"/>
  <c r="C709" i="4"/>
  <c r="D709" i="4"/>
  <c r="E709" i="4"/>
  <c r="F709" i="4"/>
  <c r="G709" i="4"/>
  <c r="H709" i="4"/>
  <c r="I709" i="4"/>
  <c r="J709" i="4"/>
  <c r="K709" i="4"/>
  <c r="L709" i="4"/>
  <c r="M709" i="4"/>
  <c r="N709" i="4"/>
  <c r="O709" i="4"/>
  <c r="B710" i="4"/>
  <c r="C710" i="4"/>
  <c r="D710" i="4"/>
  <c r="E710" i="4"/>
  <c r="F710" i="4"/>
  <c r="G710" i="4"/>
  <c r="H710" i="4"/>
  <c r="I710" i="4"/>
  <c r="J710" i="4"/>
  <c r="K710" i="4"/>
  <c r="L710" i="4"/>
  <c r="M710" i="4"/>
  <c r="N710" i="4"/>
  <c r="O710" i="4"/>
  <c r="B711" i="4"/>
  <c r="C711" i="4"/>
  <c r="D711" i="4"/>
  <c r="E711" i="4"/>
  <c r="F711" i="4"/>
  <c r="G711" i="4"/>
  <c r="H711" i="4"/>
  <c r="I711" i="4"/>
  <c r="J711" i="4"/>
  <c r="K711" i="4"/>
  <c r="L711" i="4"/>
  <c r="M711" i="4"/>
  <c r="N711" i="4"/>
  <c r="O711" i="4"/>
  <c r="B712" i="4"/>
  <c r="C712" i="4"/>
  <c r="D712" i="4"/>
  <c r="E712" i="4"/>
  <c r="F712" i="4"/>
  <c r="G712" i="4"/>
  <c r="H712" i="4"/>
  <c r="I712" i="4"/>
  <c r="J712" i="4"/>
  <c r="K712" i="4"/>
  <c r="L712" i="4"/>
  <c r="M712" i="4"/>
  <c r="N712" i="4"/>
  <c r="O712" i="4"/>
  <c r="B713" i="4"/>
  <c r="C713" i="4"/>
  <c r="D713" i="4"/>
  <c r="E713" i="4"/>
  <c r="F713" i="4"/>
  <c r="G713" i="4"/>
  <c r="H713" i="4"/>
  <c r="I713" i="4"/>
  <c r="J713" i="4"/>
  <c r="K713" i="4"/>
  <c r="L713" i="4"/>
  <c r="M713" i="4"/>
  <c r="N713" i="4"/>
  <c r="O713" i="4"/>
  <c r="B714" i="4"/>
  <c r="C714" i="4"/>
  <c r="D714" i="4"/>
  <c r="E714" i="4"/>
  <c r="F714" i="4"/>
  <c r="G714" i="4"/>
  <c r="H714" i="4"/>
  <c r="I714" i="4"/>
  <c r="J714" i="4"/>
  <c r="K714" i="4"/>
  <c r="L714" i="4"/>
  <c r="M714" i="4"/>
  <c r="N714" i="4"/>
  <c r="O714" i="4"/>
  <c r="B715" i="4"/>
  <c r="C715" i="4"/>
  <c r="D715" i="4"/>
  <c r="E715" i="4"/>
  <c r="F715" i="4"/>
  <c r="G715" i="4"/>
  <c r="H715" i="4"/>
  <c r="I715" i="4"/>
  <c r="J715" i="4"/>
  <c r="K715" i="4"/>
  <c r="L715" i="4"/>
  <c r="M715" i="4"/>
  <c r="N715" i="4"/>
  <c r="O715" i="4"/>
  <c r="B716" i="4"/>
  <c r="C716" i="4"/>
  <c r="D716" i="4"/>
  <c r="E716" i="4"/>
  <c r="F716" i="4"/>
  <c r="G716" i="4"/>
  <c r="H716" i="4"/>
  <c r="I716" i="4"/>
  <c r="J716" i="4"/>
  <c r="K716" i="4"/>
  <c r="L716" i="4"/>
  <c r="M716" i="4"/>
  <c r="N716" i="4"/>
  <c r="O716" i="4"/>
  <c r="B717" i="4"/>
  <c r="C717" i="4"/>
  <c r="D717" i="4"/>
  <c r="E717" i="4"/>
  <c r="F717" i="4"/>
  <c r="G717" i="4"/>
  <c r="H717" i="4"/>
  <c r="I717" i="4"/>
  <c r="J717" i="4"/>
  <c r="K717" i="4"/>
  <c r="L717" i="4"/>
  <c r="M717" i="4"/>
  <c r="N717" i="4"/>
  <c r="O717" i="4"/>
  <c r="B718" i="4"/>
  <c r="C718" i="4"/>
  <c r="D718" i="4"/>
  <c r="E718" i="4"/>
  <c r="F718" i="4"/>
  <c r="G718" i="4"/>
  <c r="H718" i="4"/>
  <c r="I718" i="4"/>
  <c r="J718" i="4"/>
  <c r="K718" i="4"/>
  <c r="L718" i="4"/>
  <c r="M718" i="4"/>
  <c r="N718" i="4"/>
  <c r="O718" i="4"/>
  <c r="B719" i="4"/>
  <c r="C719" i="4"/>
  <c r="D719" i="4"/>
  <c r="E719" i="4"/>
  <c r="F719" i="4"/>
  <c r="G719" i="4"/>
  <c r="H719" i="4"/>
  <c r="I719" i="4"/>
  <c r="J719" i="4"/>
  <c r="K719" i="4"/>
  <c r="L719" i="4"/>
  <c r="M719" i="4"/>
  <c r="N719" i="4"/>
  <c r="O719" i="4"/>
  <c r="B720" i="4"/>
  <c r="C720" i="4"/>
  <c r="D720" i="4"/>
  <c r="E720" i="4"/>
  <c r="F720" i="4"/>
  <c r="G720" i="4"/>
  <c r="H720" i="4"/>
  <c r="I720" i="4"/>
  <c r="J720" i="4"/>
  <c r="K720" i="4"/>
  <c r="L720" i="4"/>
  <c r="M720" i="4"/>
  <c r="N720" i="4"/>
  <c r="O720" i="4"/>
  <c r="B721" i="4"/>
  <c r="C721" i="4"/>
  <c r="D721" i="4"/>
  <c r="E721" i="4"/>
  <c r="F721" i="4"/>
  <c r="G721" i="4"/>
  <c r="H721" i="4"/>
  <c r="I721" i="4"/>
  <c r="J721" i="4"/>
  <c r="K721" i="4"/>
  <c r="L721" i="4"/>
  <c r="M721" i="4"/>
  <c r="N721" i="4"/>
  <c r="O721" i="4"/>
  <c r="B722" i="4"/>
  <c r="C722" i="4"/>
  <c r="D722" i="4"/>
  <c r="E722" i="4"/>
  <c r="F722" i="4"/>
  <c r="G722" i="4"/>
  <c r="H722" i="4"/>
  <c r="I722" i="4"/>
  <c r="J722" i="4"/>
  <c r="K722" i="4"/>
  <c r="L722" i="4"/>
  <c r="M722" i="4"/>
  <c r="N722" i="4"/>
  <c r="O722" i="4"/>
  <c r="B723" i="4"/>
  <c r="C723" i="4"/>
  <c r="D723" i="4"/>
  <c r="E723" i="4"/>
  <c r="F723" i="4"/>
  <c r="G723" i="4"/>
  <c r="H723" i="4"/>
  <c r="I723" i="4"/>
  <c r="J723" i="4"/>
  <c r="K723" i="4"/>
  <c r="L723" i="4"/>
  <c r="M723" i="4"/>
  <c r="N723" i="4"/>
  <c r="O723" i="4"/>
  <c r="B724" i="4"/>
  <c r="C724" i="4"/>
  <c r="D724" i="4"/>
  <c r="E724" i="4"/>
  <c r="F724" i="4"/>
  <c r="G724" i="4"/>
  <c r="H724" i="4"/>
  <c r="I724" i="4"/>
  <c r="J724" i="4"/>
  <c r="K724" i="4"/>
  <c r="L724" i="4"/>
  <c r="M724" i="4"/>
  <c r="N724" i="4"/>
  <c r="O724" i="4"/>
  <c r="B725" i="4"/>
  <c r="C725" i="4"/>
  <c r="D725" i="4"/>
  <c r="E725" i="4"/>
  <c r="F725" i="4"/>
  <c r="G725" i="4"/>
  <c r="H725" i="4"/>
  <c r="I725" i="4"/>
  <c r="J725" i="4"/>
  <c r="K725" i="4"/>
  <c r="L725" i="4"/>
  <c r="M725" i="4"/>
  <c r="N725" i="4"/>
  <c r="O725" i="4"/>
  <c r="B726" i="4"/>
  <c r="C726" i="4"/>
  <c r="D726" i="4"/>
  <c r="E726" i="4"/>
  <c r="F726" i="4"/>
  <c r="G726" i="4"/>
  <c r="H726" i="4"/>
  <c r="I726" i="4"/>
  <c r="J726" i="4"/>
  <c r="K726" i="4"/>
  <c r="L726" i="4"/>
  <c r="M726" i="4"/>
  <c r="N726" i="4"/>
  <c r="O726" i="4"/>
  <c r="B727" i="4"/>
  <c r="C727" i="4"/>
  <c r="D727" i="4"/>
  <c r="E727" i="4"/>
  <c r="F727" i="4"/>
  <c r="G727" i="4"/>
  <c r="H727" i="4"/>
  <c r="I727" i="4"/>
  <c r="J727" i="4"/>
  <c r="K727" i="4"/>
  <c r="L727" i="4"/>
  <c r="M727" i="4"/>
  <c r="N727" i="4"/>
  <c r="O727" i="4"/>
  <c r="B728" i="4"/>
  <c r="C728" i="4"/>
  <c r="D728" i="4"/>
  <c r="E728" i="4"/>
  <c r="F728" i="4"/>
  <c r="G728" i="4"/>
  <c r="H728" i="4"/>
  <c r="I728" i="4"/>
  <c r="J728" i="4"/>
  <c r="K728" i="4"/>
  <c r="L728" i="4"/>
  <c r="M728" i="4"/>
  <c r="N728" i="4"/>
  <c r="O728" i="4"/>
  <c r="B729" i="4"/>
  <c r="C729" i="4"/>
  <c r="D729" i="4"/>
  <c r="E729" i="4"/>
  <c r="F729" i="4"/>
  <c r="G729" i="4"/>
  <c r="H729" i="4"/>
  <c r="I729" i="4"/>
  <c r="J729" i="4"/>
  <c r="K729" i="4"/>
  <c r="L729" i="4"/>
  <c r="M729" i="4"/>
  <c r="N729" i="4"/>
  <c r="O729" i="4"/>
  <c r="B730" i="4"/>
  <c r="C730" i="4"/>
  <c r="D730" i="4"/>
  <c r="E730" i="4"/>
  <c r="F730" i="4"/>
  <c r="G730" i="4"/>
  <c r="H730" i="4"/>
  <c r="I730" i="4"/>
  <c r="J730" i="4"/>
  <c r="K730" i="4"/>
  <c r="L730" i="4"/>
  <c r="M730" i="4"/>
  <c r="N730" i="4"/>
  <c r="O730" i="4"/>
  <c r="B731" i="4"/>
  <c r="C731" i="4"/>
  <c r="D731" i="4"/>
  <c r="E731" i="4"/>
  <c r="F731" i="4"/>
  <c r="G731" i="4"/>
  <c r="H731" i="4"/>
  <c r="I731" i="4"/>
  <c r="J731" i="4"/>
  <c r="K731" i="4"/>
  <c r="L731" i="4"/>
  <c r="M731" i="4"/>
  <c r="N731" i="4"/>
  <c r="O731" i="4"/>
  <c r="B732" i="4"/>
  <c r="C732" i="4"/>
  <c r="D732" i="4"/>
  <c r="E732" i="4"/>
  <c r="F732" i="4"/>
  <c r="G732" i="4"/>
  <c r="H732" i="4"/>
  <c r="I732" i="4"/>
  <c r="J732" i="4"/>
  <c r="K732" i="4"/>
  <c r="L732" i="4"/>
  <c r="M732" i="4"/>
  <c r="N732" i="4"/>
  <c r="O732" i="4"/>
  <c r="B733" i="4"/>
  <c r="C733" i="4"/>
  <c r="D733" i="4"/>
  <c r="E733" i="4"/>
  <c r="F733" i="4"/>
  <c r="G733" i="4"/>
  <c r="H733" i="4"/>
  <c r="I733" i="4"/>
  <c r="J733" i="4"/>
  <c r="K733" i="4"/>
  <c r="L733" i="4"/>
  <c r="M733" i="4"/>
  <c r="N733" i="4"/>
  <c r="O733" i="4"/>
  <c r="B734" i="4"/>
  <c r="C734" i="4"/>
  <c r="D734" i="4"/>
  <c r="E734" i="4"/>
  <c r="F734" i="4"/>
  <c r="G734" i="4"/>
  <c r="H734" i="4"/>
  <c r="I734" i="4"/>
  <c r="J734" i="4"/>
  <c r="K734" i="4"/>
  <c r="L734" i="4"/>
  <c r="M734" i="4"/>
  <c r="N734" i="4"/>
  <c r="O734" i="4"/>
  <c r="B735" i="4"/>
  <c r="C735" i="4"/>
  <c r="D735" i="4"/>
  <c r="E735" i="4"/>
  <c r="F735" i="4"/>
  <c r="G735" i="4"/>
  <c r="H735" i="4"/>
  <c r="I735" i="4"/>
  <c r="J735" i="4"/>
  <c r="K735" i="4"/>
  <c r="L735" i="4"/>
  <c r="M735" i="4"/>
  <c r="N735" i="4"/>
  <c r="O735" i="4"/>
  <c r="B736" i="4"/>
  <c r="C736" i="4"/>
  <c r="D736" i="4"/>
  <c r="E736" i="4"/>
  <c r="F736" i="4"/>
  <c r="G736" i="4"/>
  <c r="H736" i="4"/>
  <c r="I736" i="4"/>
  <c r="J736" i="4"/>
  <c r="K736" i="4"/>
  <c r="L736" i="4"/>
  <c r="M736" i="4"/>
  <c r="N736" i="4"/>
  <c r="O736" i="4"/>
  <c r="B737" i="4"/>
  <c r="C737" i="4"/>
  <c r="D737" i="4"/>
  <c r="E737" i="4"/>
  <c r="F737" i="4"/>
  <c r="G737" i="4"/>
  <c r="H737" i="4"/>
  <c r="I737" i="4"/>
  <c r="J737" i="4"/>
  <c r="K737" i="4"/>
  <c r="L737" i="4"/>
  <c r="M737" i="4"/>
  <c r="N737" i="4"/>
  <c r="O737" i="4"/>
  <c r="B738" i="4"/>
  <c r="C738" i="4"/>
  <c r="D738" i="4"/>
  <c r="E738" i="4"/>
  <c r="F738" i="4"/>
  <c r="G738" i="4"/>
  <c r="H738" i="4"/>
  <c r="I738" i="4"/>
  <c r="J738" i="4"/>
  <c r="K738" i="4"/>
  <c r="L738" i="4"/>
  <c r="M738" i="4"/>
  <c r="N738" i="4"/>
  <c r="O738" i="4"/>
  <c r="B739" i="4"/>
  <c r="C739" i="4"/>
  <c r="D739" i="4"/>
  <c r="E739" i="4"/>
  <c r="F739" i="4"/>
  <c r="G739" i="4"/>
  <c r="H739" i="4"/>
  <c r="I739" i="4"/>
  <c r="J739" i="4"/>
  <c r="K739" i="4"/>
  <c r="L739" i="4"/>
  <c r="M739" i="4"/>
  <c r="N739" i="4"/>
  <c r="O739" i="4"/>
  <c r="B740" i="4"/>
  <c r="C740" i="4"/>
  <c r="D740" i="4"/>
  <c r="E740" i="4"/>
  <c r="F740" i="4"/>
  <c r="G740" i="4"/>
  <c r="H740" i="4"/>
  <c r="I740" i="4"/>
  <c r="J740" i="4"/>
  <c r="K740" i="4"/>
  <c r="L740" i="4"/>
  <c r="M740" i="4"/>
  <c r="N740" i="4"/>
  <c r="O740" i="4"/>
  <c r="B741" i="4"/>
  <c r="C741" i="4"/>
  <c r="D741" i="4"/>
  <c r="E741" i="4"/>
  <c r="F741" i="4"/>
  <c r="G741" i="4"/>
  <c r="H741" i="4"/>
  <c r="I741" i="4"/>
  <c r="J741" i="4"/>
  <c r="K741" i="4"/>
  <c r="L741" i="4"/>
  <c r="M741" i="4"/>
  <c r="N741" i="4"/>
  <c r="O741" i="4"/>
  <c r="B742" i="4"/>
  <c r="C742" i="4"/>
  <c r="D742" i="4"/>
  <c r="E742" i="4"/>
  <c r="F742" i="4"/>
  <c r="G742" i="4"/>
  <c r="H742" i="4"/>
  <c r="I742" i="4"/>
  <c r="J742" i="4"/>
  <c r="K742" i="4"/>
  <c r="L742" i="4"/>
  <c r="M742" i="4"/>
  <c r="N742" i="4"/>
  <c r="O742" i="4"/>
  <c r="B743" i="4"/>
  <c r="C743" i="4"/>
  <c r="D743" i="4"/>
  <c r="E743" i="4"/>
  <c r="F743" i="4"/>
  <c r="G743" i="4"/>
  <c r="H743" i="4"/>
  <c r="I743" i="4"/>
  <c r="J743" i="4"/>
  <c r="K743" i="4"/>
  <c r="L743" i="4"/>
  <c r="M743" i="4"/>
  <c r="N743" i="4"/>
  <c r="O743" i="4"/>
  <c r="B744" i="4"/>
  <c r="C744" i="4"/>
  <c r="D744" i="4"/>
  <c r="E744" i="4"/>
  <c r="F744" i="4"/>
  <c r="G744" i="4"/>
  <c r="H744" i="4"/>
  <c r="I744" i="4"/>
  <c r="J744" i="4"/>
  <c r="K744" i="4"/>
  <c r="L744" i="4"/>
  <c r="M744" i="4"/>
  <c r="N744" i="4"/>
  <c r="O744" i="4"/>
  <c r="B745" i="4"/>
  <c r="C745" i="4"/>
  <c r="D745" i="4"/>
  <c r="E745" i="4"/>
  <c r="F745" i="4"/>
  <c r="G745" i="4"/>
  <c r="H745" i="4"/>
  <c r="I745" i="4"/>
  <c r="J745" i="4"/>
  <c r="K745" i="4"/>
  <c r="L745" i="4"/>
  <c r="M745" i="4"/>
  <c r="N745" i="4"/>
  <c r="O745" i="4"/>
  <c r="B746" i="4"/>
  <c r="C746" i="4"/>
  <c r="D746" i="4"/>
  <c r="E746" i="4"/>
  <c r="F746" i="4"/>
  <c r="G746" i="4"/>
  <c r="H746" i="4"/>
  <c r="I746" i="4"/>
  <c r="J746" i="4"/>
  <c r="K746" i="4"/>
  <c r="L746" i="4"/>
  <c r="M746" i="4"/>
  <c r="N746" i="4"/>
  <c r="O746" i="4"/>
  <c r="B747" i="4"/>
  <c r="C747" i="4"/>
  <c r="D747" i="4"/>
  <c r="E747" i="4"/>
  <c r="F747" i="4"/>
  <c r="G747" i="4"/>
  <c r="H747" i="4"/>
  <c r="I747" i="4"/>
  <c r="J747" i="4"/>
  <c r="K747" i="4"/>
  <c r="L747" i="4"/>
  <c r="M747" i="4"/>
  <c r="N747" i="4"/>
  <c r="O747" i="4"/>
  <c r="B748" i="4"/>
  <c r="C748" i="4"/>
  <c r="D748" i="4"/>
  <c r="E748" i="4"/>
  <c r="F748" i="4"/>
  <c r="G748" i="4"/>
  <c r="H748" i="4"/>
  <c r="I748" i="4"/>
  <c r="J748" i="4"/>
  <c r="K748" i="4"/>
  <c r="L748" i="4"/>
  <c r="M748" i="4"/>
  <c r="N748" i="4"/>
  <c r="O748" i="4"/>
  <c r="B749" i="4"/>
  <c r="C749" i="4"/>
  <c r="D749" i="4"/>
  <c r="E749" i="4"/>
  <c r="F749" i="4"/>
  <c r="G749" i="4"/>
  <c r="H749" i="4"/>
  <c r="I749" i="4"/>
  <c r="J749" i="4"/>
  <c r="K749" i="4"/>
  <c r="L749" i="4"/>
  <c r="M749" i="4"/>
  <c r="N749" i="4"/>
  <c r="O749" i="4"/>
  <c r="B750" i="4"/>
  <c r="C750" i="4"/>
  <c r="D750" i="4"/>
  <c r="E750" i="4"/>
  <c r="F750" i="4"/>
  <c r="G750" i="4"/>
  <c r="H750" i="4"/>
  <c r="I750" i="4"/>
  <c r="J750" i="4"/>
  <c r="K750" i="4"/>
  <c r="L750" i="4"/>
  <c r="M750" i="4"/>
  <c r="N750" i="4"/>
  <c r="O750" i="4"/>
  <c r="B751" i="4"/>
  <c r="C751" i="4"/>
  <c r="D751" i="4"/>
  <c r="E751" i="4"/>
  <c r="F751" i="4"/>
  <c r="G751" i="4"/>
  <c r="H751" i="4"/>
  <c r="I751" i="4"/>
  <c r="J751" i="4"/>
  <c r="K751" i="4"/>
  <c r="L751" i="4"/>
  <c r="M751" i="4"/>
  <c r="N751" i="4"/>
  <c r="O751" i="4"/>
  <c r="B752" i="4"/>
  <c r="C752" i="4"/>
  <c r="D752" i="4"/>
  <c r="E752" i="4"/>
  <c r="F752" i="4"/>
  <c r="G752" i="4"/>
  <c r="H752" i="4"/>
  <c r="I752" i="4"/>
  <c r="J752" i="4"/>
  <c r="K752" i="4"/>
  <c r="L752" i="4"/>
  <c r="M752" i="4"/>
  <c r="N752" i="4"/>
  <c r="O752" i="4"/>
  <c r="B753" i="4"/>
  <c r="C753" i="4"/>
  <c r="D753" i="4"/>
  <c r="E753" i="4"/>
  <c r="F753" i="4"/>
  <c r="G753" i="4"/>
  <c r="H753" i="4"/>
  <c r="I753" i="4"/>
  <c r="J753" i="4"/>
  <c r="K753" i="4"/>
  <c r="L753" i="4"/>
  <c r="M753" i="4"/>
  <c r="N753" i="4"/>
  <c r="O753" i="4"/>
  <c r="B754" i="4"/>
  <c r="C754" i="4"/>
  <c r="D754" i="4"/>
  <c r="E754" i="4"/>
  <c r="F754" i="4"/>
  <c r="G754" i="4"/>
  <c r="H754" i="4"/>
  <c r="I754" i="4"/>
  <c r="J754" i="4"/>
  <c r="K754" i="4"/>
  <c r="L754" i="4"/>
  <c r="M754" i="4"/>
  <c r="N754" i="4"/>
  <c r="O754" i="4"/>
  <c r="B755" i="4"/>
  <c r="C755" i="4"/>
  <c r="D755" i="4"/>
  <c r="E755" i="4"/>
  <c r="F755" i="4"/>
  <c r="G755" i="4"/>
  <c r="H755" i="4"/>
  <c r="I755" i="4"/>
  <c r="J755" i="4"/>
  <c r="K755" i="4"/>
  <c r="L755" i="4"/>
  <c r="M755" i="4"/>
  <c r="N755" i="4"/>
  <c r="O755" i="4"/>
  <c r="B756" i="4"/>
  <c r="C756" i="4"/>
  <c r="D756" i="4"/>
  <c r="E756" i="4"/>
  <c r="F756" i="4"/>
  <c r="G756" i="4"/>
  <c r="H756" i="4"/>
  <c r="I756" i="4"/>
  <c r="J756" i="4"/>
  <c r="K756" i="4"/>
  <c r="L756" i="4"/>
  <c r="M756" i="4"/>
  <c r="N756" i="4"/>
  <c r="O756" i="4"/>
  <c r="B757" i="4"/>
  <c r="C757" i="4"/>
  <c r="D757" i="4"/>
  <c r="E757" i="4"/>
  <c r="F757" i="4"/>
  <c r="G757" i="4"/>
  <c r="H757" i="4"/>
  <c r="I757" i="4"/>
  <c r="J757" i="4"/>
  <c r="K757" i="4"/>
  <c r="L757" i="4"/>
  <c r="M757" i="4"/>
  <c r="N757" i="4"/>
  <c r="O757" i="4"/>
  <c r="B758" i="4"/>
  <c r="C758" i="4"/>
  <c r="D758" i="4"/>
  <c r="E758" i="4"/>
  <c r="F758" i="4"/>
  <c r="G758" i="4"/>
  <c r="H758" i="4"/>
  <c r="I758" i="4"/>
  <c r="J758" i="4"/>
  <c r="K758" i="4"/>
  <c r="L758" i="4"/>
  <c r="M758" i="4"/>
  <c r="N758" i="4"/>
  <c r="O758" i="4"/>
  <c r="B759" i="4"/>
  <c r="C759" i="4"/>
  <c r="D759" i="4"/>
  <c r="E759" i="4"/>
  <c r="F759" i="4"/>
  <c r="G759" i="4"/>
  <c r="H759" i="4"/>
  <c r="I759" i="4"/>
  <c r="J759" i="4"/>
  <c r="K759" i="4"/>
  <c r="L759" i="4"/>
  <c r="M759" i="4"/>
  <c r="N759" i="4"/>
  <c r="O759" i="4"/>
  <c r="B760" i="4"/>
  <c r="C760" i="4"/>
  <c r="D760" i="4"/>
  <c r="E760" i="4"/>
  <c r="F760" i="4"/>
  <c r="G760" i="4"/>
  <c r="H760" i="4"/>
  <c r="I760" i="4"/>
  <c r="J760" i="4"/>
  <c r="K760" i="4"/>
  <c r="L760" i="4"/>
  <c r="M760" i="4"/>
  <c r="N760" i="4"/>
  <c r="O760" i="4"/>
  <c r="B761" i="4"/>
  <c r="C761" i="4"/>
  <c r="D761" i="4"/>
  <c r="E761" i="4"/>
  <c r="F761" i="4"/>
  <c r="G761" i="4"/>
  <c r="H761" i="4"/>
  <c r="I761" i="4"/>
  <c r="J761" i="4"/>
  <c r="K761" i="4"/>
  <c r="L761" i="4"/>
  <c r="M761" i="4"/>
  <c r="N761" i="4"/>
  <c r="O761" i="4"/>
  <c r="B762" i="4"/>
  <c r="C762" i="4"/>
  <c r="D762" i="4"/>
  <c r="E762" i="4"/>
  <c r="F762" i="4"/>
  <c r="G762" i="4"/>
  <c r="H762" i="4"/>
  <c r="I762" i="4"/>
  <c r="J762" i="4"/>
  <c r="K762" i="4"/>
  <c r="L762" i="4"/>
  <c r="M762" i="4"/>
  <c r="N762" i="4"/>
  <c r="O762" i="4"/>
  <c r="B763" i="4"/>
  <c r="C763" i="4"/>
  <c r="D763" i="4"/>
  <c r="E763" i="4"/>
  <c r="F763" i="4"/>
  <c r="G763" i="4"/>
  <c r="H763" i="4"/>
  <c r="I763" i="4"/>
  <c r="J763" i="4"/>
  <c r="K763" i="4"/>
  <c r="L763" i="4"/>
  <c r="M763" i="4"/>
  <c r="N763" i="4"/>
  <c r="O763" i="4"/>
  <c r="B764" i="4"/>
  <c r="C764" i="4"/>
  <c r="D764" i="4"/>
  <c r="E764" i="4"/>
  <c r="F764" i="4"/>
  <c r="G764" i="4"/>
  <c r="H764" i="4"/>
  <c r="I764" i="4"/>
  <c r="J764" i="4"/>
  <c r="K764" i="4"/>
  <c r="L764" i="4"/>
  <c r="M764" i="4"/>
  <c r="N764" i="4"/>
  <c r="O764" i="4"/>
  <c r="B765" i="4"/>
  <c r="C765" i="4"/>
  <c r="D765" i="4"/>
  <c r="E765" i="4"/>
  <c r="F765" i="4"/>
  <c r="G765" i="4"/>
  <c r="H765" i="4"/>
  <c r="I765" i="4"/>
  <c r="J765" i="4"/>
  <c r="K765" i="4"/>
  <c r="L765" i="4"/>
  <c r="M765" i="4"/>
  <c r="N765" i="4"/>
  <c r="O765" i="4"/>
  <c r="B766" i="4"/>
  <c r="C766" i="4"/>
  <c r="D766" i="4"/>
  <c r="E766" i="4"/>
  <c r="F766" i="4"/>
  <c r="G766" i="4"/>
  <c r="H766" i="4"/>
  <c r="I766" i="4"/>
  <c r="J766" i="4"/>
  <c r="K766" i="4"/>
  <c r="L766" i="4"/>
  <c r="M766" i="4"/>
  <c r="N766" i="4"/>
  <c r="O766" i="4"/>
  <c r="B767" i="4"/>
  <c r="C767" i="4"/>
  <c r="D767" i="4"/>
  <c r="E767" i="4"/>
  <c r="F767" i="4"/>
  <c r="G767" i="4"/>
  <c r="H767" i="4"/>
  <c r="I767" i="4"/>
  <c r="J767" i="4"/>
  <c r="K767" i="4"/>
  <c r="L767" i="4"/>
  <c r="M767" i="4"/>
  <c r="N767" i="4"/>
  <c r="O767" i="4"/>
  <c r="B768" i="4"/>
  <c r="C768" i="4"/>
  <c r="D768" i="4"/>
  <c r="E768" i="4"/>
  <c r="F768" i="4"/>
  <c r="G768" i="4"/>
  <c r="H768" i="4"/>
  <c r="I768" i="4"/>
  <c r="J768" i="4"/>
  <c r="K768" i="4"/>
  <c r="L768" i="4"/>
  <c r="M768" i="4"/>
  <c r="N768" i="4"/>
  <c r="O768" i="4"/>
  <c r="B769" i="4"/>
  <c r="C769" i="4"/>
  <c r="D769" i="4"/>
  <c r="E769" i="4"/>
  <c r="F769" i="4"/>
  <c r="G769" i="4"/>
  <c r="H769" i="4"/>
  <c r="I769" i="4"/>
  <c r="J769" i="4"/>
  <c r="K769" i="4"/>
  <c r="L769" i="4"/>
  <c r="M769" i="4"/>
  <c r="N769" i="4"/>
  <c r="O769" i="4"/>
  <c r="B770" i="4"/>
  <c r="C770" i="4"/>
  <c r="D770" i="4"/>
  <c r="E770" i="4"/>
  <c r="F770" i="4"/>
  <c r="G770" i="4"/>
  <c r="H770" i="4"/>
  <c r="I770" i="4"/>
  <c r="J770" i="4"/>
  <c r="K770" i="4"/>
  <c r="L770" i="4"/>
  <c r="M770" i="4"/>
  <c r="N770" i="4"/>
  <c r="O770" i="4"/>
  <c r="B771" i="4"/>
  <c r="C771" i="4"/>
  <c r="D771" i="4"/>
  <c r="E771" i="4"/>
  <c r="F771" i="4"/>
  <c r="G771" i="4"/>
  <c r="H771" i="4"/>
  <c r="I771" i="4"/>
  <c r="J771" i="4"/>
  <c r="K771" i="4"/>
  <c r="L771" i="4"/>
  <c r="M771" i="4"/>
  <c r="N771" i="4"/>
  <c r="O771" i="4"/>
  <c r="B772" i="4"/>
  <c r="C772" i="4"/>
  <c r="D772" i="4"/>
  <c r="E772" i="4"/>
  <c r="F772" i="4"/>
  <c r="G772" i="4"/>
  <c r="H772" i="4"/>
  <c r="I772" i="4"/>
  <c r="J772" i="4"/>
  <c r="K772" i="4"/>
  <c r="L772" i="4"/>
  <c r="M772" i="4"/>
  <c r="N772" i="4"/>
  <c r="O772" i="4"/>
  <c r="B773" i="4"/>
  <c r="C773" i="4"/>
  <c r="D773" i="4"/>
  <c r="E773" i="4"/>
  <c r="F773" i="4"/>
  <c r="G773" i="4"/>
  <c r="H773" i="4"/>
  <c r="I773" i="4"/>
  <c r="J773" i="4"/>
  <c r="K773" i="4"/>
  <c r="L773" i="4"/>
  <c r="M773" i="4"/>
  <c r="N773" i="4"/>
  <c r="O773" i="4"/>
  <c r="B774" i="4"/>
  <c r="C774" i="4"/>
  <c r="D774" i="4"/>
  <c r="E774" i="4"/>
  <c r="F774" i="4"/>
  <c r="G774" i="4"/>
  <c r="H774" i="4"/>
  <c r="I774" i="4"/>
  <c r="J774" i="4"/>
  <c r="K774" i="4"/>
  <c r="L774" i="4"/>
  <c r="M774" i="4"/>
  <c r="N774" i="4"/>
  <c r="O774" i="4"/>
  <c r="B775" i="4"/>
  <c r="C775" i="4"/>
  <c r="D775" i="4"/>
  <c r="E775" i="4"/>
  <c r="F775" i="4"/>
  <c r="G775" i="4"/>
  <c r="H775" i="4"/>
  <c r="I775" i="4"/>
  <c r="J775" i="4"/>
  <c r="K775" i="4"/>
  <c r="L775" i="4"/>
  <c r="M775" i="4"/>
  <c r="N775" i="4"/>
  <c r="O775" i="4"/>
  <c r="B776" i="4"/>
  <c r="C776" i="4"/>
  <c r="D776" i="4"/>
  <c r="E776" i="4"/>
  <c r="F776" i="4"/>
  <c r="G776" i="4"/>
  <c r="H776" i="4"/>
  <c r="I776" i="4"/>
  <c r="J776" i="4"/>
  <c r="K776" i="4"/>
  <c r="L776" i="4"/>
  <c r="M776" i="4"/>
  <c r="N776" i="4"/>
  <c r="O776" i="4"/>
  <c r="B777" i="4"/>
  <c r="C777" i="4"/>
  <c r="D777" i="4"/>
  <c r="E777" i="4"/>
  <c r="F777" i="4"/>
  <c r="G777" i="4"/>
  <c r="H777" i="4"/>
  <c r="I777" i="4"/>
  <c r="J777" i="4"/>
  <c r="K777" i="4"/>
  <c r="L777" i="4"/>
  <c r="M777" i="4"/>
  <c r="N777" i="4"/>
  <c r="O777" i="4"/>
  <c r="B778" i="4"/>
  <c r="C778" i="4"/>
  <c r="D778" i="4"/>
  <c r="E778" i="4"/>
  <c r="F778" i="4"/>
  <c r="G778" i="4"/>
  <c r="H778" i="4"/>
  <c r="I778" i="4"/>
  <c r="J778" i="4"/>
  <c r="K778" i="4"/>
  <c r="L778" i="4"/>
  <c r="M778" i="4"/>
  <c r="N778" i="4"/>
  <c r="O778" i="4"/>
  <c r="B779" i="4"/>
  <c r="C779" i="4"/>
  <c r="D779" i="4"/>
  <c r="E779" i="4"/>
  <c r="F779" i="4"/>
  <c r="G779" i="4"/>
  <c r="H779" i="4"/>
  <c r="I779" i="4"/>
  <c r="J779" i="4"/>
  <c r="K779" i="4"/>
  <c r="L779" i="4"/>
  <c r="M779" i="4"/>
  <c r="N779" i="4"/>
  <c r="O779" i="4"/>
  <c r="B780" i="4"/>
  <c r="C780" i="4"/>
  <c r="D780" i="4"/>
  <c r="E780" i="4"/>
  <c r="F780" i="4"/>
  <c r="G780" i="4"/>
  <c r="H780" i="4"/>
  <c r="I780" i="4"/>
  <c r="J780" i="4"/>
  <c r="K780" i="4"/>
  <c r="L780" i="4"/>
  <c r="M780" i="4"/>
  <c r="N780" i="4"/>
  <c r="O780" i="4"/>
  <c r="B781" i="4"/>
  <c r="C781" i="4"/>
  <c r="D781" i="4"/>
  <c r="E781" i="4"/>
  <c r="F781" i="4"/>
  <c r="G781" i="4"/>
  <c r="H781" i="4"/>
  <c r="I781" i="4"/>
  <c r="J781" i="4"/>
  <c r="K781" i="4"/>
  <c r="L781" i="4"/>
  <c r="M781" i="4"/>
  <c r="N781" i="4"/>
  <c r="O781" i="4"/>
  <c r="B782" i="4"/>
  <c r="C782" i="4"/>
  <c r="D782" i="4"/>
  <c r="E782" i="4"/>
  <c r="F782" i="4"/>
  <c r="G782" i="4"/>
  <c r="H782" i="4"/>
  <c r="I782" i="4"/>
  <c r="J782" i="4"/>
  <c r="K782" i="4"/>
  <c r="L782" i="4"/>
  <c r="M782" i="4"/>
  <c r="N782" i="4"/>
  <c r="O782" i="4"/>
  <c r="B783" i="4"/>
  <c r="C783" i="4"/>
  <c r="D783" i="4"/>
  <c r="E783" i="4"/>
  <c r="F783" i="4"/>
  <c r="G783" i="4"/>
  <c r="H783" i="4"/>
  <c r="I783" i="4"/>
  <c r="J783" i="4"/>
  <c r="K783" i="4"/>
  <c r="L783" i="4"/>
  <c r="M783" i="4"/>
  <c r="N783" i="4"/>
  <c r="O783" i="4"/>
  <c r="B784" i="4"/>
  <c r="C784" i="4"/>
  <c r="D784" i="4"/>
  <c r="E784" i="4"/>
  <c r="F784" i="4"/>
  <c r="G784" i="4"/>
  <c r="H784" i="4"/>
  <c r="I784" i="4"/>
  <c r="J784" i="4"/>
  <c r="K784" i="4"/>
  <c r="L784" i="4"/>
  <c r="M784" i="4"/>
  <c r="N784" i="4"/>
  <c r="O784" i="4"/>
  <c r="B785" i="4"/>
  <c r="C785" i="4"/>
  <c r="D785" i="4"/>
  <c r="E785" i="4"/>
  <c r="F785" i="4"/>
  <c r="G785" i="4"/>
  <c r="H785" i="4"/>
  <c r="I785" i="4"/>
  <c r="J785" i="4"/>
  <c r="K785" i="4"/>
  <c r="L785" i="4"/>
  <c r="M785" i="4"/>
  <c r="N785" i="4"/>
  <c r="O785" i="4"/>
  <c r="B786" i="4"/>
  <c r="C786" i="4"/>
  <c r="D786" i="4"/>
  <c r="E786" i="4"/>
  <c r="F786" i="4"/>
  <c r="G786" i="4"/>
  <c r="H786" i="4"/>
  <c r="I786" i="4"/>
  <c r="J786" i="4"/>
  <c r="K786" i="4"/>
  <c r="L786" i="4"/>
  <c r="M786" i="4"/>
  <c r="N786" i="4"/>
  <c r="O786" i="4"/>
  <c r="B787" i="4"/>
  <c r="C787" i="4"/>
  <c r="D787" i="4"/>
  <c r="E787" i="4"/>
  <c r="F787" i="4"/>
  <c r="G787" i="4"/>
  <c r="H787" i="4"/>
  <c r="I787" i="4"/>
  <c r="J787" i="4"/>
  <c r="K787" i="4"/>
  <c r="L787" i="4"/>
  <c r="M787" i="4"/>
  <c r="N787" i="4"/>
  <c r="O787" i="4"/>
  <c r="B788" i="4"/>
  <c r="C788" i="4"/>
  <c r="D788" i="4"/>
  <c r="E788" i="4"/>
  <c r="F788" i="4"/>
  <c r="G788" i="4"/>
  <c r="H788" i="4"/>
  <c r="I788" i="4"/>
  <c r="J788" i="4"/>
  <c r="K788" i="4"/>
  <c r="L788" i="4"/>
  <c r="M788" i="4"/>
  <c r="N788" i="4"/>
  <c r="O788" i="4"/>
  <c r="B789" i="4"/>
  <c r="C789" i="4"/>
  <c r="D789" i="4"/>
  <c r="E789" i="4"/>
  <c r="F789" i="4"/>
  <c r="G789" i="4"/>
  <c r="H789" i="4"/>
  <c r="I789" i="4"/>
  <c r="J789" i="4"/>
  <c r="K789" i="4"/>
  <c r="L789" i="4"/>
  <c r="M789" i="4"/>
  <c r="N789" i="4"/>
  <c r="O789" i="4"/>
  <c r="B790" i="4"/>
  <c r="C790" i="4"/>
  <c r="D790" i="4"/>
  <c r="E790" i="4"/>
  <c r="F790" i="4"/>
  <c r="G790" i="4"/>
  <c r="H790" i="4"/>
  <c r="I790" i="4"/>
  <c r="J790" i="4"/>
  <c r="K790" i="4"/>
  <c r="L790" i="4"/>
  <c r="M790" i="4"/>
  <c r="N790" i="4"/>
  <c r="O790" i="4"/>
  <c r="B791" i="4"/>
  <c r="C791" i="4"/>
  <c r="D791" i="4"/>
  <c r="E791" i="4"/>
  <c r="F791" i="4"/>
  <c r="G791" i="4"/>
  <c r="H791" i="4"/>
  <c r="I791" i="4"/>
  <c r="J791" i="4"/>
  <c r="K791" i="4"/>
  <c r="L791" i="4"/>
  <c r="M791" i="4"/>
  <c r="N791" i="4"/>
  <c r="O791" i="4"/>
  <c r="B792" i="4"/>
  <c r="C792" i="4"/>
  <c r="D792" i="4"/>
  <c r="E792" i="4"/>
  <c r="F792" i="4"/>
  <c r="G792" i="4"/>
  <c r="H792" i="4"/>
  <c r="I792" i="4"/>
  <c r="J792" i="4"/>
  <c r="K792" i="4"/>
  <c r="L792" i="4"/>
  <c r="M792" i="4"/>
  <c r="N792" i="4"/>
  <c r="O792" i="4"/>
  <c r="B793" i="4"/>
  <c r="C793" i="4"/>
  <c r="D793" i="4"/>
  <c r="E793" i="4"/>
  <c r="F793" i="4"/>
  <c r="G793" i="4"/>
  <c r="H793" i="4"/>
  <c r="I793" i="4"/>
  <c r="J793" i="4"/>
  <c r="K793" i="4"/>
  <c r="L793" i="4"/>
  <c r="M793" i="4"/>
  <c r="N793" i="4"/>
  <c r="O793" i="4"/>
  <c r="B794" i="4"/>
  <c r="C794" i="4"/>
  <c r="D794" i="4"/>
  <c r="E794" i="4"/>
  <c r="F794" i="4"/>
  <c r="G794" i="4"/>
  <c r="H794" i="4"/>
  <c r="I794" i="4"/>
  <c r="J794" i="4"/>
  <c r="K794" i="4"/>
  <c r="L794" i="4"/>
  <c r="M794" i="4"/>
  <c r="N794" i="4"/>
  <c r="O794" i="4"/>
  <c r="B795" i="4"/>
  <c r="C795" i="4"/>
  <c r="D795" i="4"/>
  <c r="E795" i="4"/>
  <c r="F795" i="4"/>
  <c r="G795" i="4"/>
  <c r="H795" i="4"/>
  <c r="I795" i="4"/>
  <c r="J795" i="4"/>
  <c r="K795" i="4"/>
  <c r="L795" i="4"/>
  <c r="M795" i="4"/>
  <c r="N795" i="4"/>
  <c r="O795" i="4"/>
  <c r="B796" i="4"/>
  <c r="C796" i="4"/>
  <c r="D796" i="4"/>
  <c r="E796" i="4"/>
  <c r="F796" i="4"/>
  <c r="G796" i="4"/>
  <c r="H796" i="4"/>
  <c r="I796" i="4"/>
  <c r="J796" i="4"/>
  <c r="K796" i="4"/>
  <c r="L796" i="4"/>
  <c r="M796" i="4"/>
  <c r="N796" i="4"/>
  <c r="O796" i="4"/>
  <c r="B797" i="4"/>
  <c r="C797" i="4"/>
  <c r="D797" i="4"/>
  <c r="E797" i="4"/>
  <c r="F797" i="4"/>
  <c r="G797" i="4"/>
  <c r="H797" i="4"/>
  <c r="I797" i="4"/>
  <c r="J797" i="4"/>
  <c r="K797" i="4"/>
  <c r="L797" i="4"/>
  <c r="M797" i="4"/>
  <c r="N797" i="4"/>
  <c r="O797" i="4"/>
  <c r="B798" i="4"/>
  <c r="C798" i="4"/>
  <c r="D798" i="4"/>
  <c r="E798" i="4"/>
  <c r="F798" i="4"/>
  <c r="G798" i="4"/>
  <c r="H798" i="4"/>
  <c r="I798" i="4"/>
  <c r="J798" i="4"/>
  <c r="K798" i="4"/>
  <c r="L798" i="4"/>
  <c r="M798" i="4"/>
  <c r="N798" i="4"/>
  <c r="O798" i="4"/>
  <c r="B799" i="4"/>
  <c r="C799" i="4"/>
  <c r="D799" i="4"/>
  <c r="E799" i="4"/>
  <c r="F799" i="4"/>
  <c r="G799" i="4"/>
  <c r="H799" i="4"/>
  <c r="I799" i="4"/>
  <c r="J799" i="4"/>
  <c r="K799" i="4"/>
  <c r="L799" i="4"/>
  <c r="M799" i="4"/>
  <c r="N799" i="4"/>
  <c r="O799" i="4"/>
  <c r="B800" i="4"/>
  <c r="C800" i="4"/>
  <c r="D800" i="4"/>
  <c r="E800" i="4"/>
  <c r="F800" i="4"/>
  <c r="G800" i="4"/>
  <c r="H800" i="4"/>
  <c r="I800" i="4"/>
  <c r="J800" i="4"/>
  <c r="K800" i="4"/>
  <c r="L800" i="4"/>
  <c r="M800" i="4"/>
  <c r="N800" i="4"/>
  <c r="O800" i="4"/>
  <c r="B801" i="4"/>
  <c r="C801" i="4"/>
  <c r="D801" i="4"/>
  <c r="E801" i="4"/>
  <c r="F801" i="4"/>
  <c r="G801" i="4"/>
  <c r="H801" i="4"/>
  <c r="I801" i="4"/>
  <c r="J801" i="4"/>
  <c r="K801" i="4"/>
  <c r="L801" i="4"/>
  <c r="M801" i="4"/>
  <c r="N801" i="4"/>
  <c r="O801" i="4"/>
  <c r="B802" i="4"/>
  <c r="C802" i="4"/>
  <c r="D802" i="4"/>
  <c r="E802" i="4"/>
  <c r="F802" i="4"/>
  <c r="G802" i="4"/>
  <c r="H802" i="4"/>
  <c r="I802" i="4"/>
  <c r="J802" i="4"/>
  <c r="K802" i="4"/>
  <c r="L802" i="4"/>
  <c r="M802" i="4"/>
  <c r="N802" i="4"/>
  <c r="O802" i="4"/>
  <c r="B803" i="4"/>
  <c r="C803" i="4"/>
  <c r="D803" i="4"/>
  <c r="E803" i="4"/>
  <c r="F803" i="4"/>
  <c r="G803" i="4"/>
  <c r="H803" i="4"/>
  <c r="I803" i="4"/>
  <c r="J803" i="4"/>
  <c r="K803" i="4"/>
  <c r="L803" i="4"/>
  <c r="M803" i="4"/>
  <c r="N803" i="4"/>
  <c r="O803" i="4"/>
  <c r="B804" i="4"/>
  <c r="C804" i="4"/>
  <c r="D804" i="4"/>
  <c r="E804" i="4"/>
  <c r="F804" i="4"/>
  <c r="G804" i="4"/>
  <c r="H804" i="4"/>
  <c r="I804" i="4"/>
  <c r="J804" i="4"/>
  <c r="K804" i="4"/>
  <c r="L804" i="4"/>
  <c r="M804" i="4"/>
  <c r="N804" i="4"/>
  <c r="O804" i="4"/>
  <c r="B805" i="4"/>
  <c r="C805" i="4"/>
  <c r="D805" i="4"/>
  <c r="E805" i="4"/>
  <c r="F805" i="4"/>
  <c r="G805" i="4"/>
  <c r="H805" i="4"/>
  <c r="I805" i="4"/>
  <c r="J805" i="4"/>
  <c r="K805" i="4"/>
  <c r="L805" i="4"/>
  <c r="M805" i="4"/>
  <c r="N805" i="4"/>
  <c r="O805" i="4"/>
  <c r="B806" i="4"/>
  <c r="C806" i="4"/>
  <c r="D806" i="4"/>
  <c r="E806" i="4"/>
  <c r="F806" i="4"/>
  <c r="G806" i="4"/>
  <c r="H806" i="4"/>
  <c r="I806" i="4"/>
  <c r="J806" i="4"/>
  <c r="K806" i="4"/>
  <c r="L806" i="4"/>
  <c r="M806" i="4"/>
  <c r="N806" i="4"/>
  <c r="O806" i="4"/>
  <c r="B807" i="4"/>
  <c r="C807" i="4"/>
  <c r="D807" i="4"/>
  <c r="E807" i="4"/>
  <c r="F807" i="4"/>
  <c r="G807" i="4"/>
  <c r="H807" i="4"/>
  <c r="I807" i="4"/>
  <c r="J807" i="4"/>
  <c r="K807" i="4"/>
  <c r="L807" i="4"/>
  <c r="M807" i="4"/>
  <c r="N807" i="4"/>
  <c r="O807" i="4"/>
  <c r="B808" i="4"/>
  <c r="C808" i="4"/>
  <c r="D808" i="4"/>
  <c r="E808" i="4"/>
  <c r="F808" i="4"/>
  <c r="G808" i="4"/>
  <c r="H808" i="4"/>
  <c r="I808" i="4"/>
  <c r="J808" i="4"/>
  <c r="K808" i="4"/>
  <c r="L808" i="4"/>
  <c r="M808" i="4"/>
  <c r="N808" i="4"/>
  <c r="O808" i="4"/>
  <c r="B809" i="4"/>
  <c r="C809" i="4"/>
  <c r="D809" i="4"/>
  <c r="E809" i="4"/>
  <c r="F809" i="4"/>
  <c r="G809" i="4"/>
  <c r="H809" i="4"/>
  <c r="I809" i="4"/>
  <c r="J809" i="4"/>
  <c r="K809" i="4"/>
  <c r="L809" i="4"/>
  <c r="M809" i="4"/>
  <c r="N809" i="4"/>
  <c r="O809" i="4"/>
  <c r="B810" i="4"/>
  <c r="C810" i="4"/>
  <c r="D810" i="4"/>
  <c r="E810" i="4"/>
  <c r="F810" i="4"/>
  <c r="G810" i="4"/>
  <c r="H810" i="4"/>
  <c r="I810" i="4"/>
  <c r="J810" i="4"/>
  <c r="K810" i="4"/>
  <c r="L810" i="4"/>
  <c r="M810" i="4"/>
  <c r="N810" i="4"/>
  <c r="O810" i="4"/>
  <c r="B811" i="4"/>
  <c r="C811" i="4"/>
  <c r="D811" i="4"/>
  <c r="E811" i="4"/>
  <c r="F811" i="4"/>
  <c r="G811" i="4"/>
  <c r="H811" i="4"/>
  <c r="I811" i="4"/>
  <c r="J811" i="4"/>
  <c r="K811" i="4"/>
  <c r="L811" i="4"/>
  <c r="M811" i="4"/>
  <c r="N811" i="4"/>
  <c r="O811" i="4"/>
  <c r="B812" i="4"/>
  <c r="C812" i="4"/>
  <c r="D812" i="4"/>
  <c r="E812" i="4"/>
  <c r="F812" i="4"/>
  <c r="G812" i="4"/>
  <c r="H812" i="4"/>
  <c r="I812" i="4"/>
  <c r="J812" i="4"/>
  <c r="K812" i="4"/>
  <c r="L812" i="4"/>
  <c r="M812" i="4"/>
  <c r="N812" i="4"/>
  <c r="O812" i="4"/>
  <c r="B813" i="4"/>
  <c r="C813" i="4"/>
  <c r="D813" i="4"/>
  <c r="E813" i="4"/>
  <c r="F813" i="4"/>
  <c r="G813" i="4"/>
  <c r="H813" i="4"/>
  <c r="I813" i="4"/>
  <c r="J813" i="4"/>
  <c r="K813" i="4"/>
  <c r="L813" i="4"/>
  <c r="M813" i="4"/>
  <c r="N813" i="4"/>
  <c r="O813" i="4"/>
  <c r="B814" i="4"/>
  <c r="C814" i="4"/>
  <c r="D814" i="4"/>
  <c r="E814" i="4"/>
  <c r="F814" i="4"/>
  <c r="G814" i="4"/>
  <c r="H814" i="4"/>
  <c r="I814" i="4"/>
  <c r="J814" i="4"/>
  <c r="K814" i="4"/>
  <c r="L814" i="4"/>
  <c r="M814" i="4"/>
  <c r="N814" i="4"/>
  <c r="O814" i="4"/>
  <c r="B815" i="4"/>
  <c r="C815" i="4"/>
  <c r="D815" i="4"/>
  <c r="E815" i="4"/>
  <c r="F815" i="4"/>
  <c r="G815" i="4"/>
  <c r="H815" i="4"/>
  <c r="I815" i="4"/>
  <c r="J815" i="4"/>
  <c r="K815" i="4"/>
  <c r="L815" i="4"/>
  <c r="M815" i="4"/>
  <c r="N815" i="4"/>
  <c r="O815" i="4"/>
  <c r="B816" i="4"/>
  <c r="C816" i="4"/>
  <c r="D816" i="4"/>
  <c r="E816" i="4"/>
  <c r="F816" i="4"/>
  <c r="G816" i="4"/>
  <c r="H816" i="4"/>
  <c r="I816" i="4"/>
  <c r="J816" i="4"/>
  <c r="K816" i="4"/>
  <c r="L816" i="4"/>
  <c r="M816" i="4"/>
  <c r="N816" i="4"/>
  <c r="O816" i="4"/>
  <c r="B817" i="4"/>
  <c r="C817" i="4"/>
  <c r="D817" i="4"/>
  <c r="E817" i="4"/>
  <c r="F817" i="4"/>
  <c r="G817" i="4"/>
  <c r="H817" i="4"/>
  <c r="I817" i="4"/>
  <c r="J817" i="4"/>
  <c r="K817" i="4"/>
  <c r="L817" i="4"/>
  <c r="M817" i="4"/>
  <c r="N817" i="4"/>
  <c r="O817" i="4"/>
  <c r="B818" i="4"/>
  <c r="C818" i="4"/>
  <c r="D818" i="4"/>
  <c r="E818" i="4"/>
  <c r="F818" i="4"/>
  <c r="G818" i="4"/>
  <c r="H818" i="4"/>
  <c r="I818" i="4"/>
  <c r="J818" i="4"/>
  <c r="K818" i="4"/>
  <c r="L818" i="4"/>
  <c r="M818" i="4"/>
  <c r="N818" i="4"/>
  <c r="O818" i="4"/>
  <c r="B819" i="4"/>
  <c r="C819" i="4"/>
  <c r="D819" i="4"/>
  <c r="E819" i="4"/>
  <c r="F819" i="4"/>
  <c r="G819" i="4"/>
  <c r="H819" i="4"/>
  <c r="I819" i="4"/>
  <c r="J819" i="4"/>
  <c r="K819" i="4"/>
  <c r="L819" i="4"/>
  <c r="M819" i="4"/>
  <c r="N819" i="4"/>
  <c r="O819" i="4"/>
  <c r="B820" i="4"/>
  <c r="C820" i="4"/>
  <c r="D820" i="4"/>
  <c r="E820" i="4"/>
  <c r="F820" i="4"/>
  <c r="G820" i="4"/>
  <c r="H820" i="4"/>
  <c r="I820" i="4"/>
  <c r="J820" i="4"/>
  <c r="K820" i="4"/>
  <c r="L820" i="4"/>
  <c r="M820" i="4"/>
  <c r="N820" i="4"/>
  <c r="O820" i="4"/>
  <c r="B821" i="4"/>
  <c r="C821" i="4"/>
  <c r="D821" i="4"/>
  <c r="E821" i="4"/>
  <c r="F821" i="4"/>
  <c r="G821" i="4"/>
  <c r="H821" i="4"/>
  <c r="I821" i="4"/>
  <c r="J821" i="4"/>
  <c r="K821" i="4"/>
  <c r="L821" i="4"/>
  <c r="M821" i="4"/>
  <c r="N821" i="4"/>
  <c r="O821" i="4"/>
  <c r="B822" i="4"/>
  <c r="C822" i="4"/>
  <c r="D822" i="4"/>
  <c r="E822" i="4"/>
  <c r="F822" i="4"/>
  <c r="G822" i="4"/>
  <c r="H822" i="4"/>
  <c r="I822" i="4"/>
  <c r="J822" i="4"/>
  <c r="K822" i="4"/>
  <c r="L822" i="4"/>
  <c r="M822" i="4"/>
  <c r="N822" i="4"/>
  <c r="O822" i="4"/>
  <c r="B823" i="4"/>
  <c r="C823" i="4"/>
  <c r="D823" i="4"/>
  <c r="E823" i="4"/>
  <c r="F823" i="4"/>
  <c r="G823" i="4"/>
  <c r="H823" i="4"/>
  <c r="I823" i="4"/>
  <c r="J823" i="4"/>
  <c r="K823" i="4"/>
  <c r="L823" i="4"/>
  <c r="M823" i="4"/>
  <c r="N823" i="4"/>
  <c r="O823" i="4"/>
  <c r="B824" i="4"/>
  <c r="C824" i="4"/>
  <c r="D824" i="4"/>
  <c r="E824" i="4"/>
  <c r="F824" i="4"/>
  <c r="G824" i="4"/>
  <c r="H824" i="4"/>
  <c r="I824" i="4"/>
  <c r="J824" i="4"/>
  <c r="K824" i="4"/>
  <c r="L824" i="4"/>
  <c r="M824" i="4"/>
  <c r="N824" i="4"/>
  <c r="O824" i="4"/>
  <c r="B825" i="4"/>
  <c r="C825" i="4"/>
  <c r="D825" i="4"/>
  <c r="E825" i="4"/>
  <c r="F825" i="4"/>
  <c r="G825" i="4"/>
  <c r="H825" i="4"/>
  <c r="I825" i="4"/>
  <c r="J825" i="4"/>
  <c r="K825" i="4"/>
  <c r="L825" i="4"/>
  <c r="M825" i="4"/>
  <c r="N825" i="4"/>
  <c r="O825" i="4"/>
  <c r="B826" i="4"/>
  <c r="C826" i="4"/>
  <c r="D826" i="4"/>
  <c r="E826" i="4"/>
  <c r="F826" i="4"/>
  <c r="G826" i="4"/>
  <c r="H826" i="4"/>
  <c r="I826" i="4"/>
  <c r="J826" i="4"/>
  <c r="K826" i="4"/>
  <c r="L826" i="4"/>
  <c r="M826" i="4"/>
  <c r="N826" i="4"/>
  <c r="O826" i="4"/>
  <c r="B827" i="4"/>
  <c r="C827" i="4"/>
  <c r="D827" i="4"/>
  <c r="E827" i="4"/>
  <c r="F827" i="4"/>
  <c r="G827" i="4"/>
  <c r="H827" i="4"/>
  <c r="I827" i="4"/>
  <c r="J827" i="4"/>
  <c r="K827" i="4"/>
  <c r="L827" i="4"/>
  <c r="M827" i="4"/>
  <c r="N827" i="4"/>
  <c r="O827" i="4"/>
  <c r="B828" i="4"/>
  <c r="C828" i="4"/>
  <c r="D828" i="4"/>
  <c r="E828" i="4"/>
  <c r="F828" i="4"/>
  <c r="G828" i="4"/>
  <c r="H828" i="4"/>
  <c r="I828" i="4"/>
  <c r="J828" i="4"/>
  <c r="K828" i="4"/>
  <c r="L828" i="4"/>
  <c r="M828" i="4"/>
  <c r="N828" i="4"/>
  <c r="O828" i="4"/>
  <c r="B829" i="4"/>
  <c r="C829" i="4"/>
  <c r="D829" i="4"/>
  <c r="E829" i="4"/>
  <c r="F829" i="4"/>
  <c r="G829" i="4"/>
  <c r="H829" i="4"/>
  <c r="I829" i="4"/>
  <c r="J829" i="4"/>
  <c r="K829" i="4"/>
  <c r="L829" i="4"/>
  <c r="M829" i="4"/>
  <c r="N829" i="4"/>
  <c r="O829" i="4"/>
  <c r="B830" i="4"/>
  <c r="C830" i="4"/>
  <c r="D830" i="4"/>
  <c r="E830" i="4"/>
  <c r="F830" i="4"/>
  <c r="G830" i="4"/>
  <c r="H830" i="4"/>
  <c r="I830" i="4"/>
  <c r="J830" i="4"/>
  <c r="K830" i="4"/>
  <c r="L830" i="4"/>
  <c r="M830" i="4"/>
  <c r="N830" i="4"/>
  <c r="O830" i="4"/>
  <c r="B831" i="4"/>
  <c r="C831" i="4"/>
  <c r="D831" i="4"/>
  <c r="E831" i="4"/>
  <c r="F831" i="4"/>
  <c r="G831" i="4"/>
  <c r="H831" i="4"/>
  <c r="I831" i="4"/>
  <c r="J831" i="4"/>
  <c r="K831" i="4"/>
  <c r="L831" i="4"/>
  <c r="M831" i="4"/>
  <c r="N831" i="4"/>
  <c r="O831" i="4"/>
  <c r="B832" i="4"/>
  <c r="C832" i="4"/>
  <c r="D832" i="4"/>
  <c r="E832" i="4"/>
  <c r="F832" i="4"/>
  <c r="G832" i="4"/>
  <c r="H832" i="4"/>
  <c r="I832" i="4"/>
  <c r="J832" i="4"/>
  <c r="K832" i="4"/>
  <c r="L832" i="4"/>
  <c r="M832" i="4"/>
  <c r="N832" i="4"/>
  <c r="O832" i="4"/>
  <c r="B833" i="4"/>
  <c r="C833" i="4"/>
  <c r="D833" i="4"/>
  <c r="E833" i="4"/>
  <c r="F833" i="4"/>
  <c r="G833" i="4"/>
  <c r="H833" i="4"/>
  <c r="I833" i="4"/>
  <c r="J833" i="4"/>
  <c r="K833" i="4"/>
  <c r="L833" i="4"/>
  <c r="M833" i="4"/>
  <c r="N833" i="4"/>
  <c r="O833" i="4"/>
  <c r="B834" i="4"/>
  <c r="C834" i="4"/>
  <c r="D834" i="4"/>
  <c r="E834" i="4"/>
  <c r="F834" i="4"/>
  <c r="G834" i="4"/>
  <c r="H834" i="4"/>
  <c r="I834" i="4"/>
  <c r="J834" i="4"/>
  <c r="K834" i="4"/>
  <c r="L834" i="4"/>
  <c r="M834" i="4"/>
  <c r="N834" i="4"/>
  <c r="O834" i="4"/>
  <c r="B835" i="4"/>
  <c r="C835" i="4"/>
  <c r="D835" i="4"/>
  <c r="E835" i="4"/>
  <c r="F835" i="4"/>
  <c r="G835" i="4"/>
  <c r="H835" i="4"/>
  <c r="I835" i="4"/>
  <c r="J835" i="4"/>
  <c r="K835" i="4"/>
  <c r="L835" i="4"/>
  <c r="M835" i="4"/>
  <c r="N835" i="4"/>
  <c r="O835" i="4"/>
  <c r="B836" i="4"/>
  <c r="C836" i="4"/>
  <c r="D836" i="4"/>
  <c r="E836" i="4"/>
  <c r="F836" i="4"/>
  <c r="G836" i="4"/>
  <c r="H836" i="4"/>
  <c r="I836" i="4"/>
  <c r="J836" i="4"/>
  <c r="K836" i="4"/>
  <c r="L836" i="4"/>
  <c r="M836" i="4"/>
  <c r="N836" i="4"/>
  <c r="O836" i="4"/>
  <c r="B837" i="4"/>
  <c r="C837" i="4"/>
  <c r="D837" i="4"/>
  <c r="E837" i="4"/>
  <c r="F837" i="4"/>
  <c r="G837" i="4"/>
  <c r="H837" i="4"/>
  <c r="I837" i="4"/>
  <c r="J837" i="4"/>
  <c r="K837" i="4"/>
  <c r="L837" i="4"/>
  <c r="M837" i="4"/>
  <c r="N837" i="4"/>
  <c r="O837" i="4"/>
  <c r="B838" i="4"/>
  <c r="C838" i="4"/>
  <c r="D838" i="4"/>
  <c r="E838" i="4"/>
  <c r="F838" i="4"/>
  <c r="G838" i="4"/>
  <c r="H838" i="4"/>
  <c r="I838" i="4"/>
  <c r="J838" i="4"/>
  <c r="K838" i="4"/>
  <c r="L838" i="4"/>
  <c r="M838" i="4"/>
  <c r="N838" i="4"/>
  <c r="O838" i="4"/>
  <c r="B839" i="4"/>
  <c r="C839" i="4"/>
  <c r="D839" i="4"/>
  <c r="E839" i="4"/>
  <c r="F839" i="4"/>
  <c r="G839" i="4"/>
  <c r="H839" i="4"/>
  <c r="I839" i="4"/>
  <c r="J839" i="4"/>
  <c r="K839" i="4"/>
  <c r="L839" i="4"/>
  <c r="M839" i="4"/>
  <c r="N839" i="4"/>
  <c r="O839" i="4"/>
  <c r="B840" i="4"/>
  <c r="C840" i="4"/>
  <c r="D840" i="4"/>
  <c r="E840" i="4"/>
  <c r="F840" i="4"/>
  <c r="G840" i="4"/>
  <c r="H840" i="4"/>
  <c r="I840" i="4"/>
  <c r="J840" i="4"/>
  <c r="K840" i="4"/>
  <c r="L840" i="4"/>
  <c r="M840" i="4"/>
  <c r="N840" i="4"/>
  <c r="O840" i="4"/>
  <c r="B841" i="4"/>
  <c r="C841" i="4"/>
  <c r="D841" i="4"/>
  <c r="E841" i="4"/>
  <c r="F841" i="4"/>
  <c r="G841" i="4"/>
  <c r="H841" i="4"/>
  <c r="I841" i="4"/>
  <c r="J841" i="4"/>
  <c r="K841" i="4"/>
  <c r="L841" i="4"/>
  <c r="M841" i="4"/>
  <c r="N841" i="4"/>
  <c r="O841" i="4"/>
  <c r="B842" i="4"/>
  <c r="C842" i="4"/>
  <c r="D842" i="4"/>
  <c r="E842" i="4"/>
  <c r="F842" i="4"/>
  <c r="G842" i="4"/>
  <c r="H842" i="4"/>
  <c r="I842" i="4"/>
  <c r="J842" i="4"/>
  <c r="K842" i="4"/>
  <c r="L842" i="4"/>
  <c r="M842" i="4"/>
  <c r="N842" i="4"/>
  <c r="O842" i="4"/>
  <c r="B843" i="4"/>
  <c r="C843" i="4"/>
  <c r="D843" i="4"/>
  <c r="E843" i="4"/>
  <c r="F843" i="4"/>
  <c r="G843" i="4"/>
  <c r="H843" i="4"/>
  <c r="I843" i="4"/>
  <c r="J843" i="4"/>
  <c r="K843" i="4"/>
  <c r="L843" i="4"/>
  <c r="M843" i="4"/>
  <c r="N843" i="4"/>
  <c r="O843" i="4"/>
  <c r="B844" i="4"/>
  <c r="C844" i="4"/>
  <c r="D844" i="4"/>
  <c r="E844" i="4"/>
  <c r="F844" i="4"/>
  <c r="G844" i="4"/>
  <c r="H844" i="4"/>
  <c r="I844" i="4"/>
  <c r="J844" i="4"/>
  <c r="K844" i="4"/>
  <c r="L844" i="4"/>
  <c r="M844" i="4"/>
  <c r="N844" i="4"/>
  <c r="O844" i="4"/>
  <c r="B845" i="4"/>
  <c r="C845" i="4"/>
  <c r="D845" i="4"/>
  <c r="E845" i="4"/>
  <c r="F845" i="4"/>
  <c r="G845" i="4"/>
  <c r="H845" i="4"/>
  <c r="I845" i="4"/>
  <c r="J845" i="4"/>
  <c r="K845" i="4"/>
  <c r="L845" i="4"/>
  <c r="M845" i="4"/>
  <c r="N845" i="4"/>
  <c r="O845" i="4"/>
  <c r="B846" i="4"/>
  <c r="C846" i="4"/>
  <c r="D846" i="4"/>
  <c r="E846" i="4"/>
  <c r="F846" i="4"/>
  <c r="G846" i="4"/>
  <c r="H846" i="4"/>
  <c r="I846" i="4"/>
  <c r="J846" i="4"/>
  <c r="K846" i="4"/>
  <c r="L846" i="4"/>
  <c r="M846" i="4"/>
  <c r="N846" i="4"/>
  <c r="O846" i="4"/>
  <c r="B847" i="4"/>
  <c r="C847" i="4"/>
  <c r="D847" i="4"/>
  <c r="E847" i="4"/>
  <c r="F847" i="4"/>
  <c r="G847" i="4"/>
  <c r="H847" i="4"/>
  <c r="I847" i="4"/>
  <c r="J847" i="4"/>
  <c r="K847" i="4"/>
  <c r="L847" i="4"/>
  <c r="M847" i="4"/>
  <c r="N847" i="4"/>
  <c r="O847" i="4"/>
  <c r="B848" i="4"/>
  <c r="C848" i="4"/>
  <c r="D848" i="4"/>
  <c r="E848" i="4"/>
  <c r="F848" i="4"/>
  <c r="G848" i="4"/>
  <c r="H848" i="4"/>
  <c r="I848" i="4"/>
  <c r="J848" i="4"/>
  <c r="K848" i="4"/>
  <c r="L848" i="4"/>
  <c r="M848" i="4"/>
  <c r="N848" i="4"/>
  <c r="O848" i="4"/>
  <c r="B849" i="4"/>
  <c r="C849" i="4"/>
  <c r="D849" i="4"/>
  <c r="E849" i="4"/>
  <c r="F849" i="4"/>
  <c r="G849" i="4"/>
  <c r="H849" i="4"/>
  <c r="I849" i="4"/>
  <c r="J849" i="4"/>
  <c r="K849" i="4"/>
  <c r="L849" i="4"/>
  <c r="M849" i="4"/>
  <c r="N849" i="4"/>
  <c r="O849" i="4"/>
  <c r="B850" i="4"/>
  <c r="C850" i="4"/>
  <c r="D850" i="4"/>
  <c r="E850" i="4"/>
  <c r="F850" i="4"/>
  <c r="G850" i="4"/>
  <c r="H850" i="4"/>
  <c r="I850" i="4"/>
  <c r="J850" i="4"/>
  <c r="K850" i="4"/>
  <c r="L850" i="4"/>
  <c r="M850" i="4"/>
  <c r="N850" i="4"/>
  <c r="O850" i="4"/>
  <c r="B851" i="4"/>
  <c r="C851" i="4"/>
  <c r="D851" i="4"/>
  <c r="E851" i="4"/>
  <c r="F851" i="4"/>
  <c r="G851" i="4"/>
  <c r="H851" i="4"/>
  <c r="I851" i="4"/>
  <c r="J851" i="4"/>
  <c r="K851" i="4"/>
  <c r="L851" i="4"/>
  <c r="M851" i="4"/>
  <c r="N851" i="4"/>
  <c r="O851" i="4"/>
  <c r="B852" i="4"/>
  <c r="C852" i="4"/>
  <c r="D852" i="4"/>
  <c r="E852" i="4"/>
  <c r="F852" i="4"/>
  <c r="G852" i="4"/>
  <c r="H852" i="4"/>
  <c r="I852" i="4"/>
  <c r="J852" i="4"/>
  <c r="K852" i="4"/>
  <c r="L852" i="4"/>
  <c r="M852" i="4"/>
  <c r="N852" i="4"/>
  <c r="O852" i="4"/>
  <c r="B853" i="4"/>
  <c r="C853" i="4"/>
  <c r="D853" i="4"/>
  <c r="E853" i="4"/>
  <c r="F853" i="4"/>
  <c r="G853" i="4"/>
  <c r="H853" i="4"/>
  <c r="I853" i="4"/>
  <c r="J853" i="4"/>
  <c r="K853" i="4"/>
  <c r="L853" i="4"/>
  <c r="M853" i="4"/>
  <c r="N853" i="4"/>
  <c r="O853" i="4"/>
  <c r="B854" i="4"/>
  <c r="C854" i="4"/>
  <c r="D854" i="4"/>
  <c r="E854" i="4"/>
  <c r="F854" i="4"/>
  <c r="G854" i="4"/>
  <c r="H854" i="4"/>
  <c r="I854" i="4"/>
  <c r="J854" i="4"/>
  <c r="K854" i="4"/>
  <c r="L854" i="4"/>
  <c r="M854" i="4"/>
  <c r="N854" i="4"/>
  <c r="O854" i="4"/>
  <c r="B855" i="4"/>
  <c r="C855" i="4"/>
  <c r="D855" i="4"/>
  <c r="E855" i="4"/>
  <c r="F855" i="4"/>
  <c r="G855" i="4"/>
  <c r="H855" i="4"/>
  <c r="I855" i="4"/>
  <c r="J855" i="4"/>
  <c r="K855" i="4"/>
  <c r="L855" i="4"/>
  <c r="M855" i="4"/>
  <c r="N855" i="4"/>
  <c r="O855" i="4"/>
  <c r="B856" i="4"/>
  <c r="C856" i="4"/>
  <c r="D856" i="4"/>
  <c r="E856" i="4"/>
  <c r="F856" i="4"/>
  <c r="G856" i="4"/>
  <c r="H856" i="4"/>
  <c r="I856" i="4"/>
  <c r="J856" i="4"/>
  <c r="K856" i="4"/>
  <c r="L856" i="4"/>
  <c r="M856" i="4"/>
  <c r="N856" i="4"/>
  <c r="O856" i="4"/>
  <c r="B857" i="4"/>
  <c r="C857" i="4"/>
  <c r="D857" i="4"/>
  <c r="E857" i="4"/>
  <c r="F857" i="4"/>
  <c r="G857" i="4"/>
  <c r="H857" i="4"/>
  <c r="I857" i="4"/>
  <c r="J857" i="4"/>
  <c r="K857" i="4"/>
  <c r="L857" i="4"/>
  <c r="M857" i="4"/>
  <c r="N857" i="4"/>
  <c r="O857" i="4"/>
  <c r="B858" i="4"/>
  <c r="C858" i="4"/>
  <c r="D858" i="4"/>
  <c r="E858" i="4"/>
  <c r="F858" i="4"/>
  <c r="G858" i="4"/>
  <c r="H858" i="4"/>
  <c r="I858" i="4"/>
  <c r="J858" i="4"/>
  <c r="K858" i="4"/>
  <c r="L858" i="4"/>
  <c r="M858" i="4"/>
  <c r="N858" i="4"/>
  <c r="O858" i="4"/>
  <c r="B859" i="4"/>
  <c r="C859" i="4"/>
  <c r="D859" i="4"/>
  <c r="E859" i="4"/>
  <c r="F859" i="4"/>
  <c r="G859" i="4"/>
  <c r="H859" i="4"/>
  <c r="I859" i="4"/>
  <c r="J859" i="4"/>
  <c r="K859" i="4"/>
  <c r="L859" i="4"/>
  <c r="M859" i="4"/>
  <c r="N859" i="4"/>
  <c r="O859" i="4"/>
  <c r="B860" i="4"/>
  <c r="C860" i="4"/>
  <c r="D860" i="4"/>
  <c r="E860" i="4"/>
  <c r="F860" i="4"/>
  <c r="G860" i="4"/>
  <c r="H860" i="4"/>
  <c r="I860" i="4"/>
  <c r="J860" i="4"/>
  <c r="K860" i="4"/>
  <c r="L860" i="4"/>
  <c r="M860" i="4"/>
  <c r="N860" i="4"/>
  <c r="O860" i="4"/>
  <c r="B861" i="4"/>
  <c r="C861" i="4"/>
  <c r="D861" i="4"/>
  <c r="E861" i="4"/>
  <c r="F861" i="4"/>
  <c r="G861" i="4"/>
  <c r="H861" i="4"/>
  <c r="I861" i="4"/>
  <c r="J861" i="4"/>
  <c r="K861" i="4"/>
  <c r="L861" i="4"/>
  <c r="M861" i="4"/>
  <c r="N861" i="4"/>
  <c r="O861" i="4"/>
  <c r="B862" i="4"/>
  <c r="C862" i="4"/>
  <c r="D862" i="4"/>
  <c r="E862" i="4"/>
  <c r="F862" i="4"/>
  <c r="G862" i="4"/>
  <c r="H862" i="4"/>
  <c r="I862" i="4"/>
  <c r="J862" i="4"/>
  <c r="K862" i="4"/>
  <c r="L862" i="4"/>
  <c r="M862" i="4"/>
  <c r="N862" i="4"/>
  <c r="O862" i="4"/>
  <c r="B863" i="4"/>
  <c r="C863" i="4"/>
  <c r="D863" i="4"/>
  <c r="E863" i="4"/>
  <c r="F863" i="4"/>
  <c r="G863" i="4"/>
  <c r="H863" i="4"/>
  <c r="I863" i="4"/>
  <c r="J863" i="4"/>
  <c r="K863" i="4"/>
  <c r="L863" i="4"/>
  <c r="M863" i="4"/>
  <c r="N863" i="4"/>
  <c r="O863" i="4"/>
  <c r="B864" i="4"/>
  <c r="C864" i="4"/>
  <c r="D864" i="4"/>
  <c r="E864" i="4"/>
  <c r="F864" i="4"/>
  <c r="G864" i="4"/>
  <c r="H864" i="4"/>
  <c r="I864" i="4"/>
  <c r="J864" i="4"/>
  <c r="K864" i="4"/>
  <c r="L864" i="4"/>
  <c r="M864" i="4"/>
  <c r="N864" i="4"/>
  <c r="O864" i="4"/>
  <c r="B865" i="4"/>
  <c r="C865" i="4"/>
  <c r="D865" i="4"/>
  <c r="E865" i="4"/>
  <c r="F865" i="4"/>
  <c r="G865" i="4"/>
  <c r="H865" i="4"/>
  <c r="I865" i="4"/>
  <c r="J865" i="4"/>
  <c r="K865" i="4"/>
  <c r="L865" i="4"/>
  <c r="M865" i="4"/>
  <c r="N865" i="4"/>
  <c r="O865" i="4"/>
  <c r="B866" i="4"/>
  <c r="C866" i="4"/>
  <c r="D866" i="4"/>
  <c r="E866" i="4"/>
  <c r="F866" i="4"/>
  <c r="G866" i="4"/>
  <c r="H866" i="4"/>
  <c r="I866" i="4"/>
  <c r="J866" i="4"/>
  <c r="K866" i="4"/>
  <c r="L866" i="4"/>
  <c r="M866" i="4"/>
  <c r="N866" i="4"/>
  <c r="O866" i="4"/>
  <c r="B867" i="4"/>
  <c r="C867" i="4"/>
  <c r="D867" i="4"/>
  <c r="E867" i="4"/>
  <c r="F867" i="4"/>
  <c r="G867" i="4"/>
  <c r="H867" i="4"/>
  <c r="I867" i="4"/>
  <c r="J867" i="4"/>
  <c r="K867" i="4"/>
  <c r="L867" i="4"/>
  <c r="M867" i="4"/>
  <c r="N867" i="4"/>
  <c r="O867" i="4"/>
  <c r="B868" i="4"/>
  <c r="C868" i="4"/>
  <c r="D868" i="4"/>
  <c r="E868" i="4"/>
  <c r="F868" i="4"/>
  <c r="G868" i="4"/>
  <c r="H868" i="4"/>
  <c r="I868" i="4"/>
  <c r="J868" i="4"/>
  <c r="K868" i="4"/>
  <c r="L868" i="4"/>
  <c r="M868" i="4"/>
  <c r="N868" i="4"/>
  <c r="O868" i="4"/>
  <c r="B869" i="4"/>
  <c r="C869" i="4"/>
  <c r="D869" i="4"/>
  <c r="E869" i="4"/>
  <c r="F869" i="4"/>
  <c r="G869" i="4"/>
  <c r="H869" i="4"/>
  <c r="I869" i="4"/>
  <c r="J869" i="4"/>
  <c r="K869" i="4"/>
  <c r="L869" i="4"/>
  <c r="M869" i="4"/>
  <c r="N869" i="4"/>
  <c r="O869" i="4"/>
  <c r="B870" i="4"/>
  <c r="C870" i="4"/>
  <c r="D870" i="4"/>
  <c r="E870" i="4"/>
  <c r="F870" i="4"/>
  <c r="G870" i="4"/>
  <c r="H870" i="4"/>
  <c r="I870" i="4"/>
  <c r="J870" i="4"/>
  <c r="K870" i="4"/>
  <c r="L870" i="4"/>
  <c r="M870" i="4"/>
  <c r="N870" i="4"/>
  <c r="O870" i="4"/>
  <c r="B871" i="4"/>
  <c r="C871" i="4"/>
  <c r="D871" i="4"/>
  <c r="E871" i="4"/>
  <c r="F871" i="4"/>
  <c r="G871" i="4"/>
  <c r="H871" i="4"/>
  <c r="I871" i="4"/>
  <c r="J871" i="4"/>
  <c r="K871" i="4"/>
  <c r="L871" i="4"/>
  <c r="M871" i="4"/>
  <c r="N871" i="4"/>
  <c r="O871" i="4"/>
  <c r="B872" i="4"/>
  <c r="C872" i="4"/>
  <c r="D872" i="4"/>
  <c r="E872" i="4"/>
  <c r="F872" i="4"/>
  <c r="G872" i="4"/>
  <c r="H872" i="4"/>
  <c r="I872" i="4"/>
  <c r="J872" i="4"/>
  <c r="K872" i="4"/>
  <c r="L872" i="4"/>
  <c r="M872" i="4"/>
  <c r="N872" i="4"/>
  <c r="O872" i="4"/>
  <c r="B873" i="4"/>
  <c r="C873" i="4"/>
  <c r="D873" i="4"/>
  <c r="E873" i="4"/>
  <c r="F873" i="4"/>
  <c r="G873" i="4"/>
  <c r="H873" i="4"/>
  <c r="I873" i="4"/>
  <c r="J873" i="4"/>
  <c r="K873" i="4"/>
  <c r="L873" i="4"/>
  <c r="M873" i="4"/>
  <c r="N873" i="4"/>
  <c r="O873" i="4"/>
  <c r="B874" i="4"/>
  <c r="C874" i="4"/>
  <c r="D874" i="4"/>
  <c r="E874" i="4"/>
  <c r="F874" i="4"/>
  <c r="G874" i="4"/>
  <c r="H874" i="4"/>
  <c r="I874" i="4"/>
  <c r="J874" i="4"/>
  <c r="K874" i="4"/>
  <c r="L874" i="4"/>
  <c r="M874" i="4"/>
  <c r="N874" i="4"/>
  <c r="O874" i="4"/>
  <c r="B875" i="4"/>
  <c r="C875" i="4"/>
  <c r="D875" i="4"/>
  <c r="E875" i="4"/>
  <c r="F875" i="4"/>
  <c r="G875" i="4"/>
  <c r="H875" i="4"/>
  <c r="I875" i="4"/>
  <c r="J875" i="4"/>
  <c r="K875" i="4"/>
  <c r="L875" i="4"/>
  <c r="M875" i="4"/>
  <c r="N875" i="4"/>
  <c r="O875" i="4"/>
  <c r="B876" i="4"/>
  <c r="C876" i="4"/>
  <c r="D876" i="4"/>
  <c r="E876" i="4"/>
  <c r="F876" i="4"/>
  <c r="G876" i="4"/>
  <c r="H876" i="4"/>
  <c r="I876" i="4"/>
  <c r="J876" i="4"/>
  <c r="K876" i="4"/>
  <c r="L876" i="4"/>
  <c r="M876" i="4"/>
  <c r="N876" i="4"/>
  <c r="O876" i="4"/>
  <c r="B877" i="4"/>
  <c r="C877" i="4"/>
  <c r="D877" i="4"/>
  <c r="E877" i="4"/>
  <c r="F877" i="4"/>
  <c r="G877" i="4"/>
  <c r="H877" i="4"/>
  <c r="I877" i="4"/>
  <c r="J877" i="4"/>
  <c r="K877" i="4"/>
  <c r="L877" i="4"/>
  <c r="M877" i="4"/>
  <c r="N877" i="4"/>
  <c r="O877" i="4"/>
  <c r="B878" i="4"/>
  <c r="C878" i="4"/>
  <c r="D878" i="4"/>
  <c r="E878" i="4"/>
  <c r="F878" i="4"/>
  <c r="G878" i="4"/>
  <c r="H878" i="4"/>
  <c r="I878" i="4"/>
  <c r="J878" i="4"/>
  <c r="K878" i="4"/>
  <c r="L878" i="4"/>
  <c r="M878" i="4"/>
  <c r="N878" i="4"/>
  <c r="O878" i="4"/>
  <c r="B879" i="4"/>
  <c r="C879" i="4"/>
  <c r="D879" i="4"/>
  <c r="E879" i="4"/>
  <c r="F879" i="4"/>
  <c r="G879" i="4"/>
  <c r="H879" i="4"/>
  <c r="I879" i="4"/>
  <c r="J879" i="4"/>
  <c r="K879" i="4"/>
  <c r="L879" i="4"/>
  <c r="M879" i="4"/>
  <c r="N879" i="4"/>
  <c r="O879" i="4"/>
  <c r="B880" i="4"/>
  <c r="C880" i="4"/>
  <c r="D880" i="4"/>
  <c r="E880" i="4"/>
  <c r="F880" i="4"/>
  <c r="G880" i="4"/>
  <c r="H880" i="4"/>
  <c r="I880" i="4"/>
  <c r="J880" i="4"/>
  <c r="K880" i="4"/>
  <c r="L880" i="4"/>
  <c r="M880" i="4"/>
  <c r="N880" i="4"/>
  <c r="O880" i="4"/>
  <c r="B881" i="4"/>
  <c r="C881" i="4"/>
  <c r="D881" i="4"/>
  <c r="E881" i="4"/>
  <c r="F881" i="4"/>
  <c r="G881" i="4"/>
  <c r="H881" i="4"/>
  <c r="I881" i="4"/>
  <c r="J881" i="4"/>
  <c r="K881" i="4"/>
  <c r="L881" i="4"/>
  <c r="M881" i="4"/>
  <c r="N881" i="4"/>
  <c r="O881" i="4"/>
  <c r="B882" i="4"/>
  <c r="C882" i="4"/>
  <c r="D882" i="4"/>
  <c r="E882" i="4"/>
  <c r="F882" i="4"/>
  <c r="G882" i="4"/>
  <c r="H882" i="4"/>
  <c r="I882" i="4"/>
  <c r="J882" i="4"/>
  <c r="K882" i="4"/>
  <c r="L882" i="4"/>
  <c r="M882" i="4"/>
  <c r="N882" i="4"/>
  <c r="O882" i="4"/>
  <c r="B883" i="4"/>
  <c r="C883" i="4"/>
  <c r="D883" i="4"/>
  <c r="E883" i="4"/>
  <c r="F883" i="4"/>
  <c r="G883" i="4"/>
  <c r="H883" i="4"/>
  <c r="I883" i="4"/>
  <c r="J883" i="4"/>
  <c r="K883" i="4"/>
  <c r="L883" i="4"/>
  <c r="M883" i="4"/>
  <c r="N883" i="4"/>
  <c r="O883" i="4"/>
  <c r="B884" i="4"/>
  <c r="C884" i="4"/>
  <c r="D884" i="4"/>
  <c r="E884" i="4"/>
  <c r="F884" i="4"/>
  <c r="G884" i="4"/>
  <c r="H884" i="4"/>
  <c r="I884" i="4"/>
  <c r="J884" i="4"/>
  <c r="K884" i="4"/>
  <c r="L884" i="4"/>
  <c r="M884" i="4"/>
  <c r="N884" i="4"/>
  <c r="O884" i="4"/>
  <c r="B885" i="4"/>
  <c r="C885" i="4"/>
  <c r="D885" i="4"/>
  <c r="E885" i="4"/>
  <c r="F885" i="4"/>
  <c r="G885" i="4"/>
  <c r="H885" i="4"/>
  <c r="I885" i="4"/>
  <c r="J885" i="4"/>
  <c r="K885" i="4"/>
  <c r="L885" i="4"/>
  <c r="M885" i="4"/>
  <c r="N885" i="4"/>
  <c r="O885" i="4"/>
  <c r="B886" i="4"/>
  <c r="C886" i="4"/>
  <c r="D886" i="4"/>
  <c r="E886" i="4"/>
  <c r="F886" i="4"/>
  <c r="G886" i="4"/>
  <c r="H886" i="4"/>
  <c r="I886" i="4"/>
  <c r="J886" i="4"/>
  <c r="K886" i="4"/>
  <c r="L886" i="4"/>
  <c r="M886" i="4"/>
  <c r="N886" i="4"/>
  <c r="O886" i="4"/>
  <c r="B887" i="4"/>
  <c r="C887" i="4"/>
  <c r="D887" i="4"/>
  <c r="E887" i="4"/>
  <c r="F887" i="4"/>
  <c r="G887" i="4"/>
  <c r="H887" i="4"/>
  <c r="I887" i="4"/>
  <c r="J887" i="4"/>
  <c r="K887" i="4"/>
  <c r="L887" i="4"/>
  <c r="M887" i="4"/>
  <c r="N887" i="4"/>
  <c r="O887" i="4"/>
  <c r="B888" i="4"/>
  <c r="C888" i="4"/>
  <c r="D888" i="4"/>
  <c r="E888" i="4"/>
  <c r="F888" i="4"/>
  <c r="G888" i="4"/>
  <c r="H888" i="4"/>
  <c r="I888" i="4"/>
  <c r="J888" i="4"/>
  <c r="K888" i="4"/>
  <c r="L888" i="4"/>
  <c r="M888" i="4"/>
  <c r="N888" i="4"/>
  <c r="O888" i="4"/>
  <c r="B889" i="4"/>
  <c r="C889" i="4"/>
  <c r="D889" i="4"/>
  <c r="E889" i="4"/>
  <c r="F889" i="4"/>
  <c r="G889" i="4"/>
  <c r="H889" i="4"/>
  <c r="I889" i="4"/>
  <c r="J889" i="4"/>
  <c r="K889" i="4"/>
  <c r="L889" i="4"/>
  <c r="M889" i="4"/>
  <c r="N889" i="4"/>
  <c r="O889" i="4"/>
  <c r="B890" i="4"/>
  <c r="C890" i="4"/>
  <c r="D890" i="4"/>
  <c r="E890" i="4"/>
  <c r="F890" i="4"/>
  <c r="G890" i="4"/>
  <c r="H890" i="4"/>
  <c r="I890" i="4"/>
  <c r="J890" i="4"/>
  <c r="K890" i="4"/>
  <c r="L890" i="4"/>
  <c r="M890" i="4"/>
  <c r="N890" i="4"/>
  <c r="O890" i="4"/>
  <c r="B891" i="4"/>
  <c r="C891" i="4"/>
  <c r="D891" i="4"/>
  <c r="E891" i="4"/>
  <c r="F891" i="4"/>
  <c r="G891" i="4"/>
  <c r="H891" i="4"/>
  <c r="I891" i="4"/>
  <c r="J891" i="4"/>
  <c r="K891" i="4"/>
  <c r="L891" i="4"/>
  <c r="M891" i="4"/>
  <c r="N891" i="4"/>
  <c r="O891" i="4"/>
  <c r="B892" i="4"/>
  <c r="C892" i="4"/>
  <c r="D892" i="4"/>
  <c r="E892" i="4"/>
  <c r="F892" i="4"/>
  <c r="G892" i="4"/>
  <c r="H892" i="4"/>
  <c r="I892" i="4"/>
  <c r="J892" i="4"/>
  <c r="K892" i="4"/>
  <c r="L892" i="4"/>
  <c r="M892" i="4"/>
  <c r="N892" i="4"/>
  <c r="O892" i="4"/>
  <c r="B893" i="4"/>
  <c r="C893" i="4"/>
  <c r="D893" i="4"/>
  <c r="E893" i="4"/>
  <c r="F893" i="4"/>
  <c r="G893" i="4"/>
  <c r="H893" i="4"/>
  <c r="I893" i="4"/>
  <c r="J893" i="4"/>
  <c r="K893" i="4"/>
  <c r="L893" i="4"/>
  <c r="M893" i="4"/>
  <c r="N893" i="4"/>
  <c r="O893" i="4"/>
  <c r="B894" i="4"/>
  <c r="C894" i="4"/>
  <c r="D894" i="4"/>
  <c r="E894" i="4"/>
  <c r="F894" i="4"/>
  <c r="G894" i="4"/>
  <c r="H894" i="4"/>
  <c r="I894" i="4"/>
  <c r="J894" i="4"/>
  <c r="K894" i="4"/>
  <c r="L894" i="4"/>
  <c r="M894" i="4"/>
  <c r="N894" i="4"/>
  <c r="O894" i="4"/>
  <c r="B895" i="4"/>
  <c r="C895" i="4"/>
  <c r="D895" i="4"/>
  <c r="E895" i="4"/>
  <c r="F895" i="4"/>
  <c r="G895" i="4"/>
  <c r="H895" i="4"/>
  <c r="I895" i="4"/>
  <c r="J895" i="4"/>
  <c r="K895" i="4"/>
  <c r="L895" i="4"/>
  <c r="M895" i="4"/>
  <c r="N895" i="4"/>
  <c r="O895" i="4"/>
  <c r="B896" i="4"/>
  <c r="C896" i="4"/>
  <c r="D896" i="4"/>
  <c r="E896" i="4"/>
  <c r="F896" i="4"/>
  <c r="G896" i="4"/>
  <c r="H896" i="4"/>
  <c r="I896" i="4"/>
  <c r="J896" i="4"/>
  <c r="K896" i="4"/>
  <c r="L896" i="4"/>
  <c r="M896" i="4"/>
  <c r="N896" i="4"/>
  <c r="O896" i="4"/>
  <c r="B897" i="4"/>
  <c r="C897" i="4"/>
  <c r="D897" i="4"/>
  <c r="E897" i="4"/>
  <c r="F897" i="4"/>
  <c r="G897" i="4"/>
  <c r="H897" i="4"/>
  <c r="I897" i="4"/>
  <c r="J897" i="4"/>
  <c r="K897" i="4"/>
  <c r="L897" i="4"/>
  <c r="M897" i="4"/>
  <c r="N897" i="4"/>
  <c r="O897" i="4"/>
  <c r="B898" i="4"/>
  <c r="C898" i="4"/>
  <c r="D898" i="4"/>
  <c r="E898" i="4"/>
  <c r="F898" i="4"/>
  <c r="G898" i="4"/>
  <c r="H898" i="4"/>
  <c r="I898" i="4"/>
  <c r="J898" i="4"/>
  <c r="K898" i="4"/>
  <c r="L898" i="4"/>
  <c r="M898" i="4"/>
  <c r="N898" i="4"/>
  <c r="O898" i="4"/>
  <c r="B899" i="4"/>
  <c r="C899" i="4"/>
  <c r="D899" i="4"/>
  <c r="E899" i="4"/>
  <c r="F899" i="4"/>
  <c r="G899" i="4"/>
  <c r="H899" i="4"/>
  <c r="I899" i="4"/>
  <c r="J899" i="4"/>
  <c r="K899" i="4"/>
  <c r="L899" i="4"/>
  <c r="M899" i="4"/>
  <c r="N899" i="4"/>
  <c r="O899" i="4"/>
  <c r="B900" i="4"/>
  <c r="C900" i="4"/>
  <c r="D900" i="4"/>
  <c r="E900" i="4"/>
  <c r="F900" i="4"/>
  <c r="G900" i="4"/>
  <c r="H900" i="4"/>
  <c r="I900" i="4"/>
  <c r="J900" i="4"/>
  <c r="K900" i="4"/>
  <c r="L900" i="4"/>
  <c r="M900" i="4"/>
  <c r="N900" i="4"/>
  <c r="O900" i="4"/>
  <c r="B901" i="4"/>
  <c r="C901" i="4"/>
  <c r="D901" i="4"/>
  <c r="E901" i="4"/>
  <c r="F901" i="4"/>
  <c r="G901" i="4"/>
  <c r="H901" i="4"/>
  <c r="I901" i="4"/>
  <c r="J901" i="4"/>
  <c r="K901" i="4"/>
  <c r="L901" i="4"/>
  <c r="M901" i="4"/>
  <c r="N901" i="4"/>
  <c r="O901" i="4"/>
  <c r="B902" i="4"/>
  <c r="C902" i="4"/>
  <c r="D902" i="4"/>
  <c r="E902" i="4"/>
  <c r="F902" i="4"/>
  <c r="G902" i="4"/>
  <c r="H902" i="4"/>
  <c r="I902" i="4"/>
  <c r="J902" i="4"/>
  <c r="K902" i="4"/>
  <c r="L902" i="4"/>
  <c r="M902" i="4"/>
  <c r="N902" i="4"/>
  <c r="O902" i="4"/>
  <c r="B903" i="4"/>
  <c r="C903" i="4"/>
  <c r="D903" i="4"/>
  <c r="E903" i="4"/>
  <c r="F903" i="4"/>
  <c r="G903" i="4"/>
  <c r="H903" i="4"/>
  <c r="I903" i="4"/>
  <c r="J903" i="4"/>
  <c r="K903" i="4"/>
  <c r="L903" i="4"/>
  <c r="M903" i="4"/>
  <c r="N903" i="4"/>
  <c r="O903" i="4"/>
  <c r="B904" i="4"/>
  <c r="C904" i="4"/>
  <c r="D904" i="4"/>
  <c r="E904" i="4"/>
  <c r="F904" i="4"/>
  <c r="G904" i="4"/>
  <c r="H904" i="4"/>
  <c r="I904" i="4"/>
  <c r="J904" i="4"/>
  <c r="K904" i="4"/>
  <c r="L904" i="4"/>
  <c r="M904" i="4"/>
  <c r="N904" i="4"/>
  <c r="O904" i="4"/>
  <c r="B905" i="4"/>
  <c r="C905" i="4"/>
  <c r="D905" i="4"/>
  <c r="E905" i="4"/>
  <c r="F905" i="4"/>
  <c r="G905" i="4"/>
  <c r="H905" i="4"/>
  <c r="I905" i="4"/>
  <c r="J905" i="4"/>
  <c r="K905" i="4"/>
  <c r="L905" i="4"/>
  <c r="M905" i="4"/>
  <c r="N905" i="4"/>
  <c r="O905" i="4"/>
  <c r="B906" i="4"/>
  <c r="C906" i="4"/>
  <c r="D906" i="4"/>
  <c r="E906" i="4"/>
  <c r="F906" i="4"/>
  <c r="G906" i="4"/>
  <c r="H906" i="4"/>
  <c r="I906" i="4"/>
  <c r="J906" i="4"/>
  <c r="K906" i="4"/>
  <c r="L906" i="4"/>
  <c r="M906" i="4"/>
  <c r="N906" i="4"/>
  <c r="O906" i="4"/>
  <c r="B907" i="4"/>
  <c r="C907" i="4"/>
  <c r="D907" i="4"/>
  <c r="E907" i="4"/>
  <c r="F907" i="4"/>
  <c r="G907" i="4"/>
  <c r="H907" i="4"/>
  <c r="I907" i="4"/>
  <c r="J907" i="4"/>
  <c r="K907" i="4"/>
  <c r="L907" i="4"/>
  <c r="M907" i="4"/>
  <c r="N907" i="4"/>
  <c r="O907" i="4"/>
  <c r="B908" i="4"/>
  <c r="C908" i="4"/>
  <c r="D908" i="4"/>
  <c r="E908" i="4"/>
  <c r="F908" i="4"/>
  <c r="G908" i="4"/>
  <c r="H908" i="4"/>
  <c r="I908" i="4"/>
  <c r="J908" i="4"/>
  <c r="K908" i="4"/>
  <c r="L908" i="4"/>
  <c r="M908" i="4"/>
  <c r="N908" i="4"/>
  <c r="O908" i="4"/>
  <c r="B909" i="4"/>
  <c r="C909" i="4"/>
  <c r="D909" i="4"/>
  <c r="E909" i="4"/>
  <c r="F909" i="4"/>
  <c r="G909" i="4"/>
  <c r="H909" i="4"/>
  <c r="I909" i="4"/>
  <c r="J909" i="4"/>
  <c r="K909" i="4"/>
  <c r="L909" i="4"/>
  <c r="M909" i="4"/>
  <c r="N909" i="4"/>
  <c r="O909" i="4"/>
  <c r="B910" i="4"/>
  <c r="C910" i="4"/>
  <c r="D910" i="4"/>
  <c r="E910" i="4"/>
  <c r="F910" i="4"/>
  <c r="G910" i="4"/>
  <c r="H910" i="4"/>
  <c r="I910" i="4"/>
  <c r="J910" i="4"/>
  <c r="K910" i="4"/>
  <c r="L910" i="4"/>
  <c r="M910" i="4"/>
  <c r="N910" i="4"/>
  <c r="O910" i="4"/>
  <c r="B911" i="4"/>
  <c r="C911" i="4"/>
  <c r="D911" i="4"/>
  <c r="E911" i="4"/>
  <c r="F911" i="4"/>
  <c r="G911" i="4"/>
  <c r="H911" i="4"/>
  <c r="I911" i="4"/>
  <c r="J911" i="4"/>
  <c r="K911" i="4"/>
  <c r="L911" i="4"/>
  <c r="M911" i="4"/>
  <c r="N911" i="4"/>
  <c r="O911" i="4"/>
  <c r="B912" i="4"/>
  <c r="C912" i="4"/>
  <c r="D912" i="4"/>
  <c r="E912" i="4"/>
  <c r="F912" i="4"/>
  <c r="G912" i="4"/>
  <c r="H912" i="4"/>
  <c r="I912" i="4"/>
  <c r="J912" i="4"/>
  <c r="K912" i="4"/>
  <c r="L912" i="4"/>
  <c r="M912" i="4"/>
  <c r="N912" i="4"/>
  <c r="O912" i="4"/>
  <c r="B913" i="4"/>
  <c r="C913" i="4"/>
  <c r="D913" i="4"/>
  <c r="E913" i="4"/>
  <c r="F913" i="4"/>
  <c r="G913" i="4"/>
  <c r="H913" i="4"/>
  <c r="I913" i="4"/>
  <c r="J913" i="4"/>
  <c r="K913" i="4"/>
  <c r="L913" i="4"/>
  <c r="M913" i="4"/>
  <c r="N913" i="4"/>
  <c r="O913" i="4"/>
  <c r="B914" i="4"/>
  <c r="C914" i="4"/>
  <c r="D914" i="4"/>
  <c r="E914" i="4"/>
  <c r="F914" i="4"/>
  <c r="G914" i="4"/>
  <c r="H914" i="4"/>
  <c r="I914" i="4"/>
  <c r="J914" i="4"/>
  <c r="K914" i="4"/>
  <c r="L914" i="4"/>
  <c r="M914" i="4"/>
  <c r="N914" i="4"/>
  <c r="O914" i="4"/>
  <c r="B915" i="4"/>
  <c r="C915" i="4"/>
  <c r="D915" i="4"/>
  <c r="E915" i="4"/>
  <c r="F915" i="4"/>
  <c r="G915" i="4"/>
  <c r="H915" i="4"/>
  <c r="I915" i="4"/>
  <c r="J915" i="4"/>
  <c r="K915" i="4"/>
  <c r="L915" i="4"/>
  <c r="M915" i="4"/>
  <c r="N915" i="4"/>
  <c r="O915" i="4"/>
  <c r="B916" i="4"/>
  <c r="C916" i="4"/>
  <c r="D916" i="4"/>
  <c r="E916" i="4"/>
  <c r="F916" i="4"/>
  <c r="G916" i="4"/>
  <c r="H916" i="4"/>
  <c r="I916" i="4"/>
  <c r="J916" i="4"/>
  <c r="K916" i="4"/>
  <c r="L916" i="4"/>
  <c r="M916" i="4"/>
  <c r="N916" i="4"/>
  <c r="O916" i="4"/>
  <c r="B917" i="4"/>
  <c r="C917" i="4"/>
  <c r="D917" i="4"/>
  <c r="E917" i="4"/>
  <c r="F917" i="4"/>
  <c r="G917" i="4"/>
  <c r="H917" i="4"/>
  <c r="I917" i="4"/>
  <c r="J917" i="4"/>
  <c r="K917" i="4"/>
  <c r="L917" i="4"/>
  <c r="M917" i="4"/>
  <c r="N917" i="4"/>
  <c r="O917" i="4"/>
  <c r="B918" i="4"/>
  <c r="C918" i="4"/>
  <c r="D918" i="4"/>
  <c r="E918" i="4"/>
  <c r="F918" i="4"/>
  <c r="G918" i="4"/>
  <c r="H918" i="4"/>
  <c r="I918" i="4"/>
  <c r="J918" i="4"/>
  <c r="K918" i="4"/>
  <c r="L918" i="4"/>
  <c r="M918" i="4"/>
  <c r="N918" i="4"/>
  <c r="O918" i="4"/>
  <c r="B919" i="4"/>
  <c r="C919" i="4"/>
  <c r="D919" i="4"/>
  <c r="E919" i="4"/>
  <c r="F919" i="4"/>
  <c r="G919" i="4"/>
  <c r="H919" i="4"/>
  <c r="I919" i="4"/>
  <c r="J919" i="4"/>
  <c r="K919" i="4"/>
  <c r="L919" i="4"/>
  <c r="M919" i="4"/>
  <c r="N919" i="4"/>
  <c r="O919" i="4"/>
  <c r="B920" i="4"/>
  <c r="C920" i="4"/>
  <c r="D920" i="4"/>
  <c r="E920" i="4"/>
  <c r="F920" i="4"/>
  <c r="G920" i="4"/>
  <c r="H920" i="4"/>
  <c r="I920" i="4"/>
  <c r="J920" i="4"/>
  <c r="K920" i="4"/>
  <c r="L920" i="4"/>
  <c r="M920" i="4"/>
  <c r="N920" i="4"/>
  <c r="O920" i="4"/>
  <c r="B921" i="4"/>
  <c r="C921" i="4"/>
  <c r="D921" i="4"/>
  <c r="E921" i="4"/>
  <c r="F921" i="4"/>
  <c r="G921" i="4"/>
  <c r="H921" i="4"/>
  <c r="I921" i="4"/>
  <c r="J921" i="4"/>
  <c r="K921" i="4"/>
  <c r="L921" i="4"/>
  <c r="M921" i="4"/>
  <c r="N921" i="4"/>
  <c r="O921" i="4"/>
  <c r="B922" i="4"/>
  <c r="C922" i="4"/>
  <c r="D922" i="4"/>
  <c r="E922" i="4"/>
  <c r="F922" i="4"/>
  <c r="G922" i="4"/>
  <c r="H922" i="4"/>
  <c r="I922" i="4"/>
  <c r="J922" i="4"/>
  <c r="K922" i="4"/>
  <c r="L922" i="4"/>
  <c r="M922" i="4"/>
  <c r="N922" i="4"/>
  <c r="O922" i="4"/>
  <c r="B923" i="4"/>
  <c r="C923" i="4"/>
  <c r="D923" i="4"/>
  <c r="E923" i="4"/>
  <c r="F923" i="4"/>
  <c r="G923" i="4"/>
  <c r="H923" i="4"/>
  <c r="I923" i="4"/>
  <c r="J923" i="4"/>
  <c r="K923" i="4"/>
  <c r="L923" i="4"/>
  <c r="M923" i="4"/>
  <c r="N923" i="4"/>
  <c r="O923" i="4"/>
  <c r="B924" i="4"/>
  <c r="C924" i="4"/>
  <c r="D924" i="4"/>
  <c r="E924" i="4"/>
  <c r="F924" i="4"/>
  <c r="G924" i="4"/>
  <c r="H924" i="4"/>
  <c r="I924" i="4"/>
  <c r="J924" i="4"/>
  <c r="K924" i="4"/>
  <c r="L924" i="4"/>
  <c r="M924" i="4"/>
  <c r="N924" i="4"/>
  <c r="O924" i="4"/>
  <c r="B925" i="4"/>
  <c r="C925" i="4"/>
  <c r="D925" i="4"/>
  <c r="E925" i="4"/>
  <c r="F925" i="4"/>
  <c r="G925" i="4"/>
  <c r="H925" i="4"/>
  <c r="I925" i="4"/>
  <c r="J925" i="4"/>
  <c r="K925" i="4"/>
  <c r="L925" i="4"/>
  <c r="M925" i="4"/>
  <c r="N925" i="4"/>
  <c r="O925" i="4"/>
  <c r="B926" i="4"/>
  <c r="C926" i="4"/>
  <c r="D926" i="4"/>
  <c r="E926" i="4"/>
  <c r="F926" i="4"/>
  <c r="G926" i="4"/>
  <c r="H926" i="4"/>
  <c r="I926" i="4"/>
  <c r="J926" i="4"/>
  <c r="K926" i="4"/>
  <c r="L926" i="4"/>
  <c r="M926" i="4"/>
  <c r="N926" i="4"/>
  <c r="O926" i="4"/>
  <c r="B927" i="4"/>
  <c r="C927" i="4"/>
  <c r="D927" i="4"/>
  <c r="E927" i="4"/>
  <c r="F927" i="4"/>
  <c r="G927" i="4"/>
  <c r="H927" i="4"/>
  <c r="I927" i="4"/>
  <c r="J927" i="4"/>
  <c r="K927" i="4"/>
  <c r="L927" i="4"/>
  <c r="M927" i="4"/>
  <c r="N927" i="4"/>
  <c r="O927" i="4"/>
  <c r="B928" i="4"/>
  <c r="C928" i="4"/>
  <c r="D928" i="4"/>
  <c r="E928" i="4"/>
  <c r="F928" i="4"/>
  <c r="G928" i="4"/>
  <c r="H928" i="4"/>
  <c r="I928" i="4"/>
  <c r="J928" i="4"/>
  <c r="K928" i="4"/>
  <c r="L928" i="4"/>
  <c r="M928" i="4"/>
  <c r="N928" i="4"/>
  <c r="O928" i="4"/>
  <c r="B929" i="4"/>
  <c r="C929" i="4"/>
  <c r="D929" i="4"/>
  <c r="E929" i="4"/>
  <c r="F929" i="4"/>
  <c r="G929" i="4"/>
  <c r="H929" i="4"/>
  <c r="I929" i="4"/>
  <c r="J929" i="4"/>
  <c r="K929" i="4"/>
  <c r="L929" i="4"/>
  <c r="M929" i="4"/>
  <c r="N929" i="4"/>
  <c r="O929" i="4"/>
  <c r="B930" i="4"/>
  <c r="C930" i="4"/>
  <c r="D930" i="4"/>
  <c r="E930" i="4"/>
  <c r="F930" i="4"/>
  <c r="G930" i="4"/>
  <c r="H930" i="4"/>
  <c r="I930" i="4"/>
  <c r="J930" i="4"/>
  <c r="K930" i="4"/>
  <c r="L930" i="4"/>
  <c r="M930" i="4"/>
  <c r="N930" i="4"/>
  <c r="O930" i="4"/>
  <c r="B931" i="4"/>
  <c r="C931" i="4"/>
  <c r="D931" i="4"/>
  <c r="E931" i="4"/>
  <c r="F931" i="4"/>
  <c r="G931" i="4"/>
  <c r="H931" i="4"/>
  <c r="I931" i="4"/>
  <c r="J931" i="4"/>
  <c r="K931" i="4"/>
  <c r="L931" i="4"/>
  <c r="M931" i="4"/>
  <c r="N931" i="4"/>
  <c r="O931" i="4"/>
  <c r="B932" i="4"/>
  <c r="C932" i="4"/>
  <c r="D932" i="4"/>
  <c r="E932" i="4"/>
  <c r="F932" i="4"/>
  <c r="G932" i="4"/>
  <c r="H932" i="4"/>
  <c r="I932" i="4"/>
  <c r="J932" i="4"/>
  <c r="K932" i="4"/>
  <c r="L932" i="4"/>
  <c r="M932" i="4"/>
  <c r="N932" i="4"/>
  <c r="O932" i="4"/>
  <c r="B933" i="4"/>
  <c r="C933" i="4"/>
  <c r="D933" i="4"/>
  <c r="E933" i="4"/>
  <c r="F933" i="4"/>
  <c r="G933" i="4"/>
  <c r="H933" i="4"/>
  <c r="I933" i="4"/>
  <c r="J933" i="4"/>
  <c r="K933" i="4"/>
  <c r="L933" i="4"/>
  <c r="M933" i="4"/>
  <c r="N933" i="4"/>
  <c r="O933" i="4"/>
  <c r="B934" i="4"/>
  <c r="C934" i="4"/>
  <c r="D934" i="4"/>
  <c r="E934" i="4"/>
  <c r="F934" i="4"/>
  <c r="G934" i="4"/>
  <c r="H934" i="4"/>
  <c r="I934" i="4"/>
  <c r="J934" i="4"/>
  <c r="K934" i="4"/>
  <c r="L934" i="4"/>
  <c r="M934" i="4"/>
  <c r="N934" i="4"/>
  <c r="O934" i="4"/>
  <c r="B935" i="4"/>
  <c r="C935" i="4"/>
  <c r="D935" i="4"/>
  <c r="E935" i="4"/>
  <c r="F935" i="4"/>
  <c r="G935" i="4"/>
  <c r="H935" i="4"/>
  <c r="I935" i="4"/>
  <c r="J935" i="4"/>
  <c r="K935" i="4"/>
  <c r="L935" i="4"/>
  <c r="M935" i="4"/>
  <c r="N935" i="4"/>
  <c r="O935" i="4"/>
  <c r="B936" i="4"/>
  <c r="C936" i="4"/>
  <c r="D936" i="4"/>
  <c r="E936" i="4"/>
  <c r="F936" i="4"/>
  <c r="G936" i="4"/>
  <c r="H936" i="4"/>
  <c r="I936" i="4"/>
  <c r="J936" i="4"/>
  <c r="K936" i="4"/>
  <c r="L936" i="4"/>
  <c r="M936" i="4"/>
  <c r="N936" i="4"/>
  <c r="O936" i="4"/>
  <c r="B937" i="4"/>
  <c r="C937" i="4"/>
  <c r="D937" i="4"/>
  <c r="E937" i="4"/>
  <c r="F937" i="4"/>
  <c r="G937" i="4"/>
  <c r="H937" i="4"/>
  <c r="I937" i="4"/>
  <c r="J937" i="4"/>
  <c r="K937" i="4"/>
  <c r="L937" i="4"/>
  <c r="M937" i="4"/>
  <c r="N937" i="4"/>
  <c r="O937" i="4"/>
  <c r="B938" i="4"/>
  <c r="C938" i="4"/>
  <c r="D938" i="4"/>
  <c r="E938" i="4"/>
  <c r="F938" i="4"/>
  <c r="G938" i="4"/>
  <c r="H938" i="4"/>
  <c r="I938" i="4"/>
  <c r="J938" i="4"/>
  <c r="K938" i="4"/>
  <c r="L938" i="4"/>
  <c r="M938" i="4"/>
  <c r="N938" i="4"/>
  <c r="O938" i="4"/>
  <c r="B939" i="4"/>
  <c r="C939" i="4"/>
  <c r="D939" i="4"/>
  <c r="E939" i="4"/>
  <c r="F939" i="4"/>
  <c r="G939" i="4"/>
  <c r="H939" i="4"/>
  <c r="I939" i="4"/>
  <c r="J939" i="4"/>
  <c r="K939" i="4"/>
  <c r="L939" i="4"/>
  <c r="M939" i="4"/>
  <c r="N939" i="4"/>
  <c r="O939" i="4"/>
  <c r="B940" i="4"/>
  <c r="C940" i="4"/>
  <c r="D940" i="4"/>
  <c r="E940" i="4"/>
  <c r="F940" i="4"/>
  <c r="G940" i="4"/>
  <c r="H940" i="4"/>
  <c r="I940" i="4"/>
  <c r="J940" i="4"/>
  <c r="K940" i="4"/>
  <c r="L940" i="4"/>
  <c r="M940" i="4"/>
  <c r="N940" i="4"/>
  <c r="O940" i="4"/>
  <c r="B941" i="4"/>
  <c r="C941" i="4"/>
  <c r="D941" i="4"/>
  <c r="E941" i="4"/>
  <c r="F941" i="4"/>
  <c r="G941" i="4"/>
  <c r="H941" i="4"/>
  <c r="I941" i="4"/>
  <c r="J941" i="4"/>
  <c r="K941" i="4"/>
  <c r="L941" i="4"/>
  <c r="M941" i="4"/>
  <c r="N941" i="4"/>
  <c r="O941" i="4"/>
  <c r="B942" i="4"/>
  <c r="C942" i="4"/>
  <c r="D942" i="4"/>
  <c r="E942" i="4"/>
  <c r="F942" i="4"/>
  <c r="G942" i="4"/>
  <c r="H942" i="4"/>
  <c r="I942" i="4"/>
  <c r="J942" i="4"/>
  <c r="K942" i="4"/>
  <c r="L942" i="4"/>
  <c r="M942" i="4"/>
  <c r="N942" i="4"/>
  <c r="O942" i="4"/>
  <c r="B943" i="4"/>
  <c r="C943" i="4"/>
  <c r="D943" i="4"/>
  <c r="E943" i="4"/>
  <c r="F943" i="4"/>
  <c r="G943" i="4"/>
  <c r="H943" i="4"/>
  <c r="I943" i="4"/>
  <c r="J943" i="4"/>
  <c r="K943" i="4"/>
  <c r="L943" i="4"/>
  <c r="M943" i="4"/>
  <c r="N943" i="4"/>
  <c r="O943" i="4"/>
  <c r="B944" i="4"/>
  <c r="C944" i="4"/>
  <c r="D944" i="4"/>
  <c r="E944" i="4"/>
  <c r="F944" i="4"/>
  <c r="G944" i="4"/>
  <c r="H944" i="4"/>
  <c r="I944" i="4"/>
  <c r="J944" i="4"/>
  <c r="K944" i="4"/>
  <c r="L944" i="4"/>
  <c r="M944" i="4"/>
  <c r="N944" i="4"/>
  <c r="O944" i="4"/>
  <c r="B945" i="4"/>
  <c r="C945" i="4"/>
  <c r="D945" i="4"/>
  <c r="E945" i="4"/>
  <c r="F945" i="4"/>
  <c r="G945" i="4"/>
  <c r="H945" i="4"/>
  <c r="I945" i="4"/>
  <c r="J945" i="4"/>
  <c r="K945" i="4"/>
  <c r="L945" i="4"/>
  <c r="M945" i="4"/>
  <c r="N945" i="4"/>
  <c r="O945" i="4"/>
  <c r="B946" i="4"/>
  <c r="C946" i="4"/>
  <c r="D946" i="4"/>
  <c r="E946" i="4"/>
  <c r="F946" i="4"/>
  <c r="G946" i="4"/>
  <c r="H946" i="4"/>
  <c r="I946" i="4"/>
  <c r="J946" i="4"/>
  <c r="K946" i="4"/>
  <c r="L946" i="4"/>
  <c r="M946" i="4"/>
  <c r="N946" i="4"/>
  <c r="O946" i="4"/>
  <c r="B947" i="4"/>
  <c r="C947" i="4"/>
  <c r="D947" i="4"/>
  <c r="E947" i="4"/>
  <c r="F947" i="4"/>
  <c r="G947" i="4"/>
  <c r="H947" i="4"/>
  <c r="I947" i="4"/>
  <c r="J947" i="4"/>
  <c r="K947" i="4"/>
  <c r="L947" i="4"/>
  <c r="M947" i="4"/>
  <c r="N947" i="4"/>
  <c r="O947" i="4"/>
  <c r="B948" i="4"/>
  <c r="C948" i="4"/>
  <c r="D948" i="4"/>
  <c r="E948" i="4"/>
  <c r="F948" i="4"/>
  <c r="G948" i="4"/>
  <c r="H948" i="4"/>
  <c r="I948" i="4"/>
  <c r="J948" i="4"/>
  <c r="K948" i="4"/>
  <c r="L948" i="4"/>
  <c r="M948" i="4"/>
  <c r="N948" i="4"/>
  <c r="O948" i="4"/>
  <c r="B949" i="4"/>
  <c r="C949" i="4"/>
  <c r="D949" i="4"/>
  <c r="E949" i="4"/>
  <c r="F949" i="4"/>
  <c r="G949" i="4"/>
  <c r="H949" i="4"/>
  <c r="I949" i="4"/>
  <c r="J949" i="4"/>
  <c r="K949" i="4"/>
  <c r="L949" i="4"/>
  <c r="M949" i="4"/>
  <c r="N949" i="4"/>
  <c r="O949" i="4"/>
  <c r="B950" i="4"/>
  <c r="C950" i="4"/>
  <c r="D950" i="4"/>
  <c r="E950" i="4"/>
  <c r="F950" i="4"/>
  <c r="G950" i="4"/>
  <c r="H950" i="4"/>
  <c r="I950" i="4"/>
  <c r="J950" i="4"/>
  <c r="K950" i="4"/>
  <c r="L950" i="4"/>
  <c r="M950" i="4"/>
  <c r="N950" i="4"/>
  <c r="O950" i="4"/>
  <c r="B951" i="4"/>
  <c r="C951" i="4"/>
  <c r="D951" i="4"/>
  <c r="E951" i="4"/>
  <c r="F951" i="4"/>
  <c r="G951" i="4"/>
  <c r="H951" i="4"/>
  <c r="I951" i="4"/>
  <c r="J951" i="4"/>
  <c r="K951" i="4"/>
  <c r="L951" i="4"/>
  <c r="M951" i="4"/>
  <c r="N951" i="4"/>
  <c r="O951" i="4"/>
  <c r="B952" i="4"/>
  <c r="C952" i="4"/>
  <c r="D952" i="4"/>
  <c r="E952" i="4"/>
  <c r="F952" i="4"/>
  <c r="G952" i="4"/>
  <c r="H952" i="4"/>
  <c r="I952" i="4"/>
  <c r="J952" i="4"/>
  <c r="K952" i="4"/>
  <c r="L952" i="4"/>
  <c r="M952" i="4"/>
  <c r="N952" i="4"/>
  <c r="O952" i="4"/>
  <c r="B953" i="4"/>
  <c r="C953" i="4"/>
  <c r="D953" i="4"/>
  <c r="E953" i="4"/>
  <c r="F953" i="4"/>
  <c r="G953" i="4"/>
  <c r="H953" i="4"/>
  <c r="I953" i="4"/>
  <c r="J953" i="4"/>
  <c r="K953" i="4"/>
  <c r="L953" i="4"/>
  <c r="M953" i="4"/>
  <c r="N953" i="4"/>
  <c r="O953" i="4"/>
  <c r="B954" i="4"/>
  <c r="C954" i="4"/>
  <c r="D954" i="4"/>
  <c r="E954" i="4"/>
  <c r="F954" i="4"/>
  <c r="G954" i="4"/>
  <c r="H954" i="4"/>
  <c r="I954" i="4"/>
  <c r="J954" i="4"/>
  <c r="K954" i="4"/>
  <c r="L954" i="4"/>
  <c r="M954" i="4"/>
  <c r="N954" i="4"/>
  <c r="O954" i="4"/>
  <c r="B955" i="4"/>
  <c r="C955" i="4"/>
  <c r="D955" i="4"/>
  <c r="E955" i="4"/>
  <c r="F955" i="4"/>
  <c r="G955" i="4"/>
  <c r="H955" i="4"/>
  <c r="I955" i="4"/>
  <c r="J955" i="4"/>
  <c r="K955" i="4"/>
  <c r="L955" i="4"/>
  <c r="M955" i="4"/>
  <c r="N955" i="4"/>
  <c r="O955" i="4"/>
  <c r="B956" i="4"/>
  <c r="C956" i="4"/>
  <c r="D956" i="4"/>
  <c r="E956" i="4"/>
  <c r="F956" i="4"/>
  <c r="G956" i="4"/>
  <c r="H956" i="4"/>
  <c r="I956" i="4"/>
  <c r="J956" i="4"/>
  <c r="K956" i="4"/>
  <c r="L956" i="4"/>
  <c r="M956" i="4"/>
  <c r="N956" i="4"/>
  <c r="O956" i="4"/>
  <c r="B957" i="4"/>
  <c r="C957" i="4"/>
  <c r="D957" i="4"/>
  <c r="E957" i="4"/>
  <c r="F957" i="4"/>
  <c r="G957" i="4"/>
  <c r="H957" i="4"/>
  <c r="I957" i="4"/>
  <c r="J957" i="4"/>
  <c r="K957" i="4"/>
  <c r="L957" i="4"/>
  <c r="M957" i="4"/>
  <c r="N957" i="4"/>
  <c r="O957" i="4"/>
  <c r="B958" i="4"/>
  <c r="C958" i="4"/>
  <c r="D958" i="4"/>
  <c r="E958" i="4"/>
  <c r="F958" i="4"/>
  <c r="G958" i="4"/>
  <c r="H958" i="4"/>
  <c r="I958" i="4"/>
  <c r="J958" i="4"/>
  <c r="K958" i="4"/>
  <c r="L958" i="4"/>
  <c r="M958" i="4"/>
  <c r="N958" i="4"/>
  <c r="O958" i="4"/>
  <c r="B959" i="4"/>
  <c r="C959" i="4"/>
  <c r="D959" i="4"/>
  <c r="E959" i="4"/>
  <c r="F959" i="4"/>
  <c r="G959" i="4"/>
  <c r="H959" i="4"/>
  <c r="I959" i="4"/>
  <c r="J959" i="4"/>
  <c r="K959" i="4"/>
  <c r="L959" i="4"/>
  <c r="M959" i="4"/>
  <c r="N959" i="4"/>
  <c r="O959" i="4"/>
  <c r="B960" i="4"/>
  <c r="C960" i="4"/>
  <c r="D960" i="4"/>
  <c r="E960" i="4"/>
  <c r="F960" i="4"/>
  <c r="G960" i="4"/>
  <c r="H960" i="4"/>
  <c r="I960" i="4"/>
  <c r="J960" i="4"/>
  <c r="K960" i="4"/>
  <c r="L960" i="4"/>
  <c r="M960" i="4"/>
  <c r="N960" i="4"/>
  <c r="O960" i="4"/>
  <c r="B961" i="4"/>
  <c r="C961" i="4"/>
  <c r="D961" i="4"/>
  <c r="E961" i="4"/>
  <c r="F961" i="4"/>
  <c r="G961" i="4"/>
  <c r="H961" i="4"/>
  <c r="I961" i="4"/>
  <c r="J961" i="4"/>
  <c r="K961" i="4"/>
  <c r="L961" i="4"/>
  <c r="M961" i="4"/>
  <c r="N961" i="4"/>
  <c r="O961" i="4"/>
  <c r="B962" i="4"/>
  <c r="C962" i="4"/>
  <c r="D962" i="4"/>
  <c r="E962" i="4"/>
  <c r="F962" i="4"/>
  <c r="G962" i="4"/>
  <c r="H962" i="4"/>
  <c r="I962" i="4"/>
  <c r="J962" i="4"/>
  <c r="K962" i="4"/>
  <c r="L962" i="4"/>
  <c r="M962" i="4"/>
  <c r="N962" i="4"/>
  <c r="O962" i="4"/>
  <c r="B963" i="4"/>
  <c r="C963" i="4"/>
  <c r="D963" i="4"/>
  <c r="E963" i="4"/>
  <c r="F963" i="4"/>
  <c r="G963" i="4"/>
  <c r="H963" i="4"/>
  <c r="I963" i="4"/>
  <c r="J963" i="4"/>
  <c r="K963" i="4"/>
  <c r="L963" i="4"/>
  <c r="M963" i="4"/>
  <c r="N963" i="4"/>
  <c r="O963" i="4"/>
  <c r="B964" i="4"/>
  <c r="C964" i="4"/>
  <c r="D964" i="4"/>
  <c r="E964" i="4"/>
  <c r="F964" i="4"/>
  <c r="G964" i="4"/>
  <c r="H964" i="4"/>
  <c r="I964" i="4"/>
  <c r="J964" i="4"/>
  <c r="K964" i="4"/>
  <c r="L964" i="4"/>
  <c r="M964" i="4"/>
  <c r="N964" i="4"/>
  <c r="O964" i="4"/>
  <c r="B965" i="4"/>
  <c r="C965" i="4"/>
  <c r="D965" i="4"/>
  <c r="E965" i="4"/>
  <c r="F965" i="4"/>
  <c r="G965" i="4"/>
  <c r="H965" i="4"/>
  <c r="I965" i="4"/>
  <c r="J965" i="4"/>
  <c r="K965" i="4"/>
  <c r="L965" i="4"/>
  <c r="M965" i="4"/>
  <c r="N965" i="4"/>
  <c r="O965" i="4"/>
  <c r="B966" i="4"/>
  <c r="C966" i="4"/>
  <c r="D966" i="4"/>
  <c r="E966" i="4"/>
  <c r="F966" i="4"/>
  <c r="G966" i="4"/>
  <c r="H966" i="4"/>
  <c r="I966" i="4"/>
  <c r="J966" i="4"/>
  <c r="K966" i="4"/>
  <c r="L966" i="4"/>
  <c r="M966" i="4"/>
  <c r="N966" i="4"/>
  <c r="O966" i="4"/>
  <c r="B967" i="4"/>
  <c r="C967" i="4"/>
  <c r="D967" i="4"/>
  <c r="E967" i="4"/>
  <c r="F967" i="4"/>
  <c r="G967" i="4"/>
  <c r="H967" i="4"/>
  <c r="I967" i="4"/>
  <c r="J967" i="4"/>
  <c r="K967" i="4"/>
  <c r="L967" i="4"/>
  <c r="M967" i="4"/>
  <c r="N967" i="4"/>
  <c r="O967" i="4"/>
  <c r="B968" i="4"/>
  <c r="C968" i="4"/>
  <c r="D968" i="4"/>
  <c r="E968" i="4"/>
  <c r="F968" i="4"/>
  <c r="G968" i="4"/>
  <c r="H968" i="4"/>
  <c r="I968" i="4"/>
  <c r="J968" i="4"/>
  <c r="K968" i="4"/>
  <c r="L968" i="4"/>
  <c r="M968" i="4"/>
  <c r="N968" i="4"/>
  <c r="O968" i="4"/>
  <c r="B969" i="4"/>
  <c r="C969" i="4"/>
  <c r="D969" i="4"/>
  <c r="E969" i="4"/>
  <c r="F969" i="4"/>
  <c r="G969" i="4"/>
  <c r="H969" i="4"/>
  <c r="I969" i="4"/>
  <c r="J969" i="4"/>
  <c r="K969" i="4"/>
  <c r="L969" i="4"/>
  <c r="M969" i="4"/>
  <c r="N969" i="4"/>
  <c r="O969" i="4"/>
  <c r="B970" i="4"/>
  <c r="C970" i="4"/>
  <c r="D970" i="4"/>
  <c r="E970" i="4"/>
  <c r="F970" i="4"/>
  <c r="G970" i="4"/>
  <c r="H970" i="4"/>
  <c r="I970" i="4"/>
  <c r="J970" i="4"/>
  <c r="K970" i="4"/>
  <c r="L970" i="4"/>
  <c r="M970" i="4"/>
  <c r="N970" i="4"/>
  <c r="O970" i="4"/>
  <c r="B971" i="4"/>
  <c r="C971" i="4"/>
  <c r="D971" i="4"/>
  <c r="E971" i="4"/>
  <c r="F971" i="4"/>
  <c r="G971" i="4"/>
  <c r="H971" i="4"/>
  <c r="I971" i="4"/>
  <c r="J971" i="4"/>
  <c r="K971" i="4"/>
  <c r="L971" i="4"/>
  <c r="M971" i="4"/>
  <c r="N971" i="4"/>
  <c r="O971" i="4"/>
  <c r="B972" i="4"/>
  <c r="C972" i="4"/>
  <c r="D972" i="4"/>
  <c r="E972" i="4"/>
  <c r="F972" i="4"/>
  <c r="G972" i="4"/>
  <c r="H972" i="4"/>
  <c r="I972" i="4"/>
  <c r="J972" i="4"/>
  <c r="K972" i="4"/>
  <c r="L972" i="4"/>
  <c r="M972" i="4"/>
  <c r="N972" i="4"/>
  <c r="O972" i="4"/>
  <c r="B973" i="4"/>
  <c r="C973" i="4"/>
  <c r="D973" i="4"/>
  <c r="E973" i="4"/>
  <c r="F973" i="4"/>
  <c r="G973" i="4"/>
  <c r="H973" i="4"/>
  <c r="I973" i="4"/>
  <c r="J973" i="4"/>
  <c r="K973" i="4"/>
  <c r="L973" i="4"/>
  <c r="M973" i="4"/>
  <c r="N973" i="4"/>
  <c r="O973" i="4"/>
  <c r="B974" i="4"/>
  <c r="C974" i="4"/>
  <c r="D974" i="4"/>
  <c r="E974" i="4"/>
  <c r="F974" i="4"/>
  <c r="G974" i="4"/>
  <c r="H974" i="4"/>
  <c r="I974" i="4"/>
  <c r="J974" i="4"/>
  <c r="K974" i="4"/>
  <c r="L974" i="4"/>
  <c r="M974" i="4"/>
  <c r="N974" i="4"/>
  <c r="O974" i="4"/>
  <c r="B975" i="4"/>
  <c r="C975" i="4"/>
  <c r="D975" i="4"/>
  <c r="E975" i="4"/>
  <c r="F975" i="4"/>
  <c r="G975" i="4"/>
  <c r="H975" i="4"/>
  <c r="I975" i="4"/>
  <c r="J975" i="4"/>
  <c r="K975" i="4"/>
  <c r="L975" i="4"/>
  <c r="M975" i="4"/>
  <c r="N975" i="4"/>
  <c r="O975" i="4"/>
  <c r="B976" i="4"/>
  <c r="C976" i="4"/>
  <c r="D976" i="4"/>
  <c r="E976" i="4"/>
  <c r="F976" i="4"/>
  <c r="G976" i="4"/>
  <c r="H976" i="4"/>
  <c r="I976" i="4"/>
  <c r="J976" i="4"/>
  <c r="K976" i="4"/>
  <c r="L976" i="4"/>
  <c r="M976" i="4"/>
  <c r="N976" i="4"/>
  <c r="O976" i="4"/>
  <c r="B977" i="4"/>
  <c r="C977" i="4"/>
  <c r="D977" i="4"/>
  <c r="E977" i="4"/>
  <c r="F977" i="4"/>
  <c r="G977" i="4"/>
  <c r="H977" i="4"/>
  <c r="I977" i="4"/>
  <c r="J977" i="4"/>
  <c r="K977" i="4"/>
  <c r="L977" i="4"/>
  <c r="M977" i="4"/>
  <c r="N977" i="4"/>
  <c r="O977" i="4"/>
  <c r="B978" i="4"/>
  <c r="C978" i="4"/>
  <c r="D978" i="4"/>
  <c r="E978" i="4"/>
  <c r="F978" i="4"/>
  <c r="G978" i="4"/>
  <c r="H978" i="4"/>
  <c r="I978" i="4"/>
  <c r="J978" i="4"/>
  <c r="K978" i="4"/>
  <c r="L978" i="4"/>
  <c r="M978" i="4"/>
  <c r="N978" i="4"/>
  <c r="O978" i="4"/>
  <c r="B979" i="4"/>
  <c r="C979" i="4"/>
  <c r="D979" i="4"/>
  <c r="E979" i="4"/>
  <c r="F979" i="4"/>
  <c r="G979" i="4"/>
  <c r="H979" i="4"/>
  <c r="I979" i="4"/>
  <c r="J979" i="4"/>
  <c r="K979" i="4"/>
  <c r="L979" i="4"/>
  <c r="M979" i="4"/>
  <c r="N979" i="4"/>
  <c r="O979" i="4"/>
  <c r="B980" i="4"/>
  <c r="C980" i="4"/>
  <c r="D980" i="4"/>
  <c r="E980" i="4"/>
  <c r="F980" i="4"/>
  <c r="G980" i="4"/>
  <c r="H980" i="4"/>
  <c r="I980" i="4"/>
  <c r="J980" i="4"/>
  <c r="K980" i="4"/>
  <c r="L980" i="4"/>
  <c r="M980" i="4"/>
  <c r="N980" i="4"/>
  <c r="O980" i="4"/>
  <c r="B981" i="4"/>
  <c r="C981" i="4"/>
  <c r="D981" i="4"/>
  <c r="E981" i="4"/>
  <c r="F981" i="4"/>
  <c r="G981" i="4"/>
  <c r="H981" i="4"/>
  <c r="I981" i="4"/>
  <c r="J981" i="4"/>
  <c r="K981" i="4"/>
  <c r="L981" i="4"/>
  <c r="M981" i="4"/>
  <c r="N981" i="4"/>
  <c r="O981" i="4"/>
  <c r="B982" i="4"/>
  <c r="C982" i="4"/>
  <c r="D982" i="4"/>
  <c r="E982" i="4"/>
  <c r="F982" i="4"/>
  <c r="G982" i="4"/>
  <c r="H982" i="4"/>
  <c r="I982" i="4"/>
  <c r="J982" i="4"/>
  <c r="K982" i="4"/>
  <c r="L982" i="4"/>
  <c r="M982" i="4"/>
  <c r="N982" i="4"/>
  <c r="O982" i="4"/>
  <c r="B983" i="4"/>
  <c r="C983" i="4"/>
  <c r="D983" i="4"/>
  <c r="E983" i="4"/>
  <c r="F983" i="4"/>
  <c r="G983" i="4"/>
  <c r="H983" i="4"/>
  <c r="I983" i="4"/>
  <c r="J983" i="4"/>
  <c r="K983" i="4"/>
  <c r="L983" i="4"/>
  <c r="M983" i="4"/>
  <c r="N983" i="4"/>
  <c r="O983" i="4"/>
  <c r="B984" i="4"/>
  <c r="C984" i="4"/>
  <c r="D984" i="4"/>
  <c r="E984" i="4"/>
  <c r="F984" i="4"/>
  <c r="G984" i="4"/>
  <c r="H984" i="4"/>
  <c r="I984" i="4"/>
  <c r="J984" i="4"/>
  <c r="K984" i="4"/>
  <c r="L984" i="4"/>
  <c r="M984" i="4"/>
  <c r="N984" i="4"/>
  <c r="O984" i="4"/>
  <c r="B985" i="4"/>
  <c r="C985" i="4"/>
  <c r="D985" i="4"/>
  <c r="E985" i="4"/>
  <c r="F985" i="4"/>
  <c r="G985" i="4"/>
  <c r="H985" i="4"/>
  <c r="I985" i="4"/>
  <c r="J985" i="4"/>
  <c r="K985" i="4"/>
  <c r="L985" i="4"/>
  <c r="M985" i="4"/>
  <c r="N985" i="4"/>
  <c r="O985" i="4"/>
  <c r="B986" i="4"/>
  <c r="C986" i="4"/>
  <c r="D986" i="4"/>
  <c r="E986" i="4"/>
  <c r="F986" i="4"/>
  <c r="G986" i="4"/>
  <c r="H986" i="4"/>
  <c r="I986" i="4"/>
  <c r="J986" i="4"/>
  <c r="K986" i="4"/>
  <c r="L986" i="4"/>
  <c r="M986" i="4"/>
  <c r="N986" i="4"/>
  <c r="O986" i="4"/>
  <c r="B987" i="4"/>
  <c r="C987" i="4"/>
  <c r="D987" i="4"/>
  <c r="E987" i="4"/>
  <c r="F987" i="4"/>
  <c r="G987" i="4"/>
  <c r="H987" i="4"/>
  <c r="I987" i="4"/>
  <c r="J987" i="4"/>
  <c r="K987" i="4"/>
  <c r="L987" i="4"/>
  <c r="M987" i="4"/>
  <c r="N987" i="4"/>
  <c r="O987" i="4"/>
  <c r="B988" i="4"/>
  <c r="C988" i="4"/>
  <c r="D988" i="4"/>
  <c r="E988" i="4"/>
  <c r="F988" i="4"/>
  <c r="G988" i="4"/>
  <c r="H988" i="4"/>
  <c r="I988" i="4"/>
  <c r="J988" i="4"/>
  <c r="K988" i="4"/>
  <c r="L988" i="4"/>
  <c r="M988" i="4"/>
  <c r="N988" i="4"/>
  <c r="O988" i="4"/>
  <c r="B989" i="4"/>
  <c r="C989" i="4"/>
  <c r="D989" i="4"/>
  <c r="E989" i="4"/>
  <c r="F989" i="4"/>
  <c r="G989" i="4"/>
  <c r="H989" i="4"/>
  <c r="I989" i="4"/>
  <c r="J989" i="4"/>
  <c r="K989" i="4"/>
  <c r="L989" i="4"/>
  <c r="M989" i="4"/>
  <c r="N989" i="4"/>
  <c r="O989" i="4"/>
  <c r="B990" i="4"/>
  <c r="C990" i="4"/>
  <c r="D990" i="4"/>
  <c r="E990" i="4"/>
  <c r="F990" i="4"/>
  <c r="G990" i="4"/>
  <c r="H990" i="4"/>
  <c r="I990" i="4"/>
  <c r="J990" i="4"/>
  <c r="K990" i="4"/>
  <c r="L990" i="4"/>
  <c r="M990" i="4"/>
  <c r="N990" i="4"/>
  <c r="O990" i="4"/>
  <c r="B991" i="4"/>
  <c r="C991" i="4"/>
  <c r="D991" i="4"/>
  <c r="E991" i="4"/>
  <c r="F991" i="4"/>
  <c r="G991" i="4"/>
  <c r="H991" i="4"/>
  <c r="I991" i="4"/>
  <c r="J991" i="4"/>
  <c r="K991" i="4"/>
  <c r="L991" i="4"/>
  <c r="M991" i="4"/>
  <c r="N991" i="4"/>
  <c r="O991" i="4"/>
  <c r="B992" i="4"/>
  <c r="C992" i="4"/>
  <c r="D992" i="4"/>
  <c r="E992" i="4"/>
  <c r="F992" i="4"/>
  <c r="G992" i="4"/>
  <c r="H992" i="4"/>
  <c r="I992" i="4"/>
  <c r="J992" i="4"/>
  <c r="K992" i="4"/>
  <c r="L992" i="4"/>
  <c r="M992" i="4"/>
  <c r="N992" i="4"/>
  <c r="O992" i="4"/>
  <c r="B993" i="4"/>
  <c r="C993" i="4"/>
  <c r="D993" i="4"/>
  <c r="E993" i="4"/>
  <c r="F993" i="4"/>
  <c r="G993" i="4"/>
  <c r="H993" i="4"/>
  <c r="I993" i="4"/>
  <c r="J993" i="4"/>
  <c r="K993" i="4"/>
  <c r="L993" i="4"/>
  <c r="M993" i="4"/>
  <c r="N993" i="4"/>
  <c r="O993" i="4"/>
  <c r="B994" i="4"/>
  <c r="C994" i="4"/>
  <c r="D994" i="4"/>
  <c r="E994" i="4"/>
  <c r="F994" i="4"/>
  <c r="G994" i="4"/>
  <c r="H994" i="4"/>
  <c r="I994" i="4"/>
  <c r="J994" i="4"/>
  <c r="K994" i="4"/>
  <c r="L994" i="4"/>
  <c r="M994" i="4"/>
  <c r="N994" i="4"/>
  <c r="O994" i="4"/>
  <c r="B995" i="4"/>
  <c r="C995" i="4"/>
  <c r="D995" i="4"/>
  <c r="E995" i="4"/>
  <c r="F995" i="4"/>
  <c r="G995" i="4"/>
  <c r="H995" i="4"/>
  <c r="I995" i="4"/>
  <c r="J995" i="4"/>
  <c r="K995" i="4"/>
  <c r="L995" i="4"/>
  <c r="M995" i="4"/>
  <c r="N995" i="4"/>
  <c r="O995" i="4"/>
  <c r="B996" i="4"/>
  <c r="C996" i="4"/>
  <c r="D996" i="4"/>
  <c r="E996" i="4"/>
  <c r="F996" i="4"/>
  <c r="G996" i="4"/>
  <c r="H996" i="4"/>
  <c r="I996" i="4"/>
  <c r="J996" i="4"/>
  <c r="K996" i="4"/>
  <c r="L996" i="4"/>
  <c r="M996" i="4"/>
  <c r="N996" i="4"/>
  <c r="O996" i="4"/>
  <c r="B997" i="4"/>
  <c r="C997" i="4"/>
  <c r="D997" i="4"/>
  <c r="E997" i="4"/>
  <c r="F997" i="4"/>
  <c r="G997" i="4"/>
  <c r="H997" i="4"/>
  <c r="I997" i="4"/>
  <c r="J997" i="4"/>
  <c r="K997" i="4"/>
  <c r="L997" i="4"/>
  <c r="M997" i="4"/>
  <c r="N997" i="4"/>
  <c r="O997" i="4"/>
  <c r="B998" i="4"/>
  <c r="C998" i="4"/>
  <c r="D998" i="4"/>
  <c r="E998" i="4"/>
  <c r="F998" i="4"/>
  <c r="G998" i="4"/>
  <c r="H998" i="4"/>
  <c r="I998" i="4"/>
  <c r="J998" i="4"/>
  <c r="K998" i="4"/>
  <c r="L998" i="4"/>
  <c r="M998" i="4"/>
  <c r="N998" i="4"/>
  <c r="O998" i="4"/>
  <c r="B999" i="4"/>
  <c r="C999" i="4"/>
  <c r="D999" i="4"/>
  <c r="E999" i="4"/>
  <c r="F999" i="4"/>
  <c r="G999" i="4"/>
  <c r="H999" i="4"/>
  <c r="I999" i="4"/>
  <c r="J999" i="4"/>
  <c r="K999" i="4"/>
  <c r="L999" i="4"/>
  <c r="M999" i="4"/>
  <c r="N999" i="4"/>
  <c r="O999" i="4"/>
  <c r="B1000" i="4"/>
  <c r="C1000" i="4"/>
  <c r="D1000" i="4"/>
  <c r="E1000" i="4"/>
  <c r="F1000" i="4"/>
  <c r="G1000" i="4"/>
  <c r="H1000" i="4"/>
  <c r="I1000" i="4"/>
  <c r="J1000" i="4"/>
  <c r="K1000" i="4"/>
  <c r="L1000" i="4"/>
  <c r="M1000" i="4"/>
  <c r="N1000" i="4"/>
  <c r="O1000" i="4"/>
  <c r="B1001" i="4"/>
  <c r="C1001" i="4"/>
  <c r="D1001" i="4"/>
  <c r="E1001" i="4"/>
  <c r="F1001" i="4"/>
  <c r="G1001" i="4"/>
  <c r="H1001" i="4"/>
  <c r="I1001" i="4"/>
  <c r="J1001" i="4"/>
  <c r="K1001" i="4"/>
  <c r="L1001" i="4"/>
  <c r="M1001" i="4"/>
  <c r="N1001" i="4"/>
  <c r="O1001" i="4"/>
  <c r="B1002" i="4"/>
  <c r="C1002" i="4"/>
  <c r="D1002" i="4"/>
  <c r="E1002" i="4"/>
  <c r="F1002" i="4"/>
  <c r="G1002" i="4"/>
  <c r="H1002" i="4"/>
  <c r="I1002" i="4"/>
  <c r="J1002" i="4"/>
  <c r="K1002" i="4"/>
  <c r="L1002" i="4"/>
  <c r="M1002" i="4"/>
  <c r="N1002" i="4"/>
  <c r="O1002" i="4"/>
  <c r="B1003" i="4"/>
  <c r="C1003" i="4"/>
  <c r="D1003" i="4"/>
  <c r="E1003" i="4"/>
  <c r="F1003" i="4"/>
  <c r="G1003" i="4"/>
  <c r="H1003" i="4"/>
  <c r="I1003" i="4"/>
  <c r="J1003" i="4"/>
  <c r="K1003" i="4"/>
  <c r="L1003" i="4"/>
  <c r="M1003" i="4"/>
  <c r="N1003" i="4"/>
  <c r="O1003" i="4"/>
  <c r="B1004" i="4"/>
  <c r="C1004" i="4"/>
  <c r="D1004" i="4"/>
  <c r="E1004" i="4"/>
  <c r="F1004" i="4"/>
  <c r="G1004" i="4"/>
  <c r="H1004" i="4"/>
  <c r="I1004" i="4"/>
  <c r="J1004" i="4"/>
  <c r="K1004" i="4"/>
  <c r="L1004" i="4"/>
  <c r="M1004" i="4"/>
  <c r="N1004" i="4"/>
  <c r="O1004" i="4"/>
  <c r="B1005" i="4"/>
  <c r="C1005" i="4"/>
  <c r="D1005" i="4"/>
  <c r="E1005" i="4"/>
  <c r="F1005" i="4"/>
  <c r="G1005" i="4"/>
  <c r="H1005" i="4"/>
  <c r="I1005" i="4"/>
  <c r="J1005" i="4"/>
  <c r="K1005" i="4"/>
  <c r="L1005" i="4"/>
  <c r="M1005" i="4"/>
  <c r="N1005" i="4"/>
  <c r="O1005" i="4"/>
  <c r="B1006" i="4"/>
  <c r="C1006" i="4"/>
  <c r="D1006" i="4"/>
  <c r="E1006" i="4"/>
  <c r="F1006" i="4"/>
  <c r="G1006" i="4"/>
  <c r="H1006" i="4"/>
  <c r="I1006" i="4"/>
  <c r="J1006" i="4"/>
  <c r="K1006" i="4"/>
  <c r="L1006" i="4"/>
  <c r="M1006" i="4"/>
  <c r="N1006" i="4"/>
  <c r="O1006" i="4"/>
  <c r="B1007" i="4"/>
  <c r="C1007" i="4"/>
  <c r="D1007" i="4"/>
  <c r="E1007" i="4"/>
  <c r="F1007" i="4"/>
  <c r="G1007" i="4"/>
  <c r="H1007" i="4"/>
  <c r="I1007" i="4"/>
  <c r="J1007" i="4"/>
  <c r="K1007" i="4"/>
  <c r="L1007" i="4"/>
  <c r="M1007" i="4"/>
  <c r="N1007" i="4"/>
  <c r="O1007" i="4"/>
  <c r="B1008" i="4"/>
  <c r="C1008" i="4"/>
  <c r="D1008" i="4"/>
  <c r="E1008" i="4"/>
  <c r="F1008" i="4"/>
  <c r="G1008" i="4"/>
  <c r="H1008" i="4"/>
  <c r="I1008" i="4"/>
  <c r="J1008" i="4"/>
  <c r="K1008" i="4"/>
  <c r="L1008" i="4"/>
  <c r="M1008" i="4"/>
  <c r="N1008" i="4"/>
  <c r="O1008" i="4"/>
  <c r="B1009" i="4"/>
  <c r="C1009" i="4"/>
  <c r="D1009" i="4"/>
  <c r="E1009" i="4"/>
  <c r="F1009" i="4"/>
  <c r="G1009" i="4"/>
  <c r="H1009" i="4"/>
  <c r="I1009" i="4"/>
  <c r="J1009" i="4"/>
  <c r="K1009" i="4"/>
  <c r="L1009" i="4"/>
  <c r="M1009" i="4"/>
  <c r="N1009" i="4"/>
  <c r="O1009" i="4"/>
  <c r="B1010" i="4"/>
  <c r="C1010" i="4"/>
  <c r="D1010" i="4"/>
  <c r="E1010" i="4"/>
  <c r="F1010" i="4"/>
  <c r="G1010" i="4"/>
  <c r="H1010" i="4"/>
  <c r="I1010" i="4"/>
  <c r="J1010" i="4"/>
  <c r="K1010" i="4"/>
  <c r="L1010" i="4"/>
  <c r="M1010" i="4"/>
  <c r="N1010" i="4"/>
  <c r="O1010" i="4"/>
  <c r="B1011" i="4"/>
  <c r="C1011" i="4"/>
  <c r="D1011" i="4"/>
  <c r="E1011" i="4"/>
  <c r="F1011" i="4"/>
  <c r="G1011" i="4"/>
  <c r="H1011" i="4"/>
  <c r="I1011" i="4"/>
  <c r="J1011" i="4"/>
  <c r="K1011" i="4"/>
  <c r="L1011" i="4"/>
  <c r="M1011" i="4"/>
  <c r="N1011" i="4"/>
  <c r="O1011" i="4"/>
  <c r="B1012" i="4"/>
  <c r="C1012" i="4"/>
  <c r="D1012" i="4"/>
  <c r="E1012" i="4"/>
  <c r="F1012" i="4"/>
  <c r="G1012" i="4"/>
  <c r="H1012" i="4"/>
  <c r="I1012" i="4"/>
  <c r="J1012" i="4"/>
  <c r="K1012" i="4"/>
  <c r="L1012" i="4"/>
  <c r="M1012" i="4"/>
  <c r="N1012" i="4"/>
  <c r="O1012" i="4"/>
  <c r="B1013" i="4"/>
  <c r="C1013" i="4"/>
  <c r="D1013" i="4"/>
  <c r="E1013" i="4"/>
  <c r="F1013" i="4"/>
  <c r="G1013" i="4"/>
  <c r="H1013" i="4"/>
  <c r="I1013" i="4"/>
  <c r="J1013" i="4"/>
  <c r="K1013" i="4"/>
  <c r="L1013" i="4"/>
  <c r="M1013" i="4"/>
  <c r="N1013" i="4"/>
  <c r="O1013" i="4"/>
  <c r="B1014" i="4"/>
  <c r="C1014" i="4"/>
  <c r="D1014" i="4"/>
  <c r="E1014" i="4"/>
  <c r="F1014" i="4"/>
  <c r="G1014" i="4"/>
  <c r="H1014" i="4"/>
  <c r="I1014" i="4"/>
  <c r="J1014" i="4"/>
  <c r="K1014" i="4"/>
  <c r="L1014" i="4"/>
  <c r="M1014" i="4"/>
  <c r="N1014" i="4"/>
  <c r="O1014" i="4"/>
  <c r="B1015" i="4"/>
  <c r="C1015" i="4"/>
  <c r="D1015" i="4"/>
  <c r="E1015" i="4"/>
  <c r="F1015" i="4"/>
  <c r="G1015" i="4"/>
  <c r="H1015" i="4"/>
  <c r="I1015" i="4"/>
  <c r="J1015" i="4"/>
  <c r="K1015" i="4"/>
  <c r="L1015" i="4"/>
  <c r="M1015" i="4"/>
  <c r="N1015" i="4"/>
  <c r="O1015" i="4"/>
  <c r="B1016" i="4"/>
  <c r="C1016" i="4"/>
  <c r="D1016" i="4"/>
  <c r="E1016" i="4"/>
  <c r="F1016" i="4"/>
  <c r="G1016" i="4"/>
  <c r="H1016" i="4"/>
  <c r="I1016" i="4"/>
  <c r="J1016" i="4"/>
  <c r="K1016" i="4"/>
  <c r="L1016" i="4"/>
  <c r="M1016" i="4"/>
  <c r="N1016" i="4"/>
  <c r="O1016" i="4"/>
  <c r="B1017" i="4"/>
  <c r="C1017" i="4"/>
  <c r="D1017" i="4"/>
  <c r="E1017" i="4"/>
  <c r="F1017" i="4"/>
  <c r="G1017" i="4"/>
  <c r="H1017" i="4"/>
  <c r="I1017" i="4"/>
  <c r="J1017" i="4"/>
  <c r="K1017" i="4"/>
  <c r="L1017" i="4"/>
  <c r="M1017" i="4"/>
  <c r="N1017" i="4"/>
  <c r="O1017" i="4"/>
  <c r="B1018" i="4"/>
  <c r="C1018" i="4"/>
  <c r="D1018" i="4"/>
  <c r="E1018" i="4"/>
  <c r="F1018" i="4"/>
  <c r="G1018" i="4"/>
  <c r="H1018" i="4"/>
  <c r="I1018" i="4"/>
  <c r="J1018" i="4"/>
  <c r="K1018" i="4"/>
  <c r="L1018" i="4"/>
  <c r="M1018" i="4"/>
  <c r="N1018" i="4"/>
  <c r="O1018" i="4"/>
  <c r="B1019" i="4"/>
  <c r="C1019" i="4"/>
  <c r="D1019" i="4"/>
  <c r="E1019" i="4"/>
  <c r="F1019" i="4"/>
  <c r="G1019" i="4"/>
  <c r="H1019" i="4"/>
  <c r="I1019" i="4"/>
  <c r="J1019" i="4"/>
  <c r="K1019" i="4"/>
  <c r="L1019" i="4"/>
  <c r="M1019" i="4"/>
  <c r="N1019" i="4"/>
  <c r="O1019" i="4"/>
  <c r="B1020" i="4"/>
  <c r="C1020" i="4"/>
  <c r="D1020" i="4"/>
  <c r="E1020" i="4"/>
  <c r="F1020" i="4"/>
  <c r="G1020" i="4"/>
  <c r="H1020" i="4"/>
  <c r="I1020" i="4"/>
  <c r="J1020" i="4"/>
  <c r="K1020" i="4"/>
  <c r="L1020" i="4"/>
  <c r="M1020" i="4"/>
  <c r="N1020" i="4"/>
  <c r="O1020" i="4"/>
  <c r="B1021" i="4"/>
  <c r="C1021" i="4"/>
  <c r="D1021" i="4"/>
  <c r="E1021" i="4"/>
  <c r="F1021" i="4"/>
  <c r="G1021" i="4"/>
  <c r="H1021" i="4"/>
  <c r="I1021" i="4"/>
  <c r="J1021" i="4"/>
  <c r="K1021" i="4"/>
  <c r="L1021" i="4"/>
  <c r="M1021" i="4"/>
  <c r="N1021" i="4"/>
  <c r="O1021" i="4"/>
  <c r="B1022" i="4"/>
  <c r="C1022" i="4"/>
  <c r="D1022" i="4"/>
  <c r="E1022" i="4"/>
  <c r="F1022" i="4"/>
  <c r="G1022" i="4"/>
  <c r="H1022" i="4"/>
  <c r="I1022" i="4"/>
  <c r="J1022" i="4"/>
  <c r="K1022" i="4"/>
  <c r="L1022" i="4"/>
  <c r="M1022" i="4"/>
  <c r="N1022" i="4"/>
  <c r="O1022" i="4"/>
  <c r="B1023" i="4"/>
  <c r="C1023" i="4"/>
  <c r="D1023" i="4"/>
  <c r="E1023" i="4"/>
  <c r="F1023" i="4"/>
  <c r="G1023" i="4"/>
  <c r="H1023" i="4"/>
  <c r="I1023" i="4"/>
  <c r="J1023" i="4"/>
  <c r="K1023" i="4"/>
  <c r="L1023" i="4"/>
  <c r="M1023" i="4"/>
  <c r="N1023" i="4"/>
  <c r="O1023" i="4"/>
  <c r="B1024" i="4"/>
  <c r="C1024" i="4"/>
  <c r="D1024" i="4"/>
  <c r="E1024" i="4"/>
  <c r="F1024" i="4"/>
  <c r="G1024" i="4"/>
  <c r="H1024" i="4"/>
  <c r="I1024" i="4"/>
  <c r="J1024" i="4"/>
  <c r="K1024" i="4"/>
  <c r="L1024" i="4"/>
  <c r="M1024" i="4"/>
  <c r="N1024" i="4"/>
  <c r="O1024" i="4"/>
  <c r="B1025" i="4"/>
  <c r="C1025" i="4"/>
  <c r="D1025" i="4"/>
  <c r="E1025" i="4"/>
  <c r="F1025" i="4"/>
  <c r="G1025" i="4"/>
  <c r="H1025" i="4"/>
  <c r="I1025" i="4"/>
  <c r="J1025" i="4"/>
  <c r="K1025" i="4"/>
  <c r="L1025" i="4"/>
  <c r="M1025" i="4"/>
  <c r="N1025" i="4"/>
  <c r="O1025" i="4"/>
  <c r="B1026" i="4"/>
  <c r="C1026" i="4"/>
  <c r="D1026" i="4"/>
  <c r="E1026" i="4"/>
  <c r="F1026" i="4"/>
  <c r="G1026" i="4"/>
  <c r="H1026" i="4"/>
  <c r="I1026" i="4"/>
  <c r="J1026" i="4"/>
  <c r="K1026" i="4"/>
  <c r="L1026" i="4"/>
  <c r="M1026" i="4"/>
  <c r="N1026" i="4"/>
  <c r="O1026" i="4"/>
  <c r="B1027" i="4"/>
  <c r="C1027" i="4"/>
  <c r="D1027" i="4"/>
  <c r="E1027" i="4"/>
  <c r="F1027" i="4"/>
  <c r="G1027" i="4"/>
  <c r="H1027" i="4"/>
  <c r="I1027" i="4"/>
  <c r="J1027" i="4"/>
  <c r="K1027" i="4"/>
  <c r="L1027" i="4"/>
  <c r="M1027" i="4"/>
  <c r="N1027" i="4"/>
  <c r="O1027" i="4"/>
  <c r="B1028" i="4"/>
  <c r="C1028" i="4"/>
  <c r="D1028" i="4"/>
  <c r="E1028" i="4"/>
  <c r="F1028" i="4"/>
  <c r="G1028" i="4"/>
  <c r="H1028" i="4"/>
  <c r="I1028" i="4"/>
  <c r="J1028" i="4"/>
  <c r="K1028" i="4"/>
  <c r="L1028" i="4"/>
  <c r="M1028" i="4"/>
  <c r="N1028" i="4"/>
  <c r="O1028" i="4"/>
  <c r="B1029" i="4"/>
  <c r="C1029" i="4"/>
  <c r="D1029" i="4"/>
  <c r="E1029" i="4"/>
  <c r="F1029" i="4"/>
  <c r="G1029" i="4"/>
  <c r="H1029" i="4"/>
  <c r="I1029" i="4"/>
  <c r="J1029" i="4"/>
  <c r="K1029" i="4"/>
  <c r="L1029" i="4"/>
  <c r="M1029" i="4"/>
  <c r="N1029" i="4"/>
  <c r="O1029" i="4"/>
  <c r="B1030" i="4"/>
  <c r="C1030" i="4"/>
  <c r="D1030" i="4"/>
  <c r="E1030" i="4"/>
  <c r="F1030" i="4"/>
  <c r="G1030" i="4"/>
  <c r="H1030" i="4"/>
  <c r="I1030" i="4"/>
  <c r="J1030" i="4"/>
  <c r="K1030" i="4"/>
  <c r="L1030" i="4"/>
  <c r="M1030" i="4"/>
  <c r="N1030" i="4"/>
  <c r="O1030" i="4"/>
  <c r="B1031" i="4"/>
  <c r="C1031" i="4"/>
  <c r="D1031" i="4"/>
  <c r="E1031" i="4"/>
  <c r="F1031" i="4"/>
  <c r="G1031" i="4"/>
  <c r="H1031" i="4"/>
  <c r="I1031" i="4"/>
  <c r="J1031" i="4"/>
  <c r="K1031" i="4"/>
  <c r="L1031" i="4"/>
  <c r="M1031" i="4"/>
  <c r="N1031" i="4"/>
  <c r="O1031" i="4"/>
  <c r="B1032" i="4"/>
  <c r="C1032" i="4"/>
  <c r="D1032" i="4"/>
  <c r="E1032" i="4"/>
  <c r="F1032" i="4"/>
  <c r="G1032" i="4"/>
  <c r="H1032" i="4"/>
  <c r="I1032" i="4"/>
  <c r="J1032" i="4"/>
  <c r="K1032" i="4"/>
  <c r="L1032" i="4"/>
  <c r="M1032" i="4"/>
  <c r="N1032" i="4"/>
  <c r="O1032" i="4"/>
  <c r="B1033" i="4"/>
  <c r="C1033" i="4"/>
  <c r="D1033" i="4"/>
  <c r="E1033" i="4"/>
  <c r="F1033" i="4"/>
  <c r="G1033" i="4"/>
  <c r="H1033" i="4"/>
  <c r="I1033" i="4"/>
  <c r="J1033" i="4"/>
  <c r="K1033" i="4"/>
  <c r="L1033" i="4"/>
  <c r="M1033" i="4"/>
  <c r="N1033" i="4"/>
  <c r="O1033" i="4"/>
  <c r="B1034" i="4"/>
  <c r="C1034" i="4"/>
  <c r="D1034" i="4"/>
  <c r="E1034" i="4"/>
  <c r="F1034" i="4"/>
  <c r="G1034" i="4"/>
  <c r="H1034" i="4"/>
  <c r="I1034" i="4"/>
  <c r="J1034" i="4"/>
  <c r="K1034" i="4"/>
  <c r="L1034" i="4"/>
  <c r="M1034" i="4"/>
  <c r="N1034" i="4"/>
  <c r="O1034" i="4"/>
  <c r="B1035" i="4"/>
  <c r="C1035" i="4"/>
  <c r="D1035" i="4"/>
  <c r="E1035" i="4"/>
  <c r="F1035" i="4"/>
  <c r="G1035" i="4"/>
  <c r="H1035" i="4"/>
  <c r="I1035" i="4"/>
  <c r="J1035" i="4"/>
  <c r="K1035" i="4"/>
  <c r="L1035" i="4"/>
  <c r="M1035" i="4"/>
  <c r="N1035" i="4"/>
  <c r="O1035" i="4"/>
  <c r="B1036" i="4"/>
  <c r="C1036" i="4"/>
  <c r="D1036" i="4"/>
  <c r="E1036" i="4"/>
  <c r="F1036" i="4"/>
  <c r="G1036" i="4"/>
  <c r="H1036" i="4"/>
  <c r="I1036" i="4"/>
  <c r="J1036" i="4"/>
  <c r="K1036" i="4"/>
  <c r="L1036" i="4"/>
  <c r="M1036" i="4"/>
  <c r="N1036" i="4"/>
  <c r="O1036" i="4"/>
  <c r="B1037" i="4"/>
  <c r="C1037" i="4"/>
  <c r="D1037" i="4"/>
  <c r="E1037" i="4"/>
  <c r="F1037" i="4"/>
  <c r="G1037" i="4"/>
  <c r="H1037" i="4"/>
  <c r="I1037" i="4"/>
  <c r="J1037" i="4"/>
  <c r="K1037" i="4"/>
  <c r="L1037" i="4"/>
  <c r="M1037" i="4"/>
  <c r="N1037" i="4"/>
  <c r="O1037" i="4"/>
  <c r="B1038" i="4"/>
  <c r="C1038" i="4"/>
  <c r="D1038" i="4"/>
  <c r="E1038" i="4"/>
  <c r="F1038" i="4"/>
  <c r="G1038" i="4"/>
  <c r="H1038" i="4"/>
  <c r="I1038" i="4"/>
  <c r="J1038" i="4"/>
  <c r="K1038" i="4"/>
  <c r="L1038" i="4"/>
  <c r="M1038" i="4"/>
  <c r="N1038" i="4"/>
  <c r="O1038" i="4"/>
  <c r="B1039" i="4"/>
  <c r="C1039" i="4"/>
  <c r="D1039" i="4"/>
  <c r="E1039" i="4"/>
  <c r="F1039" i="4"/>
  <c r="G1039" i="4"/>
  <c r="H1039" i="4"/>
  <c r="I1039" i="4"/>
  <c r="J1039" i="4"/>
  <c r="K1039" i="4"/>
  <c r="L1039" i="4"/>
  <c r="M1039" i="4"/>
  <c r="N1039" i="4"/>
  <c r="O1039" i="4"/>
  <c r="B1040" i="4"/>
  <c r="C1040" i="4"/>
  <c r="D1040" i="4"/>
  <c r="E1040" i="4"/>
  <c r="F1040" i="4"/>
  <c r="G1040" i="4"/>
  <c r="H1040" i="4"/>
  <c r="I1040" i="4"/>
  <c r="J1040" i="4"/>
  <c r="K1040" i="4"/>
  <c r="L1040" i="4"/>
  <c r="M1040" i="4"/>
  <c r="N1040" i="4"/>
  <c r="O1040" i="4"/>
  <c r="B1041" i="4"/>
  <c r="C1041" i="4"/>
  <c r="D1041" i="4"/>
  <c r="E1041" i="4"/>
  <c r="F1041" i="4"/>
  <c r="G1041" i="4"/>
  <c r="H1041" i="4"/>
  <c r="I1041" i="4"/>
  <c r="J1041" i="4"/>
  <c r="K1041" i="4"/>
  <c r="L1041" i="4"/>
  <c r="M1041" i="4"/>
  <c r="N1041" i="4"/>
  <c r="O1041" i="4"/>
  <c r="B1042" i="4"/>
  <c r="C1042" i="4"/>
  <c r="D1042" i="4"/>
  <c r="E1042" i="4"/>
  <c r="F1042" i="4"/>
  <c r="G1042" i="4"/>
  <c r="H1042" i="4"/>
  <c r="I1042" i="4"/>
  <c r="J1042" i="4"/>
  <c r="K1042" i="4"/>
  <c r="L1042" i="4"/>
  <c r="M1042" i="4"/>
  <c r="N1042" i="4"/>
  <c r="O1042" i="4"/>
  <c r="B1043" i="4"/>
  <c r="C1043" i="4"/>
  <c r="D1043" i="4"/>
  <c r="E1043" i="4"/>
  <c r="F1043" i="4"/>
  <c r="G1043" i="4"/>
  <c r="H1043" i="4"/>
  <c r="I1043" i="4"/>
  <c r="J1043" i="4"/>
  <c r="K1043" i="4"/>
  <c r="L1043" i="4"/>
  <c r="M1043" i="4"/>
  <c r="N1043" i="4"/>
  <c r="O1043" i="4"/>
  <c r="B1044" i="4"/>
  <c r="C1044" i="4"/>
  <c r="D1044" i="4"/>
  <c r="E1044" i="4"/>
  <c r="F1044" i="4"/>
  <c r="G1044" i="4"/>
  <c r="H1044" i="4"/>
  <c r="I1044" i="4"/>
  <c r="J1044" i="4"/>
  <c r="K1044" i="4"/>
  <c r="L1044" i="4"/>
  <c r="M1044" i="4"/>
  <c r="N1044" i="4"/>
  <c r="O1044" i="4"/>
  <c r="B1045" i="4"/>
  <c r="C1045" i="4"/>
  <c r="D1045" i="4"/>
  <c r="E1045" i="4"/>
  <c r="F1045" i="4"/>
  <c r="G1045" i="4"/>
  <c r="H1045" i="4"/>
  <c r="I1045" i="4"/>
  <c r="J1045" i="4"/>
  <c r="K1045" i="4"/>
  <c r="L1045" i="4"/>
  <c r="M1045" i="4"/>
  <c r="N1045" i="4"/>
  <c r="O1045" i="4"/>
  <c r="B1046" i="4"/>
  <c r="C1046" i="4"/>
  <c r="D1046" i="4"/>
  <c r="E1046" i="4"/>
  <c r="F1046" i="4"/>
  <c r="G1046" i="4"/>
  <c r="H1046" i="4"/>
  <c r="I1046" i="4"/>
  <c r="J1046" i="4"/>
  <c r="K1046" i="4"/>
  <c r="L1046" i="4"/>
  <c r="M1046" i="4"/>
  <c r="N1046" i="4"/>
  <c r="O1046" i="4"/>
  <c r="B1047" i="4"/>
  <c r="C1047" i="4"/>
  <c r="D1047" i="4"/>
  <c r="E1047" i="4"/>
  <c r="F1047" i="4"/>
  <c r="G1047" i="4"/>
  <c r="H1047" i="4"/>
  <c r="I1047" i="4"/>
  <c r="J1047" i="4"/>
  <c r="K1047" i="4"/>
  <c r="L1047" i="4"/>
  <c r="M1047" i="4"/>
  <c r="N1047" i="4"/>
  <c r="O1047" i="4"/>
  <c r="B1048" i="4"/>
  <c r="C1048" i="4"/>
  <c r="D1048" i="4"/>
  <c r="E1048" i="4"/>
  <c r="F1048" i="4"/>
  <c r="G1048" i="4"/>
  <c r="H1048" i="4"/>
  <c r="I1048" i="4"/>
  <c r="J1048" i="4"/>
  <c r="K1048" i="4"/>
  <c r="L1048" i="4"/>
  <c r="M1048" i="4"/>
  <c r="N1048" i="4"/>
  <c r="O1048" i="4"/>
  <c r="B1049" i="4"/>
  <c r="C1049" i="4"/>
  <c r="D1049" i="4"/>
  <c r="E1049" i="4"/>
  <c r="F1049" i="4"/>
  <c r="G1049" i="4"/>
  <c r="H1049" i="4"/>
  <c r="I1049" i="4"/>
  <c r="J1049" i="4"/>
  <c r="K1049" i="4"/>
  <c r="L1049" i="4"/>
  <c r="M1049" i="4"/>
  <c r="N1049" i="4"/>
  <c r="O1049" i="4"/>
  <c r="B1050" i="4"/>
  <c r="C1050" i="4"/>
  <c r="D1050" i="4"/>
  <c r="E1050" i="4"/>
  <c r="F1050" i="4"/>
  <c r="G1050" i="4"/>
  <c r="H1050" i="4"/>
  <c r="I1050" i="4"/>
  <c r="J1050" i="4"/>
  <c r="K1050" i="4"/>
  <c r="L1050" i="4"/>
  <c r="M1050" i="4"/>
  <c r="N1050" i="4"/>
  <c r="O1050" i="4"/>
  <c r="B1051" i="4"/>
  <c r="C1051" i="4"/>
  <c r="D1051" i="4"/>
  <c r="E1051" i="4"/>
  <c r="F1051" i="4"/>
  <c r="G1051" i="4"/>
  <c r="H1051" i="4"/>
  <c r="I1051" i="4"/>
  <c r="J1051" i="4"/>
  <c r="K1051" i="4"/>
  <c r="L1051" i="4"/>
  <c r="M1051" i="4"/>
  <c r="N1051" i="4"/>
  <c r="O1051" i="4"/>
  <c r="B1052" i="4"/>
  <c r="C1052" i="4"/>
  <c r="D1052" i="4"/>
  <c r="E1052" i="4"/>
  <c r="F1052" i="4"/>
  <c r="G1052" i="4"/>
  <c r="H1052" i="4"/>
  <c r="I1052" i="4"/>
  <c r="J1052" i="4"/>
  <c r="K1052" i="4"/>
  <c r="L1052" i="4"/>
  <c r="M1052" i="4"/>
  <c r="N1052" i="4"/>
  <c r="O1052" i="4"/>
  <c r="B1053" i="4"/>
  <c r="C1053" i="4"/>
  <c r="D1053" i="4"/>
  <c r="E1053" i="4"/>
  <c r="F1053" i="4"/>
  <c r="G1053" i="4"/>
  <c r="H1053" i="4"/>
  <c r="I1053" i="4"/>
  <c r="J1053" i="4"/>
  <c r="K1053" i="4"/>
  <c r="L1053" i="4"/>
  <c r="M1053" i="4"/>
  <c r="N1053" i="4"/>
  <c r="O1053" i="4"/>
  <c r="B1054" i="4"/>
  <c r="C1054" i="4"/>
  <c r="D1054" i="4"/>
  <c r="E1054" i="4"/>
  <c r="F1054" i="4"/>
  <c r="G1054" i="4"/>
  <c r="H1054" i="4"/>
  <c r="I1054" i="4"/>
  <c r="J1054" i="4"/>
  <c r="K1054" i="4"/>
  <c r="L1054" i="4"/>
  <c r="M1054" i="4"/>
  <c r="N1054" i="4"/>
  <c r="O1054" i="4"/>
  <c r="B1055" i="4"/>
  <c r="C1055" i="4"/>
  <c r="D1055" i="4"/>
  <c r="E1055" i="4"/>
  <c r="F1055" i="4"/>
  <c r="G1055" i="4"/>
  <c r="H1055" i="4"/>
  <c r="I1055" i="4"/>
  <c r="J1055" i="4"/>
  <c r="K1055" i="4"/>
  <c r="L1055" i="4"/>
  <c r="M1055" i="4"/>
  <c r="N1055" i="4"/>
  <c r="O1055" i="4"/>
  <c r="B1056" i="4"/>
  <c r="C1056" i="4"/>
  <c r="D1056" i="4"/>
  <c r="E1056" i="4"/>
  <c r="F1056" i="4"/>
  <c r="G1056" i="4"/>
  <c r="H1056" i="4"/>
  <c r="I1056" i="4"/>
  <c r="J1056" i="4"/>
  <c r="K1056" i="4"/>
  <c r="L1056" i="4"/>
  <c r="M1056" i="4"/>
  <c r="N1056" i="4"/>
  <c r="O1056" i="4"/>
  <c r="B1057" i="4"/>
  <c r="C1057" i="4"/>
  <c r="D1057" i="4"/>
  <c r="E1057" i="4"/>
  <c r="F1057" i="4"/>
  <c r="G1057" i="4"/>
  <c r="H1057" i="4"/>
  <c r="I1057" i="4"/>
  <c r="J1057" i="4"/>
  <c r="K1057" i="4"/>
  <c r="L1057" i="4"/>
  <c r="M1057" i="4"/>
  <c r="N1057" i="4"/>
  <c r="O1057" i="4"/>
  <c r="B1058" i="4"/>
  <c r="C1058" i="4"/>
  <c r="D1058" i="4"/>
  <c r="E1058" i="4"/>
  <c r="F1058" i="4"/>
  <c r="G1058" i="4"/>
  <c r="H1058" i="4"/>
  <c r="I1058" i="4"/>
  <c r="J1058" i="4"/>
  <c r="K1058" i="4"/>
  <c r="L1058" i="4"/>
  <c r="M1058" i="4"/>
  <c r="N1058" i="4"/>
  <c r="O1058" i="4"/>
  <c r="B1059" i="4"/>
  <c r="C1059" i="4"/>
  <c r="D1059" i="4"/>
  <c r="E1059" i="4"/>
  <c r="F1059" i="4"/>
  <c r="G1059" i="4"/>
  <c r="H1059" i="4"/>
  <c r="I1059" i="4"/>
  <c r="J1059" i="4"/>
  <c r="K1059" i="4"/>
  <c r="L1059" i="4"/>
  <c r="M1059" i="4"/>
  <c r="N1059" i="4"/>
  <c r="O1059" i="4"/>
  <c r="I1068" i="4"/>
  <c r="D1076" i="4"/>
  <c r="C13" i="3"/>
  <c r="E13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E1070" i="3" s="1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E1080" i="3" s="1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E1084" i="3" s="1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E1089" i="3" s="1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E1092" i="3" s="1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7" i="3"/>
  <c r="C1037" i="3"/>
  <c r="D1037" i="3"/>
  <c r="E1037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D1045" i="3"/>
  <c r="E1045" i="3"/>
  <c r="B1046" i="3"/>
  <c r="C1046" i="3"/>
  <c r="D1046" i="3"/>
  <c r="E1046" i="3"/>
  <c r="B1047" i="3"/>
  <c r="C1047" i="3"/>
  <c r="D1047" i="3"/>
  <c r="E1047" i="3"/>
  <c r="B1048" i="3"/>
  <c r="C1048" i="3"/>
  <c r="D1048" i="3"/>
  <c r="E1048" i="3"/>
  <c r="B1049" i="3"/>
  <c r="C1049" i="3"/>
  <c r="D1049" i="3"/>
  <c r="E1049" i="3"/>
  <c r="B1050" i="3"/>
  <c r="C1050" i="3"/>
  <c r="D1050" i="3"/>
  <c r="E1050" i="3"/>
  <c r="B1051" i="3"/>
  <c r="C1051" i="3"/>
  <c r="D1051" i="3"/>
  <c r="E1051" i="3"/>
  <c r="B1052" i="3"/>
  <c r="C1052" i="3"/>
  <c r="D1052" i="3"/>
  <c r="E1052" i="3"/>
  <c r="B1053" i="3"/>
  <c r="C1053" i="3"/>
  <c r="D1053" i="3"/>
  <c r="E1053" i="3"/>
  <c r="B1054" i="3"/>
  <c r="C1054" i="3"/>
  <c r="D1054" i="3"/>
  <c r="E1054" i="3"/>
  <c r="B1055" i="3"/>
  <c r="C1055" i="3"/>
  <c r="D1055" i="3"/>
  <c r="E1055" i="3"/>
  <c r="B1056" i="3"/>
  <c r="C1056" i="3"/>
  <c r="D1056" i="3"/>
  <c r="E1056" i="3"/>
  <c r="B1057" i="3"/>
  <c r="C1057" i="3"/>
  <c r="D1057" i="3"/>
  <c r="E1057" i="3"/>
  <c r="B1058" i="3"/>
  <c r="C1058" i="3"/>
  <c r="D1058" i="3"/>
  <c r="E1058" i="3"/>
  <c r="B1059" i="3"/>
  <c r="C1059" i="3"/>
  <c r="D1059" i="3"/>
  <c r="E1059" i="3"/>
  <c r="B1060" i="3"/>
  <c r="C1060" i="3"/>
  <c r="D1060" i="3"/>
  <c r="E1060" i="3"/>
  <c r="B1062" i="3"/>
  <c r="C1062" i="3"/>
  <c r="C1063" i="3"/>
  <c r="B1064" i="3"/>
  <c r="C1064" i="3"/>
  <c r="E1064" i="3"/>
  <c r="C1065" i="3"/>
  <c r="D1065" i="3"/>
  <c r="C1066" i="3"/>
  <c r="C1067" i="3"/>
  <c r="B1068" i="3"/>
  <c r="C1068" i="3"/>
  <c r="C1069" i="3"/>
  <c r="D1069" i="3"/>
  <c r="B1070" i="3"/>
  <c r="C1070" i="3"/>
  <c r="C1071" i="3"/>
  <c r="B1072" i="3"/>
  <c r="E1072" i="3"/>
  <c r="C1073" i="3"/>
  <c r="D1073" i="3"/>
  <c r="C1074" i="3"/>
  <c r="B1076" i="3"/>
  <c r="C1076" i="3"/>
  <c r="C1077" i="3"/>
  <c r="D1077" i="3"/>
  <c r="E1077" i="3"/>
  <c r="B1078" i="3"/>
  <c r="C1078" i="3"/>
  <c r="C1079" i="3"/>
  <c r="B1080" i="3"/>
  <c r="C1081" i="3"/>
  <c r="D1081" i="3"/>
  <c r="C1082" i="3"/>
  <c r="E1082" i="3"/>
  <c r="B1084" i="3"/>
  <c r="C1084" i="3"/>
  <c r="C1085" i="3"/>
  <c r="D1085" i="3"/>
  <c r="A1086" i="3"/>
  <c r="B1086" i="3"/>
  <c r="A1087" i="3"/>
  <c r="A1088" i="3" s="1"/>
  <c r="A1089" i="3" s="1"/>
  <c r="A1090" i="3" s="1"/>
  <c r="A1091" i="3" s="1"/>
  <c r="A1092" i="3" s="1"/>
  <c r="A1093" i="3" s="1"/>
  <c r="A1094" i="3" s="1"/>
  <c r="D1087" i="3"/>
  <c r="B1089" i="3"/>
  <c r="C1090" i="3"/>
  <c r="D1093" i="3"/>
  <c r="B1094" i="3"/>
  <c r="E1094" i="3"/>
  <c r="A1095" i="3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B1097" i="3"/>
  <c r="C1097" i="3"/>
  <c r="E1099" i="3"/>
  <c r="D1101" i="3"/>
  <c r="B1102" i="3"/>
  <c r="B1105" i="3"/>
  <c r="D1108" i="3"/>
  <c r="D1109" i="3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2" i="2"/>
  <c r="C1062" i="2"/>
  <c r="D1062" i="2"/>
  <c r="E1062" i="2"/>
  <c r="F1062" i="2"/>
  <c r="G1062" i="2"/>
  <c r="I1062" i="2"/>
  <c r="J1062" i="2"/>
  <c r="B1063" i="2"/>
  <c r="C1063" i="2"/>
  <c r="D1063" i="2"/>
  <c r="E1063" i="2"/>
  <c r="F1063" i="2"/>
  <c r="G1063" i="2"/>
  <c r="I1063" i="2"/>
  <c r="J1063" i="2"/>
  <c r="B1064" i="2"/>
  <c r="C1064" i="2"/>
  <c r="D1064" i="2"/>
  <c r="E1064" i="2"/>
  <c r="F1064" i="2"/>
  <c r="G1064" i="2"/>
  <c r="I1064" i="2"/>
  <c r="J1064" i="2"/>
  <c r="B1065" i="2"/>
  <c r="C1065" i="2"/>
  <c r="D1065" i="2"/>
  <c r="E1065" i="2"/>
  <c r="F1065" i="2"/>
  <c r="G1065" i="2"/>
  <c r="H1065" i="2"/>
  <c r="I1065" i="2"/>
  <c r="J1065" i="2"/>
  <c r="B1066" i="2"/>
  <c r="C1066" i="2"/>
  <c r="D1066" i="2"/>
  <c r="E1066" i="2"/>
  <c r="F1066" i="2"/>
  <c r="G1066" i="2"/>
  <c r="H1066" i="2"/>
  <c r="I1066" i="2"/>
  <c r="J1066" i="2"/>
  <c r="B1067" i="2"/>
  <c r="C1067" i="2"/>
  <c r="D1067" i="2"/>
  <c r="E1067" i="2"/>
  <c r="F1067" i="2"/>
  <c r="G1067" i="2"/>
  <c r="H1067" i="2"/>
  <c r="I1067" i="2"/>
  <c r="J1067" i="2"/>
  <c r="B1068" i="2"/>
  <c r="C1068" i="2"/>
  <c r="D1068" i="2"/>
  <c r="E1068" i="2"/>
  <c r="F1068" i="2"/>
  <c r="G1068" i="2"/>
  <c r="H1068" i="2"/>
  <c r="I1068" i="2"/>
  <c r="J1068" i="2"/>
  <c r="B1069" i="2"/>
  <c r="C1069" i="2"/>
  <c r="D1069" i="2"/>
  <c r="E1069" i="2"/>
  <c r="F1069" i="2"/>
  <c r="G1069" i="2"/>
  <c r="H1069" i="2"/>
  <c r="I1069" i="2"/>
  <c r="J1069" i="2"/>
  <c r="B1070" i="2"/>
  <c r="C1070" i="2"/>
  <c r="D1070" i="2"/>
  <c r="E1070" i="2"/>
  <c r="F1070" i="2"/>
  <c r="G1070" i="2"/>
  <c r="H1070" i="2"/>
  <c r="I1070" i="2"/>
  <c r="J1070" i="2"/>
  <c r="B1071" i="2"/>
  <c r="C1071" i="2"/>
  <c r="D1071" i="2"/>
  <c r="E1071" i="2"/>
  <c r="F1071" i="2"/>
  <c r="G1071" i="2"/>
  <c r="H1071" i="2"/>
  <c r="I1071" i="2"/>
  <c r="J1071" i="2"/>
  <c r="B1072" i="2"/>
  <c r="C1072" i="2"/>
  <c r="D1072" i="2"/>
  <c r="E1072" i="2"/>
  <c r="F1072" i="2"/>
  <c r="G1072" i="2"/>
  <c r="H1072" i="2"/>
  <c r="I1072" i="2"/>
  <c r="J1072" i="2"/>
  <c r="B1073" i="2"/>
  <c r="C1073" i="2"/>
  <c r="D1073" i="2"/>
  <c r="E1073" i="2"/>
  <c r="F1073" i="2"/>
  <c r="G1073" i="2"/>
  <c r="H1073" i="2"/>
  <c r="I1073" i="2"/>
  <c r="J1073" i="2"/>
  <c r="B1074" i="2"/>
  <c r="C1074" i="2"/>
  <c r="D1074" i="2"/>
  <c r="E1074" i="2"/>
  <c r="F1074" i="2"/>
  <c r="G1074" i="2"/>
  <c r="H1074" i="2"/>
  <c r="I1074" i="2"/>
  <c r="J1074" i="2"/>
  <c r="B1075" i="2"/>
  <c r="C1075" i="2"/>
  <c r="D1075" i="2"/>
  <c r="E1075" i="2"/>
  <c r="F1075" i="2"/>
  <c r="G1075" i="2"/>
  <c r="H1075" i="2"/>
  <c r="I1075" i="2"/>
  <c r="J1075" i="2"/>
  <c r="B1076" i="2"/>
  <c r="C1076" i="2"/>
  <c r="D1076" i="2"/>
  <c r="E1076" i="2"/>
  <c r="F1076" i="2"/>
  <c r="G1076" i="2"/>
  <c r="H1076" i="2"/>
  <c r="I1076" i="2"/>
  <c r="J1076" i="2"/>
  <c r="B1077" i="2"/>
  <c r="C1077" i="2"/>
  <c r="D1077" i="2"/>
  <c r="E1077" i="2"/>
  <c r="F1077" i="2"/>
  <c r="G1077" i="2"/>
  <c r="H1077" i="2"/>
  <c r="I1077" i="2"/>
  <c r="J1077" i="2"/>
  <c r="B1078" i="2"/>
  <c r="C1078" i="2"/>
  <c r="D1078" i="2"/>
  <c r="E1078" i="2"/>
  <c r="F1078" i="2"/>
  <c r="G1078" i="2"/>
  <c r="H1078" i="2"/>
  <c r="I1078" i="2"/>
  <c r="J1078" i="2"/>
  <c r="B1079" i="2"/>
  <c r="C1079" i="2"/>
  <c r="D1079" i="2"/>
  <c r="E1079" i="2"/>
  <c r="F1079" i="2"/>
  <c r="G1079" i="2"/>
  <c r="H1079" i="2"/>
  <c r="I1079" i="2"/>
  <c r="J1079" i="2"/>
  <c r="B1080" i="2"/>
  <c r="C1080" i="2"/>
  <c r="D1080" i="2"/>
  <c r="E1080" i="2"/>
  <c r="F1080" i="2"/>
  <c r="G1080" i="2"/>
  <c r="H1080" i="2"/>
  <c r="I1080" i="2"/>
  <c r="J1080" i="2"/>
  <c r="B1081" i="2"/>
  <c r="C1081" i="2"/>
  <c r="D1081" i="2"/>
  <c r="E1081" i="2"/>
  <c r="F1081" i="2"/>
  <c r="G1081" i="2"/>
  <c r="H1081" i="2"/>
  <c r="I1081" i="2"/>
  <c r="J1081" i="2"/>
  <c r="B1082" i="2"/>
  <c r="C1082" i="2"/>
  <c r="D1082" i="2"/>
  <c r="E1082" i="2"/>
  <c r="F1082" i="2"/>
  <c r="G1082" i="2"/>
  <c r="H1082" i="2"/>
  <c r="I1082" i="2"/>
  <c r="J1082" i="2"/>
  <c r="B1083" i="2"/>
  <c r="C1083" i="2"/>
  <c r="D1083" i="2"/>
  <c r="E1083" i="2"/>
  <c r="F1083" i="2"/>
  <c r="G1083" i="2"/>
  <c r="H1083" i="2"/>
  <c r="I1083" i="2"/>
  <c r="J1083" i="2"/>
  <c r="B1084" i="2"/>
  <c r="C1084" i="2"/>
  <c r="D1084" i="2"/>
  <c r="E1084" i="2"/>
  <c r="F1084" i="2"/>
  <c r="G1084" i="2"/>
  <c r="H1084" i="2"/>
  <c r="I1084" i="2"/>
  <c r="J1084" i="2"/>
  <c r="B1085" i="2"/>
  <c r="C1085" i="2"/>
  <c r="D1085" i="2"/>
  <c r="E1085" i="2"/>
  <c r="F1085" i="2"/>
  <c r="G1085" i="2"/>
  <c r="H1085" i="2"/>
  <c r="I1085" i="2"/>
  <c r="J1085" i="2"/>
  <c r="A1086" i="2"/>
  <c r="B1086" i="2" s="1"/>
  <c r="C1086" i="2"/>
  <c r="D1086" i="2"/>
  <c r="E1086" i="2"/>
  <c r="F1086" i="2"/>
  <c r="G1086" i="2"/>
  <c r="H1086" i="2"/>
  <c r="I1086" i="2"/>
  <c r="J1086" i="2"/>
  <c r="A1087" i="2"/>
  <c r="B1087" i="2" s="1"/>
  <c r="C1087" i="2"/>
  <c r="D1087" i="2"/>
  <c r="E1087" i="2"/>
  <c r="F1087" i="2"/>
  <c r="G1087" i="2"/>
  <c r="H1087" i="2"/>
  <c r="I1087" i="2"/>
  <c r="J1087" i="2"/>
  <c r="A1088" i="2"/>
  <c r="C1088" i="2"/>
  <c r="D1088" i="2"/>
  <c r="E1088" i="2"/>
  <c r="F1088" i="2"/>
  <c r="G1088" i="2"/>
  <c r="H1088" i="2"/>
  <c r="I1088" i="2"/>
  <c r="J1088" i="2"/>
  <c r="C1089" i="2"/>
  <c r="D1089" i="2"/>
  <c r="E1089" i="2"/>
  <c r="F1089" i="2"/>
  <c r="G1089" i="2"/>
  <c r="H1089" i="2"/>
  <c r="I1089" i="2"/>
  <c r="J1089" i="2"/>
  <c r="C1090" i="2"/>
  <c r="D1090" i="2"/>
  <c r="E1090" i="2"/>
  <c r="F1090" i="2"/>
  <c r="G1090" i="2"/>
  <c r="H1090" i="2"/>
  <c r="I1090" i="2"/>
  <c r="J1090" i="2"/>
  <c r="C1091" i="2"/>
  <c r="D1091" i="2"/>
  <c r="E1091" i="2"/>
  <c r="F1091" i="2"/>
  <c r="G1091" i="2"/>
  <c r="H1091" i="2"/>
  <c r="I1091" i="2"/>
  <c r="J1091" i="2"/>
  <c r="C1092" i="2"/>
  <c r="D1092" i="2"/>
  <c r="E1092" i="2"/>
  <c r="F1092" i="2"/>
  <c r="G1092" i="2"/>
  <c r="H1092" i="2"/>
  <c r="I1092" i="2"/>
  <c r="J1092" i="2"/>
  <c r="C1093" i="2"/>
  <c r="D1093" i="2"/>
  <c r="E1093" i="2"/>
  <c r="F1093" i="2"/>
  <c r="G1093" i="2"/>
  <c r="H1093" i="2"/>
  <c r="I1093" i="2"/>
  <c r="J1093" i="2"/>
  <c r="C1094" i="2"/>
  <c r="D1094" i="2"/>
  <c r="E1094" i="2"/>
  <c r="F1094" i="2"/>
  <c r="G1094" i="2"/>
  <c r="H1094" i="2"/>
  <c r="I1094" i="2"/>
  <c r="J1094" i="2"/>
  <c r="C1095" i="2"/>
  <c r="D1095" i="2"/>
  <c r="E1095" i="2"/>
  <c r="F1095" i="2"/>
  <c r="G1095" i="2"/>
  <c r="H1095" i="2"/>
  <c r="I1095" i="2"/>
  <c r="J1095" i="2"/>
  <c r="C1096" i="2"/>
  <c r="D1096" i="2"/>
  <c r="E1096" i="2"/>
  <c r="F1096" i="2"/>
  <c r="G1096" i="2"/>
  <c r="H1096" i="2"/>
  <c r="I1096" i="2"/>
  <c r="J1096" i="2"/>
  <c r="C1097" i="2"/>
  <c r="D1097" i="2"/>
  <c r="E1097" i="2"/>
  <c r="F1097" i="2"/>
  <c r="G1097" i="2"/>
  <c r="H1097" i="2"/>
  <c r="I1097" i="2"/>
  <c r="J1097" i="2"/>
  <c r="C1098" i="2"/>
  <c r="D1098" i="2"/>
  <c r="E1098" i="2"/>
  <c r="F1098" i="2"/>
  <c r="G1098" i="2"/>
  <c r="H1098" i="2"/>
  <c r="I1098" i="2"/>
  <c r="J1098" i="2"/>
  <c r="C1099" i="2"/>
  <c r="D1099" i="2"/>
  <c r="E1099" i="2"/>
  <c r="F1099" i="2"/>
  <c r="G1099" i="2"/>
  <c r="H1099" i="2"/>
  <c r="I1099" i="2"/>
  <c r="J1099" i="2"/>
  <c r="C1100" i="2"/>
  <c r="D1100" i="2"/>
  <c r="E1100" i="2"/>
  <c r="F1100" i="2"/>
  <c r="G1100" i="2"/>
  <c r="H1100" i="2"/>
  <c r="I1100" i="2"/>
  <c r="J1100" i="2"/>
  <c r="C1101" i="2"/>
  <c r="D1101" i="2"/>
  <c r="E1101" i="2"/>
  <c r="F1101" i="2"/>
  <c r="G1101" i="2"/>
  <c r="H1101" i="2"/>
  <c r="I1101" i="2"/>
  <c r="J1101" i="2"/>
  <c r="C1102" i="2"/>
  <c r="D1102" i="2"/>
  <c r="E1102" i="2"/>
  <c r="F1102" i="2"/>
  <c r="G1102" i="2"/>
  <c r="H1102" i="2"/>
  <c r="I1102" i="2"/>
  <c r="J1102" i="2"/>
  <c r="C1103" i="2"/>
  <c r="D1103" i="2"/>
  <c r="E1103" i="2"/>
  <c r="F1103" i="2"/>
  <c r="G1103" i="2"/>
  <c r="H1103" i="2"/>
  <c r="I1103" i="2"/>
  <c r="J1103" i="2"/>
  <c r="C1104" i="2"/>
  <c r="D1104" i="2"/>
  <c r="E1104" i="2"/>
  <c r="F1104" i="2"/>
  <c r="G1104" i="2"/>
  <c r="H1104" i="2"/>
  <c r="I1104" i="2"/>
  <c r="J1104" i="2"/>
  <c r="C1105" i="2"/>
  <c r="D1105" i="2"/>
  <c r="E1105" i="2"/>
  <c r="F1105" i="2"/>
  <c r="G1105" i="2"/>
  <c r="H1105" i="2"/>
  <c r="I1105" i="2"/>
  <c r="J1105" i="2"/>
  <c r="C1106" i="2"/>
  <c r="D1106" i="2"/>
  <c r="E1106" i="2"/>
  <c r="F1106" i="2"/>
  <c r="G1106" i="2"/>
  <c r="H1106" i="2"/>
  <c r="I1106" i="2"/>
  <c r="J1106" i="2"/>
  <c r="C1107" i="2"/>
  <c r="D1107" i="2"/>
  <c r="E1107" i="2"/>
  <c r="F1107" i="2"/>
  <c r="G1107" i="2"/>
  <c r="H1107" i="2"/>
  <c r="I1107" i="2"/>
  <c r="J1107" i="2"/>
  <c r="C1108" i="2"/>
  <c r="D1108" i="2"/>
  <c r="E1108" i="2"/>
  <c r="F1108" i="2"/>
  <c r="G1108" i="2"/>
  <c r="H1108" i="2"/>
  <c r="I1108" i="2"/>
  <c r="J1108" i="2"/>
  <c r="C1109" i="2"/>
  <c r="D1109" i="2"/>
  <c r="E1109" i="2"/>
  <c r="F1109" i="2"/>
  <c r="G1109" i="2"/>
  <c r="H1109" i="2"/>
  <c r="I1109" i="2"/>
  <c r="J1109" i="2"/>
  <c r="D10" i="1"/>
  <c r="F10" i="1"/>
  <c r="B21" i="1"/>
  <c r="C21" i="1"/>
  <c r="D21" i="1"/>
  <c r="E21" i="1"/>
  <c r="F21" i="1"/>
  <c r="G21" i="1"/>
  <c r="H21" i="1"/>
  <c r="I21" i="1"/>
  <c r="J21" i="1"/>
  <c r="K21" i="1"/>
  <c r="B22" i="1"/>
  <c r="C22" i="1"/>
  <c r="D22" i="1"/>
  <c r="E22" i="1"/>
  <c r="F22" i="1"/>
  <c r="G22" i="1"/>
  <c r="H22" i="1"/>
  <c r="I22" i="1"/>
  <c r="J22" i="1"/>
  <c r="K22" i="1"/>
  <c r="R22" i="1"/>
  <c r="B23" i="1"/>
  <c r="C23" i="1"/>
  <c r="D23" i="1"/>
  <c r="E23" i="1"/>
  <c r="F23" i="1"/>
  <c r="G23" i="1"/>
  <c r="H23" i="1"/>
  <c r="I23" i="1"/>
  <c r="J23" i="1"/>
  <c r="K23" i="1"/>
  <c r="R23" i="1"/>
  <c r="B24" i="1"/>
  <c r="C24" i="1"/>
  <c r="D24" i="1"/>
  <c r="E24" i="1"/>
  <c r="F24" i="1"/>
  <c r="G24" i="1"/>
  <c r="H24" i="1"/>
  <c r="I24" i="1"/>
  <c r="J24" i="1"/>
  <c r="K24" i="1"/>
  <c r="R24" i="1"/>
  <c r="B25" i="1"/>
  <c r="C25" i="1"/>
  <c r="D25" i="1"/>
  <c r="E25" i="1"/>
  <c r="F25" i="1"/>
  <c r="G25" i="1"/>
  <c r="H25" i="1"/>
  <c r="I25" i="1"/>
  <c r="J25" i="1"/>
  <c r="K25" i="1"/>
  <c r="R25" i="1"/>
  <c r="B26" i="1"/>
  <c r="C26" i="1"/>
  <c r="D26" i="1"/>
  <c r="E26" i="1"/>
  <c r="F26" i="1"/>
  <c r="G26" i="1"/>
  <c r="H26" i="1"/>
  <c r="I26" i="1"/>
  <c r="J26" i="1"/>
  <c r="K26" i="1"/>
  <c r="R26" i="1"/>
  <c r="B27" i="1"/>
  <c r="C27" i="1"/>
  <c r="D27" i="1"/>
  <c r="E27" i="1"/>
  <c r="F27" i="1"/>
  <c r="G27" i="1"/>
  <c r="H27" i="1"/>
  <c r="I27" i="1"/>
  <c r="J27" i="1"/>
  <c r="K27" i="1"/>
  <c r="R27" i="1"/>
  <c r="B28" i="1"/>
  <c r="C28" i="1"/>
  <c r="D28" i="1"/>
  <c r="E28" i="1"/>
  <c r="F28" i="1"/>
  <c r="G28" i="1"/>
  <c r="H28" i="1"/>
  <c r="I28" i="1"/>
  <c r="J28" i="1"/>
  <c r="K28" i="1"/>
  <c r="R28" i="1"/>
  <c r="B29" i="1"/>
  <c r="C29" i="1"/>
  <c r="D29" i="1"/>
  <c r="E29" i="1"/>
  <c r="F29" i="1"/>
  <c r="G29" i="1"/>
  <c r="H29" i="1"/>
  <c r="I29" i="1"/>
  <c r="J29" i="1"/>
  <c r="K29" i="1"/>
  <c r="R29" i="1"/>
  <c r="B30" i="1"/>
  <c r="C30" i="1"/>
  <c r="D30" i="1"/>
  <c r="E30" i="1"/>
  <c r="F30" i="1"/>
  <c r="G30" i="1"/>
  <c r="H30" i="1"/>
  <c r="I30" i="1"/>
  <c r="J30" i="1"/>
  <c r="K30" i="1"/>
  <c r="R30" i="1"/>
  <c r="B31" i="1"/>
  <c r="C31" i="1"/>
  <c r="D31" i="1"/>
  <c r="E31" i="1"/>
  <c r="F31" i="1"/>
  <c r="G31" i="1"/>
  <c r="H31" i="1"/>
  <c r="I31" i="1"/>
  <c r="J31" i="1"/>
  <c r="K31" i="1"/>
  <c r="R31" i="1"/>
  <c r="B32" i="1"/>
  <c r="C32" i="1"/>
  <c r="D32" i="1"/>
  <c r="E32" i="1"/>
  <c r="F32" i="1"/>
  <c r="G32" i="1"/>
  <c r="H32" i="1"/>
  <c r="I32" i="1"/>
  <c r="J32" i="1"/>
  <c r="K32" i="1"/>
  <c r="R32" i="1"/>
  <c r="B33" i="1"/>
  <c r="C33" i="1"/>
  <c r="D33" i="1"/>
  <c r="E33" i="1"/>
  <c r="F33" i="1"/>
  <c r="G33" i="1"/>
  <c r="H33" i="1"/>
  <c r="I33" i="1"/>
  <c r="J33" i="1"/>
  <c r="K33" i="1"/>
  <c r="R33" i="1"/>
  <c r="B34" i="1"/>
  <c r="C34" i="1"/>
  <c r="D34" i="1"/>
  <c r="E34" i="1"/>
  <c r="F34" i="1"/>
  <c r="G34" i="1"/>
  <c r="H34" i="1"/>
  <c r="I34" i="1"/>
  <c r="J34" i="1"/>
  <c r="K34" i="1"/>
  <c r="R34" i="1"/>
  <c r="B35" i="1"/>
  <c r="C35" i="1"/>
  <c r="D35" i="1"/>
  <c r="E35" i="1"/>
  <c r="F35" i="1"/>
  <c r="G35" i="1"/>
  <c r="H35" i="1"/>
  <c r="I35" i="1"/>
  <c r="J35" i="1"/>
  <c r="K35" i="1"/>
  <c r="R35" i="1"/>
  <c r="B36" i="1"/>
  <c r="C36" i="1"/>
  <c r="D36" i="1"/>
  <c r="E36" i="1"/>
  <c r="F36" i="1"/>
  <c r="G36" i="1"/>
  <c r="H36" i="1"/>
  <c r="I36" i="1"/>
  <c r="J36" i="1"/>
  <c r="K36" i="1"/>
  <c r="R36" i="1"/>
  <c r="B37" i="1"/>
  <c r="C37" i="1"/>
  <c r="D37" i="1"/>
  <c r="E37" i="1"/>
  <c r="F37" i="1"/>
  <c r="G37" i="1"/>
  <c r="H37" i="1"/>
  <c r="I37" i="1"/>
  <c r="J37" i="1"/>
  <c r="K37" i="1"/>
  <c r="R37" i="1"/>
  <c r="B38" i="1"/>
  <c r="C38" i="1"/>
  <c r="D38" i="1"/>
  <c r="E38" i="1"/>
  <c r="F38" i="1"/>
  <c r="G38" i="1"/>
  <c r="H38" i="1"/>
  <c r="I38" i="1"/>
  <c r="J38" i="1"/>
  <c r="K38" i="1"/>
  <c r="R38" i="1"/>
  <c r="B39" i="1"/>
  <c r="C39" i="1"/>
  <c r="D39" i="1"/>
  <c r="E39" i="1"/>
  <c r="F39" i="1"/>
  <c r="G39" i="1"/>
  <c r="H39" i="1"/>
  <c r="I39" i="1"/>
  <c r="J39" i="1"/>
  <c r="K39" i="1"/>
  <c r="R39" i="1"/>
  <c r="B40" i="1"/>
  <c r="C40" i="1"/>
  <c r="D40" i="1"/>
  <c r="E40" i="1"/>
  <c r="F40" i="1"/>
  <c r="G40" i="1"/>
  <c r="H40" i="1"/>
  <c r="I40" i="1"/>
  <c r="J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R45" i="1"/>
  <c r="B46" i="1"/>
  <c r="C46" i="1"/>
  <c r="D46" i="1"/>
  <c r="E46" i="1"/>
  <c r="F46" i="1"/>
  <c r="G46" i="1"/>
  <c r="H46" i="1"/>
  <c r="I46" i="1"/>
  <c r="J46" i="1"/>
  <c r="R46" i="1"/>
  <c r="B47" i="1"/>
  <c r="C47" i="1"/>
  <c r="D47" i="1"/>
  <c r="E47" i="1"/>
  <c r="F47" i="1"/>
  <c r="G47" i="1"/>
  <c r="H47" i="1"/>
  <c r="I47" i="1"/>
  <c r="J47" i="1"/>
  <c r="R47" i="1"/>
  <c r="B48" i="1"/>
  <c r="C48" i="1"/>
  <c r="D48" i="1"/>
  <c r="E48" i="1"/>
  <c r="F48" i="1"/>
  <c r="G48" i="1"/>
  <c r="H48" i="1"/>
  <c r="I48" i="1"/>
  <c r="J48" i="1"/>
  <c r="R48" i="1"/>
  <c r="B49" i="1"/>
  <c r="C49" i="1"/>
  <c r="D49" i="1"/>
  <c r="E49" i="1"/>
  <c r="F49" i="1"/>
  <c r="G49" i="1"/>
  <c r="H49" i="1"/>
  <c r="I49" i="1"/>
  <c r="J49" i="1"/>
  <c r="R49" i="1"/>
  <c r="B50" i="1"/>
  <c r="C50" i="1"/>
  <c r="D50" i="1"/>
  <c r="E50" i="1"/>
  <c r="F50" i="1"/>
  <c r="G50" i="1"/>
  <c r="H50" i="1"/>
  <c r="I50" i="1"/>
  <c r="J50" i="1"/>
  <c r="R50" i="1"/>
  <c r="B51" i="1"/>
  <c r="C51" i="1"/>
  <c r="D51" i="1"/>
  <c r="E51" i="1"/>
  <c r="F51" i="1"/>
  <c r="G51" i="1"/>
  <c r="H51" i="1"/>
  <c r="I51" i="1"/>
  <c r="J51" i="1"/>
  <c r="R51" i="1"/>
  <c r="B52" i="1"/>
  <c r="C52" i="1"/>
  <c r="D52" i="1"/>
  <c r="E52" i="1"/>
  <c r="F52" i="1"/>
  <c r="G52" i="1"/>
  <c r="H52" i="1"/>
  <c r="I52" i="1"/>
  <c r="J52" i="1"/>
  <c r="R52" i="1"/>
  <c r="B53" i="1"/>
  <c r="C53" i="1"/>
  <c r="D53" i="1"/>
  <c r="E53" i="1"/>
  <c r="F53" i="1"/>
  <c r="G53" i="1"/>
  <c r="H53" i="1"/>
  <c r="I53" i="1"/>
  <c r="J53" i="1"/>
  <c r="R53" i="1"/>
  <c r="B54" i="1"/>
  <c r="C54" i="1"/>
  <c r="D54" i="1"/>
  <c r="E54" i="1"/>
  <c r="F54" i="1"/>
  <c r="G54" i="1"/>
  <c r="H54" i="1"/>
  <c r="I54" i="1"/>
  <c r="J54" i="1"/>
  <c r="R54" i="1"/>
  <c r="B55" i="1"/>
  <c r="C55" i="1"/>
  <c r="D55" i="1"/>
  <c r="E55" i="1"/>
  <c r="F55" i="1"/>
  <c r="G55" i="1"/>
  <c r="H55" i="1"/>
  <c r="I55" i="1"/>
  <c r="J55" i="1"/>
  <c r="R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I1070" i="1" s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G1086" i="1" s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E1087" i="1" s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J1096" i="1" s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B1097" i="1" s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7" i="1"/>
  <c r="C1037" i="1"/>
  <c r="D1037" i="1"/>
  <c r="E1037" i="1"/>
  <c r="F1037" i="1"/>
  <c r="G1037" i="1"/>
  <c r="H1037" i="1"/>
  <c r="I1037" i="1"/>
  <c r="J1037" i="1"/>
  <c r="B1038" i="1"/>
  <c r="C1038" i="1"/>
  <c r="D1038" i="1"/>
  <c r="E1038" i="1"/>
  <c r="F1038" i="1"/>
  <c r="G1038" i="1"/>
  <c r="H1038" i="1"/>
  <c r="I1038" i="1"/>
  <c r="J1038" i="1"/>
  <c r="B1039" i="1"/>
  <c r="C1039" i="1"/>
  <c r="D1039" i="1"/>
  <c r="E1039" i="1"/>
  <c r="F1039" i="1"/>
  <c r="G1039" i="1"/>
  <c r="H1039" i="1"/>
  <c r="I1039" i="1"/>
  <c r="J1039" i="1"/>
  <c r="B1040" i="1"/>
  <c r="C1040" i="1"/>
  <c r="D1040" i="1"/>
  <c r="E1040" i="1"/>
  <c r="F1040" i="1"/>
  <c r="G1040" i="1"/>
  <c r="H1040" i="1"/>
  <c r="I1040" i="1"/>
  <c r="J1040" i="1"/>
  <c r="B1041" i="1"/>
  <c r="C1041" i="1"/>
  <c r="D1041" i="1"/>
  <c r="E1041" i="1"/>
  <c r="F1041" i="1"/>
  <c r="G1041" i="1"/>
  <c r="H1041" i="1"/>
  <c r="I1041" i="1"/>
  <c r="J1041" i="1"/>
  <c r="B1042" i="1"/>
  <c r="C1042" i="1"/>
  <c r="D1042" i="1"/>
  <c r="E1042" i="1"/>
  <c r="F1042" i="1"/>
  <c r="G1042" i="1"/>
  <c r="H1042" i="1"/>
  <c r="I1042" i="1"/>
  <c r="J1042" i="1"/>
  <c r="B1043" i="1"/>
  <c r="C1043" i="1"/>
  <c r="D1043" i="1"/>
  <c r="E1043" i="1"/>
  <c r="F1043" i="1"/>
  <c r="G1043" i="1"/>
  <c r="H1043" i="1"/>
  <c r="I1043" i="1"/>
  <c r="J1043" i="1"/>
  <c r="B1044" i="1"/>
  <c r="C1044" i="1"/>
  <c r="D1044" i="1"/>
  <c r="E1044" i="1"/>
  <c r="F1044" i="1"/>
  <c r="G1044" i="1"/>
  <c r="H1044" i="1"/>
  <c r="I1044" i="1"/>
  <c r="J1044" i="1"/>
  <c r="B1045" i="1"/>
  <c r="C1045" i="1"/>
  <c r="D1045" i="1"/>
  <c r="E1045" i="1"/>
  <c r="F1045" i="1"/>
  <c r="G1045" i="1"/>
  <c r="H1045" i="1"/>
  <c r="I1045" i="1"/>
  <c r="J1045" i="1"/>
  <c r="B1046" i="1"/>
  <c r="C1046" i="1"/>
  <c r="D1046" i="1"/>
  <c r="E1046" i="1"/>
  <c r="F1046" i="1"/>
  <c r="G1046" i="1"/>
  <c r="H1046" i="1"/>
  <c r="I1046" i="1"/>
  <c r="J1046" i="1"/>
  <c r="B1047" i="1"/>
  <c r="C1047" i="1"/>
  <c r="D1047" i="1"/>
  <c r="E1047" i="1"/>
  <c r="F1047" i="1"/>
  <c r="G1047" i="1"/>
  <c r="H1047" i="1"/>
  <c r="I1047" i="1"/>
  <c r="J1047" i="1"/>
  <c r="B1048" i="1"/>
  <c r="C1048" i="1"/>
  <c r="D1048" i="1"/>
  <c r="E1048" i="1"/>
  <c r="F1048" i="1"/>
  <c r="G1048" i="1"/>
  <c r="H1048" i="1"/>
  <c r="I1048" i="1"/>
  <c r="J1048" i="1"/>
  <c r="B1049" i="1"/>
  <c r="C1049" i="1"/>
  <c r="D1049" i="1"/>
  <c r="E1049" i="1"/>
  <c r="F1049" i="1"/>
  <c r="G1049" i="1"/>
  <c r="H1049" i="1"/>
  <c r="I1049" i="1"/>
  <c r="J1049" i="1"/>
  <c r="B1050" i="1"/>
  <c r="C1050" i="1"/>
  <c r="D1050" i="1"/>
  <c r="E1050" i="1"/>
  <c r="F1050" i="1"/>
  <c r="G1050" i="1"/>
  <c r="H1050" i="1"/>
  <c r="I1050" i="1"/>
  <c r="J1050" i="1"/>
  <c r="B1051" i="1"/>
  <c r="C1051" i="1"/>
  <c r="D1051" i="1"/>
  <c r="E1051" i="1"/>
  <c r="F1051" i="1"/>
  <c r="G1051" i="1"/>
  <c r="H1051" i="1"/>
  <c r="I1051" i="1"/>
  <c r="J1051" i="1"/>
  <c r="B1052" i="1"/>
  <c r="C1052" i="1"/>
  <c r="D1052" i="1"/>
  <c r="E1052" i="1"/>
  <c r="F1052" i="1"/>
  <c r="G1052" i="1"/>
  <c r="H1052" i="1"/>
  <c r="I1052" i="1"/>
  <c r="J1052" i="1"/>
  <c r="B1053" i="1"/>
  <c r="C1053" i="1"/>
  <c r="D1053" i="1"/>
  <c r="E1053" i="1"/>
  <c r="F1053" i="1"/>
  <c r="G1053" i="1"/>
  <c r="H1053" i="1"/>
  <c r="I1053" i="1"/>
  <c r="J1053" i="1"/>
  <c r="B1054" i="1"/>
  <c r="C1054" i="1"/>
  <c r="D1054" i="1"/>
  <c r="E1054" i="1"/>
  <c r="F1054" i="1"/>
  <c r="G1054" i="1"/>
  <c r="H1054" i="1"/>
  <c r="I1054" i="1"/>
  <c r="J1054" i="1"/>
  <c r="B1055" i="1"/>
  <c r="C1055" i="1"/>
  <c r="D1055" i="1"/>
  <c r="E1055" i="1"/>
  <c r="F1055" i="1"/>
  <c r="G1055" i="1"/>
  <c r="H1055" i="1"/>
  <c r="I1055" i="1"/>
  <c r="J1055" i="1"/>
  <c r="B1056" i="1"/>
  <c r="C1056" i="1"/>
  <c r="D1056" i="1"/>
  <c r="E1056" i="1"/>
  <c r="F1056" i="1"/>
  <c r="G1056" i="1"/>
  <c r="H1056" i="1"/>
  <c r="I1056" i="1"/>
  <c r="J1056" i="1"/>
  <c r="B1057" i="1"/>
  <c r="C1057" i="1"/>
  <c r="D1057" i="1"/>
  <c r="E1057" i="1"/>
  <c r="F1057" i="1"/>
  <c r="G1057" i="1"/>
  <c r="H1057" i="1"/>
  <c r="I1057" i="1"/>
  <c r="J1057" i="1"/>
  <c r="B1058" i="1"/>
  <c r="C1058" i="1"/>
  <c r="D1058" i="1"/>
  <c r="E1058" i="1"/>
  <c r="F1058" i="1"/>
  <c r="G1058" i="1"/>
  <c r="H1058" i="1"/>
  <c r="I1058" i="1"/>
  <c r="J1058" i="1"/>
  <c r="B1059" i="1"/>
  <c r="C1059" i="1"/>
  <c r="D1059" i="1"/>
  <c r="E1059" i="1"/>
  <c r="F1059" i="1"/>
  <c r="G1059" i="1"/>
  <c r="H1059" i="1"/>
  <c r="I1059" i="1"/>
  <c r="J1059" i="1"/>
  <c r="L1061" i="1"/>
  <c r="M1061" i="1"/>
  <c r="N1061" i="1"/>
  <c r="O1061" i="1"/>
  <c r="P1061" i="1"/>
  <c r="S1061" i="1"/>
  <c r="L1062" i="1"/>
  <c r="M1062" i="1"/>
  <c r="N1062" i="1"/>
  <c r="O1062" i="1"/>
  <c r="P1062" i="1"/>
  <c r="S1062" i="1"/>
  <c r="L1063" i="1"/>
  <c r="M1063" i="1"/>
  <c r="N1063" i="1"/>
  <c r="O1063" i="1"/>
  <c r="P1063" i="1"/>
  <c r="L1064" i="1"/>
  <c r="M1064" i="1"/>
  <c r="N1064" i="1"/>
  <c r="O1064" i="1"/>
  <c r="P1064" i="1"/>
  <c r="Q1064" i="1"/>
  <c r="L1065" i="1"/>
  <c r="M1065" i="1"/>
  <c r="N1065" i="1"/>
  <c r="O1065" i="1"/>
  <c r="P1065" i="1"/>
  <c r="Q1065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L1068" i="1"/>
  <c r="M1068" i="1"/>
  <c r="N1068" i="1"/>
  <c r="O1068" i="1"/>
  <c r="P1068" i="1"/>
  <c r="Q1068" i="1"/>
  <c r="L1069" i="1"/>
  <c r="M1069" i="1"/>
  <c r="N1069" i="1"/>
  <c r="O1069" i="1"/>
  <c r="P1069" i="1"/>
  <c r="Q1069" i="1"/>
  <c r="L1070" i="1"/>
  <c r="M1070" i="1"/>
  <c r="N1070" i="1"/>
  <c r="O1070" i="1"/>
  <c r="P1070" i="1"/>
  <c r="Q1070" i="1"/>
  <c r="L1071" i="1"/>
  <c r="M1071" i="1"/>
  <c r="N1071" i="1"/>
  <c r="O1071" i="1"/>
  <c r="P1071" i="1"/>
  <c r="Q1071" i="1"/>
  <c r="L1072" i="1"/>
  <c r="M1072" i="1"/>
  <c r="N1072" i="1"/>
  <c r="O1072" i="1"/>
  <c r="P1072" i="1"/>
  <c r="Q1072" i="1"/>
  <c r="G1073" i="1"/>
  <c r="L1073" i="1"/>
  <c r="M1073" i="1"/>
  <c r="N1073" i="1"/>
  <c r="O1073" i="1"/>
  <c r="P1073" i="1"/>
  <c r="Q1073" i="1"/>
  <c r="L1074" i="1"/>
  <c r="M1074" i="1"/>
  <c r="N1074" i="1"/>
  <c r="O1074" i="1"/>
  <c r="P1074" i="1"/>
  <c r="Q1074" i="1"/>
  <c r="L1075" i="1"/>
  <c r="M1075" i="1"/>
  <c r="N1075" i="1"/>
  <c r="O1075" i="1"/>
  <c r="P1075" i="1"/>
  <c r="Q1075" i="1"/>
  <c r="L1076" i="1"/>
  <c r="M1076" i="1"/>
  <c r="N1076" i="1"/>
  <c r="O1076" i="1"/>
  <c r="P1076" i="1"/>
  <c r="Q1076" i="1"/>
  <c r="L1077" i="1"/>
  <c r="M1077" i="1"/>
  <c r="N1077" i="1"/>
  <c r="O1077" i="1"/>
  <c r="P1077" i="1"/>
  <c r="Q1077" i="1"/>
  <c r="L1078" i="1"/>
  <c r="M1078" i="1"/>
  <c r="N1078" i="1"/>
  <c r="O1078" i="1"/>
  <c r="P1078" i="1"/>
  <c r="Q1078" i="1"/>
  <c r="L1079" i="1"/>
  <c r="M1079" i="1"/>
  <c r="N1079" i="1"/>
  <c r="O1079" i="1"/>
  <c r="P1079" i="1"/>
  <c r="Q1079" i="1"/>
  <c r="L1080" i="1"/>
  <c r="M1080" i="1"/>
  <c r="N1080" i="1"/>
  <c r="O1080" i="1"/>
  <c r="P1080" i="1"/>
  <c r="Q1080" i="1"/>
  <c r="L1081" i="1"/>
  <c r="M1081" i="1"/>
  <c r="N1081" i="1"/>
  <c r="O1081" i="1"/>
  <c r="P1081" i="1"/>
  <c r="Q1081" i="1"/>
  <c r="L1082" i="1"/>
  <c r="M1082" i="1"/>
  <c r="N1082" i="1"/>
  <c r="O1082" i="1"/>
  <c r="P1082" i="1"/>
  <c r="Q1082" i="1"/>
  <c r="L1083" i="1"/>
  <c r="M1083" i="1"/>
  <c r="N1083" i="1"/>
  <c r="O1083" i="1"/>
  <c r="P1083" i="1"/>
  <c r="Q1083" i="1"/>
  <c r="L1084" i="1"/>
  <c r="M1084" i="1"/>
  <c r="N1084" i="1"/>
  <c r="O1084" i="1"/>
  <c r="P1084" i="1"/>
  <c r="Q1084" i="1"/>
  <c r="A1085" i="1"/>
  <c r="L1085" i="1"/>
  <c r="M1085" i="1"/>
  <c r="N1085" i="1"/>
  <c r="O1085" i="1"/>
  <c r="P1085" i="1"/>
  <c r="Q1085" i="1"/>
  <c r="A1086" i="1"/>
  <c r="L1086" i="1"/>
  <c r="M1086" i="1"/>
  <c r="N1086" i="1"/>
  <c r="O1086" i="1"/>
  <c r="P1086" i="1"/>
  <c r="Q1086" i="1"/>
  <c r="A1087" i="1"/>
  <c r="L1087" i="1"/>
  <c r="M1087" i="1"/>
  <c r="N1087" i="1"/>
  <c r="O1087" i="1"/>
  <c r="P1087" i="1"/>
  <c r="Q1087" i="1"/>
  <c r="A1088" i="1"/>
  <c r="L1088" i="1"/>
  <c r="M1088" i="1"/>
  <c r="N1088" i="1"/>
  <c r="O1088" i="1"/>
  <c r="P1088" i="1"/>
  <c r="Q1088" i="1"/>
  <c r="A1089" i="1"/>
  <c r="L1089" i="1"/>
  <c r="M1089" i="1"/>
  <c r="N1089" i="1"/>
  <c r="O1089" i="1"/>
  <c r="P1089" i="1"/>
  <c r="Q1089" i="1"/>
  <c r="A1090" i="1"/>
  <c r="L1090" i="1"/>
  <c r="M1090" i="1"/>
  <c r="N1090" i="1"/>
  <c r="O1090" i="1"/>
  <c r="P1090" i="1"/>
  <c r="Q1090" i="1"/>
  <c r="A1091" i="1"/>
  <c r="L1091" i="1"/>
  <c r="M1091" i="1"/>
  <c r="N1091" i="1"/>
  <c r="O1091" i="1"/>
  <c r="P1091" i="1"/>
  <c r="Q1091" i="1"/>
  <c r="A1092" i="1"/>
  <c r="L1092" i="1"/>
  <c r="M1092" i="1"/>
  <c r="N1092" i="1"/>
  <c r="O1092" i="1"/>
  <c r="P1092" i="1"/>
  <c r="Q1092" i="1"/>
  <c r="A1093" i="1"/>
  <c r="L1093" i="1"/>
  <c r="M1093" i="1"/>
  <c r="N1093" i="1"/>
  <c r="O1093" i="1"/>
  <c r="P1093" i="1"/>
  <c r="Q1093" i="1"/>
  <c r="A1094" i="1"/>
  <c r="L1094" i="1"/>
  <c r="M1094" i="1"/>
  <c r="N1094" i="1"/>
  <c r="O1094" i="1"/>
  <c r="P1094" i="1"/>
  <c r="Q1094" i="1"/>
  <c r="A1095" i="1"/>
  <c r="L1095" i="1"/>
  <c r="M1095" i="1"/>
  <c r="N1095" i="1"/>
  <c r="O1095" i="1"/>
  <c r="P1095" i="1"/>
  <c r="Q1095" i="1"/>
  <c r="A1096" i="1"/>
  <c r="L1096" i="1"/>
  <c r="M1096" i="1"/>
  <c r="N1096" i="1"/>
  <c r="O1096" i="1"/>
  <c r="P1096" i="1"/>
  <c r="Q1096" i="1"/>
  <c r="A1097" i="1"/>
  <c r="L1097" i="1"/>
  <c r="M1097" i="1"/>
  <c r="N1097" i="1"/>
  <c r="O1097" i="1"/>
  <c r="P1097" i="1"/>
  <c r="Q1097" i="1"/>
  <c r="A1098" i="1"/>
  <c r="L1098" i="1"/>
  <c r="M1098" i="1"/>
  <c r="N1098" i="1"/>
  <c r="O1098" i="1"/>
  <c r="P1098" i="1"/>
  <c r="Q1098" i="1"/>
  <c r="A1099" i="1"/>
  <c r="L1099" i="1"/>
  <c r="M1099" i="1"/>
  <c r="N1099" i="1"/>
  <c r="O1099" i="1"/>
  <c r="P1099" i="1"/>
  <c r="Q1099" i="1"/>
  <c r="A1100" i="1"/>
  <c r="L1100" i="1"/>
  <c r="M1100" i="1"/>
  <c r="N1100" i="1"/>
  <c r="O1100" i="1"/>
  <c r="P1100" i="1"/>
  <c r="Q1100" i="1"/>
  <c r="A1101" i="1"/>
  <c r="L1101" i="1"/>
  <c r="M1101" i="1"/>
  <c r="N1101" i="1"/>
  <c r="O1101" i="1"/>
  <c r="P1101" i="1"/>
  <c r="Q1101" i="1"/>
  <c r="A1102" i="1"/>
  <c r="L1102" i="1"/>
  <c r="M1102" i="1"/>
  <c r="N1102" i="1"/>
  <c r="O1102" i="1"/>
  <c r="P1102" i="1"/>
  <c r="Q1102" i="1"/>
  <c r="A1103" i="1"/>
  <c r="L1103" i="1"/>
  <c r="M1103" i="1"/>
  <c r="N1103" i="1"/>
  <c r="O1103" i="1"/>
  <c r="P1103" i="1"/>
  <c r="Q1103" i="1"/>
  <c r="A1104" i="1"/>
  <c r="L1104" i="1"/>
  <c r="M1104" i="1"/>
  <c r="N1104" i="1"/>
  <c r="O1104" i="1"/>
  <c r="P1104" i="1"/>
  <c r="Q1104" i="1"/>
  <c r="A1105" i="1"/>
  <c r="L1105" i="1"/>
  <c r="M1105" i="1"/>
  <c r="N1105" i="1"/>
  <c r="O1105" i="1"/>
  <c r="P1105" i="1"/>
  <c r="Q1105" i="1"/>
  <c r="A1106" i="1"/>
  <c r="L1106" i="1"/>
  <c r="M1106" i="1"/>
  <c r="N1106" i="1"/>
  <c r="O1106" i="1"/>
  <c r="P1106" i="1"/>
  <c r="Q1106" i="1"/>
  <c r="A1107" i="1"/>
  <c r="L1107" i="1"/>
  <c r="M1107" i="1"/>
  <c r="N1107" i="1"/>
  <c r="O1107" i="1"/>
  <c r="P1107" i="1"/>
  <c r="Q1107" i="1"/>
  <c r="A1108" i="1"/>
  <c r="L1108" i="1"/>
  <c r="M1108" i="1"/>
  <c r="N1108" i="1"/>
  <c r="O1108" i="1"/>
  <c r="P1108" i="1"/>
  <c r="Q1108" i="1"/>
  <c r="A1109" i="1"/>
  <c r="L1109" i="1"/>
  <c r="M1109" i="1"/>
  <c r="N1109" i="1"/>
  <c r="O1109" i="1"/>
  <c r="P1109" i="1"/>
  <c r="Q1109" i="1"/>
  <c r="A1110" i="1"/>
  <c r="L1110" i="1"/>
  <c r="M1110" i="1"/>
  <c r="N1110" i="1"/>
  <c r="O1110" i="1"/>
  <c r="P1110" i="1"/>
  <c r="Q1110" i="1"/>
  <c r="A1111" i="1"/>
  <c r="L1111" i="1"/>
  <c r="M1111" i="1"/>
  <c r="N1111" i="1"/>
  <c r="O1111" i="1"/>
  <c r="P1111" i="1"/>
  <c r="Q1111" i="1"/>
  <c r="A1112" i="1"/>
  <c r="L1112" i="1"/>
  <c r="M1112" i="1"/>
  <c r="N1112" i="1"/>
  <c r="O1112" i="1"/>
  <c r="P1112" i="1"/>
  <c r="Q1112" i="1"/>
  <c r="A1113" i="1"/>
  <c r="L1113" i="1"/>
  <c r="M1113" i="1"/>
  <c r="N1113" i="1"/>
  <c r="O1113" i="1"/>
  <c r="P1113" i="1"/>
  <c r="Q1113" i="1"/>
  <c r="A1114" i="1"/>
  <c r="L1114" i="1"/>
  <c r="M1114" i="1"/>
  <c r="N1114" i="1"/>
  <c r="O1114" i="1"/>
  <c r="P1114" i="1"/>
  <c r="Q1114" i="1"/>
  <c r="A1115" i="1"/>
  <c r="L1115" i="1"/>
  <c r="M1115" i="1"/>
  <c r="N1115" i="1"/>
  <c r="O1115" i="1"/>
  <c r="P1115" i="1"/>
  <c r="Q1115" i="1"/>
  <c r="A1116" i="1"/>
  <c r="L1116" i="1"/>
  <c r="M1116" i="1"/>
  <c r="N1116" i="1"/>
  <c r="O1116" i="1"/>
  <c r="P1116" i="1"/>
  <c r="Q1116" i="1"/>
  <c r="A1117" i="1"/>
  <c r="L1117" i="1"/>
  <c r="M1117" i="1"/>
  <c r="N1117" i="1"/>
  <c r="O1117" i="1"/>
  <c r="P1117" i="1"/>
  <c r="Q1117" i="1"/>
  <c r="A1118" i="1"/>
  <c r="L1118" i="1"/>
  <c r="M1118" i="1"/>
  <c r="N1118" i="1"/>
  <c r="O1118" i="1"/>
  <c r="P1118" i="1"/>
  <c r="Q1118" i="1"/>
  <c r="A1119" i="1"/>
  <c r="L1119" i="1"/>
  <c r="M1119" i="1"/>
  <c r="N1119" i="1"/>
  <c r="O1119" i="1"/>
  <c r="P1119" i="1"/>
  <c r="Q1119" i="1"/>
  <c r="A1120" i="1"/>
  <c r="L1120" i="1"/>
  <c r="M1120" i="1"/>
  <c r="N1120" i="1"/>
  <c r="O1120" i="1"/>
  <c r="P1120" i="1"/>
  <c r="Q1120" i="1"/>
  <c r="A1121" i="1"/>
  <c r="L1121" i="1"/>
  <c r="M1121" i="1"/>
  <c r="N1121" i="1"/>
  <c r="O1121" i="1"/>
  <c r="P1121" i="1"/>
  <c r="Q1121" i="1"/>
  <c r="A1122" i="1"/>
  <c r="L1122" i="1"/>
  <c r="M1122" i="1"/>
  <c r="N1122" i="1"/>
  <c r="O1122" i="1"/>
  <c r="P1122" i="1"/>
  <c r="Q1122" i="1"/>
  <c r="A1123" i="1"/>
  <c r="L1123" i="1"/>
  <c r="M1123" i="1"/>
  <c r="N1123" i="1"/>
  <c r="O1123" i="1"/>
  <c r="P1123" i="1"/>
  <c r="Q1123" i="1"/>
  <c r="A1124" i="1"/>
  <c r="L1124" i="1"/>
  <c r="M1124" i="1"/>
  <c r="N1124" i="1"/>
  <c r="O1124" i="1"/>
  <c r="P1124" i="1"/>
  <c r="Q1124" i="1"/>
  <c r="A1125" i="1"/>
  <c r="L1125" i="1"/>
  <c r="M1125" i="1"/>
  <c r="N1125" i="1"/>
  <c r="O1125" i="1"/>
  <c r="P1125" i="1"/>
  <c r="Q1125" i="1"/>
  <c r="A1126" i="1"/>
  <c r="L1126" i="1"/>
  <c r="M1126" i="1"/>
  <c r="N1126" i="1"/>
  <c r="O1126" i="1"/>
  <c r="P1126" i="1"/>
  <c r="Q1126" i="1"/>
  <c r="A1127" i="1"/>
  <c r="L1127" i="1"/>
  <c r="M1127" i="1"/>
  <c r="N1127" i="1"/>
  <c r="O1127" i="1"/>
  <c r="P1127" i="1"/>
  <c r="Q1127" i="1"/>
  <c r="A1128" i="1"/>
  <c r="L1128" i="1"/>
  <c r="M1128" i="1"/>
  <c r="N1128" i="1"/>
  <c r="O1128" i="1"/>
  <c r="P1128" i="1"/>
  <c r="Q1128" i="1"/>
  <c r="A1129" i="1"/>
  <c r="L1129" i="1"/>
  <c r="M1129" i="1"/>
  <c r="N1129" i="1"/>
  <c r="O1129" i="1"/>
  <c r="P1129" i="1"/>
  <c r="Q1129" i="1"/>
  <c r="A1130" i="1"/>
  <c r="N1130" i="1"/>
  <c r="Q1130" i="1"/>
  <c r="E1108" i="1" l="1"/>
  <c r="D1107" i="1"/>
  <c r="H1090" i="1"/>
  <c r="D1084" i="1"/>
  <c r="C1083" i="1"/>
  <c r="G1079" i="1"/>
  <c r="H1071" i="1"/>
  <c r="H1069" i="1"/>
  <c r="H1068" i="1"/>
  <c r="F1067" i="1"/>
  <c r="K1061" i="1"/>
  <c r="M1119" i="4"/>
  <c r="K1115" i="4"/>
  <c r="B1101" i="1"/>
  <c r="H1093" i="1"/>
  <c r="G1089" i="1"/>
  <c r="F1082" i="1"/>
  <c r="D1080" i="1"/>
  <c r="D1075" i="1"/>
  <c r="C1074" i="1"/>
  <c r="J1062" i="1"/>
  <c r="K1138" i="4"/>
  <c r="H1101" i="1"/>
  <c r="J1100" i="1"/>
  <c r="H1092" i="1"/>
  <c r="E1107" i="3"/>
  <c r="E1105" i="3"/>
  <c r="E1102" i="3"/>
  <c r="E1097" i="3"/>
  <c r="E1093" i="3"/>
  <c r="E1090" i="3"/>
  <c r="E1088" i="3"/>
  <c r="E1087" i="3"/>
  <c r="E1086" i="3"/>
  <c r="E1085" i="3"/>
  <c r="E1083" i="3"/>
  <c r="E1081" i="3"/>
  <c r="E1079" i="3"/>
  <c r="E1078" i="3"/>
  <c r="E1076" i="3"/>
  <c r="E1075" i="3"/>
  <c r="E1074" i="3"/>
  <c r="E1073" i="3"/>
  <c r="E1071" i="3"/>
  <c r="E1069" i="3"/>
  <c r="E1068" i="3"/>
  <c r="E1067" i="3"/>
  <c r="E1066" i="3"/>
  <c r="E1065" i="3"/>
  <c r="E1063" i="3"/>
  <c r="E1062" i="3"/>
  <c r="D1102" i="1"/>
  <c r="E1109" i="3"/>
  <c r="E1108" i="3"/>
  <c r="E1106" i="3"/>
  <c r="E1104" i="3"/>
  <c r="E1103" i="3"/>
  <c r="E1101" i="3"/>
  <c r="E1100" i="3"/>
  <c r="E1098" i="3"/>
  <c r="E1096" i="3"/>
  <c r="E1095" i="3"/>
  <c r="E1091" i="3"/>
  <c r="E1129" i="1"/>
  <c r="H1128" i="1"/>
  <c r="G1127" i="1"/>
  <c r="C1127" i="1"/>
  <c r="F1126" i="1"/>
  <c r="B1125" i="1"/>
  <c r="C1125" i="1"/>
  <c r="J1124" i="1"/>
  <c r="H1123" i="1"/>
  <c r="C1114" i="1"/>
  <c r="E1113" i="1"/>
  <c r="H1112" i="1"/>
  <c r="G1112" i="1"/>
  <c r="E1111" i="1"/>
  <c r="G1111" i="1"/>
  <c r="G1108" i="1"/>
  <c r="C1069" i="1"/>
  <c r="G1062" i="1"/>
  <c r="D1103" i="3"/>
  <c r="D1100" i="3"/>
  <c r="D1095" i="3"/>
  <c r="D1092" i="3"/>
  <c r="J1108" i="1"/>
  <c r="B1107" i="1"/>
  <c r="H1106" i="1"/>
  <c r="J1106" i="1"/>
  <c r="D1105" i="1"/>
  <c r="E1105" i="1"/>
  <c r="B1104" i="1"/>
  <c r="H1100" i="1"/>
  <c r="D1100" i="1"/>
  <c r="D1099" i="1"/>
  <c r="E1099" i="1"/>
  <c r="G1098" i="1"/>
  <c r="H1098" i="1"/>
  <c r="E1097" i="1"/>
  <c r="H1097" i="1"/>
  <c r="E1095" i="1"/>
  <c r="B1094" i="1"/>
  <c r="G1092" i="1"/>
  <c r="E1091" i="1"/>
  <c r="B1091" i="1"/>
  <c r="J1090" i="1"/>
  <c r="D1089" i="1"/>
  <c r="E1089" i="1"/>
  <c r="J1088" i="1"/>
  <c r="B1088" i="1"/>
  <c r="H1087" i="1"/>
  <c r="B1086" i="1"/>
  <c r="H1084" i="1"/>
  <c r="J1084" i="1"/>
  <c r="E1084" i="1"/>
  <c r="I1083" i="1"/>
  <c r="H1082" i="1"/>
  <c r="B1081" i="1"/>
  <c r="B1078" i="1"/>
  <c r="D1078" i="1"/>
  <c r="F1077" i="1"/>
  <c r="F1075" i="1"/>
  <c r="J1074" i="1"/>
  <c r="D1073" i="1"/>
  <c r="E1073" i="1"/>
  <c r="J1073" i="1"/>
  <c r="I1072" i="1"/>
  <c r="E1071" i="1"/>
  <c r="B1071" i="1"/>
  <c r="B1070" i="1"/>
  <c r="F1069" i="1"/>
  <c r="G1068" i="1"/>
  <c r="D1067" i="1"/>
  <c r="H1066" i="1"/>
  <c r="J1066" i="1"/>
  <c r="D1065" i="1"/>
  <c r="E1065" i="1"/>
  <c r="B1065" i="1"/>
  <c r="J1063" i="1"/>
  <c r="D1062" i="1"/>
  <c r="B1062" i="1"/>
  <c r="H1062" i="1"/>
  <c r="G1061" i="1"/>
  <c r="H1061" i="1"/>
  <c r="C1083" i="3"/>
  <c r="C1080" i="3"/>
  <c r="C1075" i="3"/>
  <c r="C1072" i="3"/>
  <c r="B1106" i="3"/>
  <c r="B1103" i="3"/>
  <c r="B1098" i="3"/>
  <c r="B1095" i="3"/>
  <c r="B1090" i="3"/>
  <c r="B1087" i="3"/>
  <c r="B1082" i="3"/>
  <c r="B1074" i="3"/>
  <c r="B1066" i="3"/>
  <c r="L1117" i="4"/>
  <c r="D1128" i="1"/>
  <c r="C1123" i="1"/>
  <c r="C1119" i="1"/>
  <c r="G1116" i="1"/>
  <c r="C1129" i="1"/>
  <c r="G1128" i="1"/>
  <c r="C1111" i="1"/>
  <c r="G1110" i="1"/>
  <c r="D1146" i="4"/>
  <c r="D1145" i="4"/>
  <c r="L1144" i="4"/>
  <c r="L1143" i="4"/>
  <c r="D1142" i="4"/>
  <c r="D1141" i="4"/>
  <c r="D1140" i="4"/>
  <c r="L1139" i="4"/>
  <c r="L1138" i="4"/>
  <c r="L1137" i="4"/>
  <c r="L1135" i="4"/>
  <c r="L1134" i="4"/>
  <c r="L1132" i="4"/>
  <c r="D1129" i="4"/>
  <c r="D1128" i="4"/>
  <c r="L1127" i="4"/>
  <c r="L1126" i="4"/>
  <c r="L1125" i="4"/>
  <c r="D1122" i="4"/>
  <c r="L1119" i="4"/>
  <c r="D1116" i="4"/>
  <c r="D1114" i="4"/>
  <c r="D1113" i="4"/>
  <c r="N1112" i="4"/>
  <c r="D1111" i="4"/>
  <c r="L1110" i="4"/>
  <c r="D1109" i="4"/>
  <c r="D1107" i="4"/>
  <c r="L1106" i="4"/>
  <c r="L1104" i="4"/>
  <c r="I1130" i="1"/>
  <c r="D1127" i="1"/>
  <c r="B1116" i="1"/>
  <c r="H1114" i="1"/>
  <c r="G1126" i="1"/>
  <c r="G1122" i="1"/>
  <c r="C1121" i="1"/>
  <c r="G1120" i="1"/>
  <c r="C1117" i="1"/>
  <c r="G1114" i="1"/>
  <c r="C1113" i="1"/>
  <c r="D1147" i="4"/>
  <c r="L1145" i="4"/>
  <c r="D1143" i="4"/>
  <c r="L1140" i="4"/>
  <c r="D1138" i="4"/>
  <c r="D1137" i="4"/>
  <c r="D1136" i="4"/>
  <c r="D1134" i="4"/>
  <c r="L1133" i="4"/>
  <c r="L1131" i="4"/>
  <c r="L1130" i="4"/>
  <c r="L1128" i="4"/>
  <c r="D1126" i="4"/>
  <c r="D1125" i="4"/>
  <c r="D1124" i="4"/>
  <c r="D1123" i="4"/>
  <c r="L1121" i="4"/>
  <c r="L1120" i="4"/>
  <c r="D1118" i="4"/>
  <c r="L1116" i="4"/>
  <c r="L1115" i="4"/>
  <c r="L1113" i="4"/>
  <c r="D1112" i="4"/>
  <c r="D1108" i="4"/>
  <c r="D1105" i="4"/>
  <c r="J1115" i="1"/>
  <c r="G1124" i="1"/>
  <c r="G1118" i="1"/>
  <c r="C1115" i="1"/>
  <c r="L1147" i="4"/>
  <c r="L1146" i="4"/>
  <c r="D1144" i="4"/>
  <c r="L1142" i="4"/>
  <c r="L1141" i="4"/>
  <c r="D1139" i="4"/>
  <c r="L1136" i="4"/>
  <c r="D1135" i="4"/>
  <c r="D1133" i="4"/>
  <c r="D1132" i="4"/>
  <c r="D1131" i="4"/>
  <c r="D1130" i="4"/>
  <c r="L1129" i="4"/>
  <c r="D1127" i="4"/>
  <c r="L1124" i="4"/>
  <c r="L1123" i="4"/>
  <c r="L1122" i="4"/>
  <c r="D1121" i="4"/>
  <c r="D1120" i="4"/>
  <c r="D1119" i="4"/>
  <c r="L1118" i="4"/>
  <c r="D1117" i="4"/>
  <c r="D1115" i="4"/>
  <c r="L1114" i="4"/>
  <c r="L1112" i="4"/>
  <c r="L1111" i="4"/>
  <c r="D1110" i="4"/>
  <c r="L1109" i="4"/>
  <c r="L1108" i="4"/>
  <c r="L1107" i="4"/>
  <c r="D1106" i="4"/>
  <c r="L1105" i="4"/>
  <c r="F1129" i="1"/>
  <c r="E1115" i="1"/>
  <c r="D1110" i="1"/>
  <c r="E1130" i="1"/>
  <c r="J1147" i="4"/>
  <c r="B1147" i="4"/>
  <c r="H1147" i="4"/>
  <c r="N1147" i="4"/>
  <c r="F1147" i="4"/>
  <c r="J1146" i="4"/>
  <c r="B1146" i="4"/>
  <c r="H1146" i="4"/>
  <c r="N1146" i="4"/>
  <c r="F1146" i="4"/>
  <c r="J1145" i="4"/>
  <c r="B1145" i="4"/>
  <c r="H1145" i="4"/>
  <c r="N1145" i="4"/>
  <c r="F1145" i="4"/>
  <c r="J1144" i="4"/>
  <c r="B1144" i="4"/>
  <c r="H1144" i="4"/>
  <c r="N1144" i="4"/>
  <c r="F1144" i="4"/>
  <c r="J1143" i="4"/>
  <c r="B1143" i="4"/>
  <c r="H1143" i="4"/>
  <c r="N1143" i="4"/>
  <c r="F1143" i="4"/>
  <c r="J1142" i="4"/>
  <c r="B1142" i="4"/>
  <c r="H1142" i="4"/>
  <c r="N1142" i="4"/>
  <c r="F1142" i="4"/>
  <c r="J1141" i="4"/>
  <c r="B1141" i="4"/>
  <c r="H1141" i="4"/>
  <c r="N1141" i="4"/>
  <c r="F1141" i="4"/>
  <c r="J1140" i="4"/>
  <c r="B1140" i="4"/>
  <c r="H1140" i="4"/>
  <c r="N1140" i="4"/>
  <c r="F1140" i="4"/>
  <c r="J1139" i="4"/>
  <c r="B1139" i="4"/>
  <c r="H1139" i="4"/>
  <c r="N1139" i="4"/>
  <c r="F1139" i="4"/>
  <c r="J1138" i="4"/>
  <c r="B1138" i="4"/>
  <c r="H1138" i="4"/>
  <c r="N1138" i="4"/>
  <c r="F1138" i="4"/>
  <c r="J1137" i="4"/>
  <c r="B1137" i="4"/>
  <c r="H1137" i="4"/>
  <c r="N1137" i="4"/>
  <c r="F1137" i="4"/>
  <c r="J1136" i="4"/>
  <c r="B1136" i="4"/>
  <c r="H1136" i="4"/>
  <c r="N1136" i="4"/>
  <c r="F1136" i="4"/>
  <c r="J1135" i="4"/>
  <c r="B1135" i="4"/>
  <c r="H1135" i="4"/>
  <c r="N1135" i="4"/>
  <c r="F1135" i="4"/>
  <c r="J1134" i="4"/>
  <c r="B1134" i="4"/>
  <c r="H1134" i="4"/>
  <c r="N1134" i="4"/>
  <c r="F1134" i="4"/>
  <c r="J1133" i="4"/>
  <c r="B1133" i="4"/>
  <c r="H1133" i="4"/>
  <c r="N1133" i="4"/>
  <c r="F1133" i="4"/>
  <c r="N1120" i="4"/>
  <c r="I1147" i="4"/>
  <c r="K1147" i="4"/>
  <c r="I1146" i="4"/>
  <c r="K1146" i="4"/>
  <c r="G1145" i="4"/>
  <c r="K1145" i="4"/>
  <c r="E1144" i="4"/>
  <c r="K1143" i="4"/>
  <c r="O1142" i="4"/>
  <c r="C1142" i="4"/>
  <c r="M1141" i="4"/>
  <c r="C1141" i="4"/>
  <c r="E1140" i="4"/>
  <c r="I1139" i="4"/>
  <c r="K1139" i="4"/>
  <c r="O1138" i="4"/>
  <c r="M1137" i="4"/>
  <c r="C1137" i="4"/>
  <c r="K1136" i="4"/>
  <c r="I1135" i="4"/>
  <c r="K1135" i="4"/>
  <c r="I1134" i="4"/>
  <c r="K1134" i="4"/>
  <c r="O1133" i="4"/>
  <c r="E1133" i="4"/>
  <c r="E1132" i="4"/>
  <c r="I1131" i="4"/>
  <c r="K1131" i="4"/>
  <c r="G1130" i="4"/>
  <c r="C1130" i="4"/>
  <c r="G1129" i="4"/>
  <c r="K1129" i="4"/>
  <c r="G1128" i="4"/>
  <c r="K1128" i="4"/>
  <c r="I1127" i="4"/>
  <c r="E1127" i="4"/>
  <c r="O1126" i="4"/>
  <c r="C1126" i="4"/>
  <c r="I1125" i="4"/>
  <c r="M1125" i="4"/>
  <c r="K1125" i="4"/>
  <c r="G1124" i="4"/>
  <c r="K1124" i="4"/>
  <c r="I1123" i="4"/>
  <c r="K1123" i="4"/>
  <c r="I1122" i="4"/>
  <c r="K1122" i="4"/>
  <c r="O1121" i="4"/>
  <c r="K1121" i="4"/>
  <c r="O1120" i="4"/>
  <c r="E1120" i="4"/>
  <c r="E1119" i="4"/>
  <c r="I1118" i="4"/>
  <c r="K1118" i="4"/>
  <c r="G1117" i="4"/>
  <c r="K1117" i="4"/>
  <c r="G1116" i="4"/>
  <c r="K1116" i="4"/>
  <c r="M1115" i="4"/>
  <c r="K1114" i="4"/>
  <c r="I1113" i="4"/>
  <c r="K1113" i="4"/>
  <c r="K1112" i="4"/>
  <c r="M1111" i="4"/>
  <c r="C1111" i="4"/>
  <c r="I1110" i="4"/>
  <c r="K1110" i="4"/>
  <c r="K1109" i="4"/>
  <c r="G1107" i="4"/>
  <c r="C1107" i="4"/>
  <c r="M1106" i="4"/>
  <c r="C1106" i="4"/>
  <c r="M1105" i="4"/>
  <c r="O1104" i="4"/>
  <c r="C1104" i="4"/>
  <c r="I1103" i="4"/>
  <c r="K1103" i="4"/>
  <c r="I1101" i="4"/>
  <c r="K1101" i="4"/>
  <c r="O1100" i="4"/>
  <c r="K1100" i="4"/>
  <c r="O1099" i="4"/>
  <c r="E1099" i="4"/>
  <c r="G1098" i="4"/>
  <c r="I1129" i="1"/>
  <c r="F1128" i="1"/>
  <c r="H1127" i="1"/>
  <c r="B1127" i="1"/>
  <c r="C1126" i="1"/>
  <c r="E1125" i="1"/>
  <c r="H1125" i="1"/>
  <c r="C1124" i="1"/>
  <c r="F1124" i="1"/>
  <c r="B1123" i="1"/>
  <c r="E1122" i="1"/>
  <c r="E1121" i="1"/>
  <c r="I1121" i="1"/>
  <c r="B1120" i="1"/>
  <c r="E1120" i="1"/>
  <c r="H1119" i="1"/>
  <c r="B1119" i="1"/>
  <c r="D1118" i="1"/>
  <c r="D1117" i="1"/>
  <c r="H1117" i="1"/>
  <c r="B1117" i="1"/>
  <c r="E1116" i="1"/>
  <c r="I1115" i="1"/>
  <c r="D1114" i="1"/>
  <c r="G1113" i="1"/>
  <c r="J1113" i="1"/>
  <c r="J1112" i="1"/>
  <c r="D1112" i="1"/>
  <c r="J1111" i="1"/>
  <c r="F1110" i="1"/>
  <c r="I1109" i="1"/>
  <c r="C1108" i="1"/>
  <c r="I1107" i="1"/>
  <c r="D1106" i="1"/>
  <c r="H1105" i="1"/>
  <c r="B1105" i="1"/>
  <c r="C1104" i="1"/>
  <c r="F1104" i="1"/>
  <c r="G1103" i="1"/>
  <c r="J1103" i="1"/>
  <c r="C1100" i="1"/>
  <c r="F1100" i="1"/>
  <c r="H1099" i="1"/>
  <c r="J1099" i="1"/>
  <c r="E1098" i="1"/>
  <c r="I1097" i="1"/>
  <c r="E1096" i="1"/>
  <c r="H1095" i="1"/>
  <c r="B1095" i="1"/>
  <c r="D1094" i="1"/>
  <c r="G1093" i="1"/>
  <c r="J1093" i="1"/>
  <c r="F1092" i="1"/>
  <c r="H1091" i="1"/>
  <c r="C1090" i="1"/>
  <c r="F1090" i="1"/>
  <c r="H1089" i="1"/>
  <c r="B1089" i="1"/>
  <c r="E1088" i="1"/>
  <c r="I1087" i="1"/>
  <c r="C1086" i="1"/>
  <c r="F1086" i="1"/>
  <c r="G1085" i="1"/>
  <c r="J1085" i="1"/>
  <c r="C1084" i="1"/>
  <c r="J1083" i="1"/>
  <c r="C1082" i="1"/>
  <c r="H1081" i="1"/>
  <c r="C1080" i="1"/>
  <c r="J1079" i="1"/>
  <c r="E1078" i="1"/>
  <c r="H1077" i="1"/>
  <c r="B1077" i="1"/>
  <c r="C1076" i="1"/>
  <c r="F1076" i="1"/>
  <c r="I1075" i="1"/>
  <c r="D1074" i="1"/>
  <c r="B1073" i="1"/>
  <c r="E1072" i="1"/>
  <c r="J1071" i="1"/>
  <c r="E1070" i="1"/>
  <c r="G1069" i="1"/>
  <c r="J1069" i="1"/>
  <c r="C1068" i="1"/>
  <c r="E1068" i="1"/>
  <c r="H1067" i="1"/>
  <c r="J1067" i="1"/>
  <c r="B1067" i="1"/>
  <c r="C1066" i="1"/>
  <c r="D1066" i="1"/>
  <c r="E1066" i="1"/>
  <c r="F1066" i="1"/>
  <c r="G1065" i="1"/>
  <c r="H1065" i="1"/>
  <c r="I1065" i="1"/>
  <c r="J1065" i="1"/>
  <c r="F1064" i="1"/>
  <c r="H1064" i="1"/>
  <c r="J1064" i="1"/>
  <c r="B1064" i="1"/>
  <c r="H1063" i="1"/>
  <c r="B1063" i="1"/>
  <c r="E1062" i="1"/>
  <c r="K1062" i="1"/>
  <c r="C1062" i="1"/>
  <c r="F1062" i="1"/>
  <c r="J1061" i="1"/>
  <c r="B1061" i="1"/>
  <c r="B1088" i="2"/>
  <c r="A1089" i="2"/>
  <c r="G1146" i="4"/>
  <c r="O1145" i="4"/>
  <c r="E1145" i="4"/>
  <c r="K1144" i="4"/>
  <c r="G1142" i="4"/>
  <c r="G1141" i="4"/>
  <c r="K1141" i="4"/>
  <c r="K1140" i="4"/>
  <c r="I1138" i="4"/>
  <c r="C1138" i="4"/>
  <c r="O1137" i="4"/>
  <c r="E1137" i="4"/>
  <c r="E1136" i="4"/>
  <c r="C1135" i="4"/>
  <c r="O1134" i="4"/>
  <c r="C1134" i="4"/>
  <c r="M1133" i="4"/>
  <c r="C1133" i="4"/>
  <c r="M1132" i="4"/>
  <c r="C1132" i="4"/>
  <c r="E1131" i="4"/>
  <c r="O1130" i="4"/>
  <c r="I1129" i="4"/>
  <c r="M1129" i="4"/>
  <c r="C1129" i="4"/>
  <c r="O1128" i="4"/>
  <c r="E1128" i="4"/>
  <c r="K1127" i="4"/>
  <c r="G1126" i="4"/>
  <c r="O1125" i="4"/>
  <c r="C1125" i="4"/>
  <c r="M1124" i="4"/>
  <c r="C1124" i="4"/>
  <c r="E1123" i="4"/>
  <c r="G1122" i="4"/>
  <c r="G1121" i="4"/>
  <c r="E1121" i="4"/>
  <c r="M1120" i="4"/>
  <c r="C1120" i="4"/>
  <c r="K1119" i="4"/>
  <c r="G1118" i="4"/>
  <c r="O1117" i="4"/>
  <c r="E1117" i="4"/>
  <c r="O1116" i="4"/>
  <c r="E1116" i="4"/>
  <c r="E1114" i="4"/>
  <c r="G1113" i="4"/>
  <c r="M1112" i="4"/>
  <c r="K1111" i="4"/>
  <c r="C1110" i="4"/>
  <c r="C1109" i="4"/>
  <c r="O1108" i="4"/>
  <c r="K1108" i="4"/>
  <c r="M1107" i="4"/>
  <c r="O1106" i="4"/>
  <c r="E1106" i="4"/>
  <c r="K1105" i="4"/>
  <c r="G1104" i="4"/>
  <c r="K1104" i="4"/>
  <c r="E1103" i="4"/>
  <c r="E1101" i="4"/>
  <c r="G1100" i="4"/>
  <c r="C1100" i="4"/>
  <c r="M1099" i="4"/>
  <c r="C1099" i="4"/>
  <c r="O1098" i="4"/>
  <c r="E1098" i="4"/>
  <c r="H1129" i="1"/>
  <c r="B1129" i="1"/>
  <c r="E1128" i="1"/>
  <c r="F1127" i="1"/>
  <c r="I1127" i="1"/>
  <c r="D1126" i="1"/>
  <c r="G1125" i="1"/>
  <c r="J1125" i="1"/>
  <c r="E1124" i="1"/>
  <c r="I1123" i="1"/>
  <c r="D1122" i="1"/>
  <c r="H1121" i="1"/>
  <c r="B1121" i="1"/>
  <c r="J1120" i="1"/>
  <c r="D1120" i="1"/>
  <c r="G1119" i="1"/>
  <c r="I1119" i="1"/>
  <c r="E1118" i="1"/>
  <c r="G1117" i="1"/>
  <c r="J1117" i="1"/>
  <c r="C1116" i="1"/>
  <c r="F1116" i="1"/>
  <c r="G1115" i="1"/>
  <c r="B1115" i="1"/>
  <c r="E1114" i="1"/>
  <c r="D1113" i="1"/>
  <c r="I1113" i="1"/>
  <c r="C1112" i="1"/>
  <c r="F1112" i="1"/>
  <c r="H1111" i="1"/>
  <c r="B1111" i="1"/>
  <c r="B1110" i="1"/>
  <c r="E1110" i="1"/>
  <c r="G1109" i="1"/>
  <c r="J1109" i="1"/>
  <c r="D1108" i="1"/>
  <c r="H1107" i="1"/>
  <c r="E1106" i="1"/>
  <c r="G1105" i="1"/>
  <c r="J1105" i="1"/>
  <c r="E1104" i="1"/>
  <c r="H1103" i="1"/>
  <c r="B1103" i="1"/>
  <c r="E1102" i="1"/>
  <c r="G1101" i="1"/>
  <c r="J1101" i="1"/>
  <c r="E1100" i="1"/>
  <c r="G1099" i="1"/>
  <c r="B1099" i="1"/>
  <c r="D1098" i="1"/>
  <c r="G1097" i="1"/>
  <c r="D1096" i="1"/>
  <c r="I1095" i="1"/>
  <c r="C1094" i="1"/>
  <c r="F1094" i="1"/>
  <c r="I1093" i="1"/>
  <c r="C1092" i="1"/>
  <c r="E1092" i="1"/>
  <c r="I1091" i="1"/>
  <c r="D1090" i="1"/>
  <c r="J1089" i="1"/>
  <c r="D1088" i="1"/>
  <c r="G1087" i="1"/>
  <c r="J1087" i="1"/>
  <c r="E1086" i="1"/>
  <c r="I1085" i="1"/>
  <c r="F1084" i="1"/>
  <c r="H1083" i="1"/>
  <c r="B1083" i="1"/>
  <c r="E1082" i="1"/>
  <c r="G1081" i="1"/>
  <c r="J1081" i="1"/>
  <c r="E1080" i="1"/>
  <c r="I1079" i="1"/>
  <c r="F1078" i="1"/>
  <c r="I1077" i="1"/>
  <c r="E1076" i="1"/>
  <c r="G1075" i="1"/>
  <c r="J1075" i="1"/>
  <c r="F1074" i="1"/>
  <c r="I1073" i="1"/>
  <c r="D1072" i="1"/>
  <c r="I1071" i="1"/>
  <c r="C1070" i="1"/>
  <c r="F1070" i="1"/>
  <c r="B1069" i="1"/>
  <c r="D1068" i="1"/>
  <c r="F1068" i="1"/>
  <c r="G1067" i="1"/>
  <c r="I1067" i="1"/>
  <c r="C1147" i="4"/>
  <c r="O1146" i="4"/>
  <c r="C1146" i="4"/>
  <c r="M1145" i="4"/>
  <c r="C1145" i="4"/>
  <c r="M1144" i="4"/>
  <c r="C1144" i="4"/>
  <c r="I1143" i="4"/>
  <c r="C1143" i="4"/>
  <c r="I1142" i="4"/>
  <c r="K1142" i="4"/>
  <c r="O1141" i="4"/>
  <c r="E1141" i="4"/>
  <c r="M1140" i="4"/>
  <c r="C1140" i="4"/>
  <c r="C1139" i="4"/>
  <c r="G1138" i="4"/>
  <c r="G1137" i="4"/>
  <c r="K1137" i="4"/>
  <c r="M1136" i="4"/>
  <c r="C1136" i="4"/>
  <c r="G1134" i="4"/>
  <c r="G1133" i="4"/>
  <c r="K1133" i="4"/>
  <c r="K1132" i="4"/>
  <c r="M1131" i="4"/>
  <c r="C1131" i="4"/>
  <c r="I1130" i="4"/>
  <c r="K1130" i="4"/>
  <c r="O1129" i="4"/>
  <c r="E1129" i="4"/>
  <c r="M1128" i="4"/>
  <c r="C1128" i="4"/>
  <c r="M1127" i="4"/>
  <c r="C1127" i="4"/>
  <c r="I1126" i="4"/>
  <c r="K1126" i="4"/>
  <c r="G1125" i="4"/>
  <c r="E1125" i="4"/>
  <c r="O1124" i="4"/>
  <c r="E1124" i="4"/>
  <c r="M1123" i="4"/>
  <c r="C1123" i="4"/>
  <c r="O1122" i="4"/>
  <c r="C1122" i="4"/>
  <c r="I1121" i="4"/>
  <c r="M1121" i="4"/>
  <c r="C1121" i="4"/>
  <c r="G1120" i="4"/>
  <c r="K1120" i="4"/>
  <c r="I1119" i="4"/>
  <c r="C1119" i="4"/>
  <c r="O1118" i="4"/>
  <c r="C1118" i="4"/>
  <c r="I1117" i="4"/>
  <c r="M1117" i="4"/>
  <c r="C1117" i="4"/>
  <c r="M1116" i="4"/>
  <c r="C1116" i="4"/>
  <c r="C1115" i="4"/>
  <c r="M1114" i="4"/>
  <c r="C1114" i="4"/>
  <c r="C1113" i="4"/>
  <c r="I1112" i="4"/>
  <c r="C1112" i="4"/>
  <c r="O1111" i="4"/>
  <c r="E1111" i="4"/>
  <c r="E1110" i="4"/>
  <c r="I1109" i="4"/>
  <c r="G1108" i="4"/>
  <c r="C1108" i="4"/>
  <c r="I1107" i="4"/>
  <c r="K1107" i="4"/>
  <c r="G1106" i="4"/>
  <c r="K1106" i="4"/>
  <c r="I1105" i="4"/>
  <c r="C1105" i="4"/>
  <c r="I1104" i="4"/>
  <c r="M1103" i="4"/>
  <c r="C1103" i="4"/>
  <c r="M1101" i="4"/>
  <c r="C1101" i="4"/>
  <c r="I1100" i="4"/>
  <c r="I1099" i="4"/>
  <c r="K1099" i="4"/>
  <c r="K1098" i="4"/>
  <c r="G1129" i="1"/>
  <c r="J1129" i="1"/>
  <c r="C1128" i="1"/>
  <c r="J1127" i="1"/>
  <c r="B1126" i="1"/>
  <c r="E1126" i="1"/>
  <c r="I1125" i="1"/>
  <c r="H1124" i="1"/>
  <c r="D1124" i="1"/>
  <c r="G1123" i="1"/>
  <c r="J1123" i="1"/>
  <c r="C1122" i="1"/>
  <c r="F1122" i="1"/>
  <c r="G1121" i="1"/>
  <c r="J1121" i="1"/>
  <c r="C1120" i="1"/>
  <c r="F1120" i="1"/>
  <c r="J1119" i="1"/>
  <c r="C1118" i="1"/>
  <c r="F1118" i="1"/>
  <c r="E1117" i="1"/>
  <c r="I1117" i="1"/>
  <c r="J1116" i="1"/>
  <c r="D1116" i="1"/>
  <c r="H1115" i="1"/>
  <c r="F1114" i="1"/>
  <c r="H1113" i="1"/>
  <c r="B1113" i="1"/>
  <c r="B1112" i="1"/>
  <c r="E1112" i="1"/>
  <c r="I1111" i="1"/>
  <c r="C1110" i="1"/>
  <c r="H1109" i="1"/>
  <c r="B1109" i="1"/>
  <c r="F1108" i="1"/>
  <c r="G1107" i="1"/>
  <c r="J1107" i="1"/>
  <c r="C1106" i="1"/>
  <c r="F1106" i="1"/>
  <c r="I1105" i="1"/>
  <c r="D1104" i="1"/>
  <c r="I1103" i="1"/>
  <c r="C1102" i="1"/>
  <c r="F1102" i="1"/>
  <c r="I1101" i="1"/>
  <c r="I1099" i="1"/>
  <c r="C1098" i="1"/>
  <c r="F1098" i="1"/>
  <c r="J1097" i="1"/>
  <c r="C1096" i="1"/>
  <c r="F1096" i="1"/>
  <c r="G1095" i="1"/>
  <c r="J1095" i="1"/>
  <c r="E1094" i="1"/>
  <c r="B1093" i="1"/>
  <c r="D1092" i="1"/>
  <c r="G1091" i="1"/>
  <c r="J1091" i="1"/>
  <c r="E1090" i="1"/>
  <c r="I1089" i="1"/>
  <c r="C1088" i="1"/>
  <c r="F1088" i="1"/>
  <c r="B1087" i="1"/>
  <c r="D1086" i="1"/>
  <c r="H1085" i="1"/>
  <c r="B1085" i="1"/>
  <c r="G1083" i="1"/>
  <c r="D1082" i="1"/>
  <c r="I1081" i="1"/>
  <c r="F1080" i="1"/>
  <c r="H1079" i="1"/>
  <c r="B1079" i="1"/>
  <c r="C1078" i="1"/>
  <c r="G1077" i="1"/>
  <c r="J1077" i="1"/>
  <c r="D1076" i="1"/>
  <c r="H1075" i="1"/>
  <c r="B1075" i="1"/>
  <c r="E1074" i="1"/>
  <c r="H1073" i="1"/>
  <c r="C1072" i="1"/>
  <c r="F1072" i="1"/>
  <c r="G1071" i="1"/>
  <c r="D1070" i="1"/>
  <c r="I1069" i="1"/>
  <c r="D1104" i="4"/>
  <c r="L1103" i="4"/>
  <c r="D1103" i="4"/>
  <c r="L1101" i="4"/>
  <c r="D1101" i="4"/>
  <c r="N1100" i="4"/>
  <c r="L1100" i="4"/>
  <c r="D1100" i="4"/>
  <c r="L1099" i="4"/>
  <c r="D1099" i="4"/>
  <c r="L1098" i="4"/>
  <c r="D1098" i="4"/>
  <c r="L1097" i="4"/>
  <c r="D1097" i="4"/>
  <c r="L1096" i="4"/>
  <c r="D1096" i="4"/>
  <c r="L1095" i="4"/>
  <c r="D1095" i="4"/>
  <c r="L1094" i="4"/>
  <c r="D1094" i="4"/>
  <c r="L1093" i="4"/>
  <c r="D1093" i="4"/>
  <c r="L1092" i="4"/>
  <c r="D1092" i="4"/>
  <c r="L1091" i="4"/>
  <c r="D1091" i="4"/>
  <c r="L1090" i="4"/>
  <c r="D1090" i="4"/>
  <c r="L1089" i="4"/>
  <c r="D1089" i="4"/>
  <c r="L1088" i="4"/>
  <c r="D1088" i="4"/>
  <c r="L1087" i="4"/>
  <c r="D1087" i="4"/>
  <c r="L1086" i="4"/>
  <c r="D1086" i="4"/>
  <c r="L1085" i="4"/>
  <c r="D1085" i="4"/>
  <c r="L1084" i="4"/>
  <c r="D1084" i="4"/>
  <c r="L1083" i="4"/>
  <c r="D1083" i="4"/>
  <c r="L1082" i="4"/>
  <c r="D1082" i="4"/>
  <c r="L1081" i="4"/>
  <c r="D1081" i="4"/>
  <c r="L1080" i="4"/>
  <c r="D1080" i="4"/>
  <c r="L1079" i="4"/>
  <c r="D1079" i="4"/>
  <c r="L1078" i="4"/>
  <c r="D1078" i="4"/>
  <c r="L1077" i="4"/>
  <c r="D1077" i="4"/>
  <c r="L1076" i="4"/>
  <c r="L1075" i="4"/>
  <c r="D1075" i="4"/>
  <c r="L1074" i="4"/>
  <c r="D1074" i="4"/>
  <c r="L1073" i="4"/>
  <c r="D1073" i="4"/>
  <c r="L1072" i="4"/>
  <c r="D1072" i="4"/>
  <c r="L1071" i="4"/>
  <c r="D1071" i="4"/>
  <c r="L1070" i="4"/>
  <c r="D1070" i="4"/>
  <c r="L1069" i="4"/>
  <c r="D1069" i="4"/>
  <c r="L1068" i="4"/>
  <c r="D1068" i="4"/>
  <c r="L1067" i="4"/>
  <c r="D1067" i="4"/>
  <c r="L1066" i="4"/>
  <c r="D1066" i="4"/>
  <c r="L1065" i="4"/>
  <c r="D1065" i="4"/>
  <c r="J1064" i="4"/>
  <c r="L1064" i="4"/>
  <c r="D1064" i="4"/>
  <c r="L1063" i="4"/>
  <c r="D1063" i="4"/>
  <c r="L1062" i="4"/>
  <c r="D1062" i="4"/>
  <c r="L1102" i="4"/>
  <c r="L1061" i="4"/>
  <c r="D1102" i="4"/>
  <c r="D1061" i="4"/>
  <c r="B1124" i="1"/>
  <c r="J1104" i="1"/>
  <c r="B1102" i="1"/>
  <c r="J1098" i="1"/>
  <c r="B1096" i="1"/>
  <c r="J1092" i="1"/>
  <c r="B1082" i="1"/>
  <c r="C1098" i="4"/>
  <c r="M1097" i="4"/>
  <c r="E1097" i="4"/>
  <c r="K1097" i="4"/>
  <c r="C1097" i="4"/>
  <c r="I1096" i="4"/>
  <c r="O1096" i="4"/>
  <c r="G1096" i="4"/>
  <c r="K1096" i="4"/>
  <c r="C1096" i="4"/>
  <c r="O1095" i="4"/>
  <c r="G1095" i="4"/>
  <c r="M1095" i="4"/>
  <c r="E1095" i="4"/>
  <c r="K1095" i="4"/>
  <c r="C1095" i="4"/>
  <c r="O1094" i="4"/>
  <c r="G1094" i="4"/>
  <c r="K1094" i="4"/>
  <c r="M1093" i="4"/>
  <c r="E1093" i="4"/>
  <c r="K1093" i="4"/>
  <c r="C1093" i="4"/>
  <c r="I1092" i="4"/>
  <c r="G1092" i="4"/>
  <c r="K1092" i="4"/>
  <c r="C1092" i="4"/>
  <c r="O1091" i="4"/>
  <c r="G1091" i="4"/>
  <c r="M1091" i="4"/>
  <c r="K1091" i="4"/>
  <c r="C1091" i="4"/>
  <c r="G1090" i="4"/>
  <c r="M1090" i="4"/>
  <c r="K1090" i="4"/>
  <c r="C1090" i="4"/>
  <c r="I1089" i="4"/>
  <c r="M1089" i="4"/>
  <c r="E1089" i="4"/>
  <c r="K1089" i="4"/>
  <c r="C1089" i="4"/>
  <c r="I1088" i="4"/>
  <c r="K1088" i="4"/>
  <c r="C1088" i="4"/>
  <c r="I1087" i="4"/>
  <c r="O1087" i="4"/>
  <c r="G1087" i="4"/>
  <c r="M1087" i="4"/>
  <c r="E1087" i="4"/>
  <c r="K1087" i="4"/>
  <c r="C1087" i="4"/>
  <c r="M1086" i="4"/>
  <c r="E1086" i="4"/>
  <c r="K1086" i="4"/>
  <c r="C1086" i="4"/>
  <c r="I1085" i="4"/>
  <c r="M1085" i="4"/>
  <c r="E1085" i="4"/>
  <c r="K1085" i="4"/>
  <c r="C1085" i="4"/>
  <c r="I1084" i="4"/>
  <c r="O1084" i="4"/>
  <c r="G1084" i="4"/>
  <c r="K1084" i="4"/>
  <c r="C1084" i="4"/>
  <c r="I1083" i="4"/>
  <c r="O1083" i="4"/>
  <c r="G1083" i="4"/>
  <c r="M1083" i="4"/>
  <c r="E1083" i="4"/>
  <c r="K1083" i="4"/>
  <c r="C1083" i="4"/>
  <c r="O1082" i="4"/>
  <c r="G1082" i="4"/>
  <c r="M1082" i="4"/>
  <c r="E1082" i="4"/>
  <c r="K1082" i="4"/>
  <c r="C1082" i="4"/>
  <c r="I1081" i="4"/>
  <c r="M1081" i="4"/>
  <c r="E1081" i="4"/>
  <c r="K1081" i="4"/>
  <c r="C1081" i="4"/>
  <c r="I1080" i="4"/>
  <c r="G1102" i="4"/>
  <c r="B1076" i="1"/>
  <c r="B1074" i="1"/>
  <c r="J1070" i="1"/>
  <c r="J1068" i="1"/>
  <c r="D1064" i="1"/>
  <c r="J1132" i="4"/>
  <c r="B1132" i="4"/>
  <c r="H1132" i="4"/>
  <c r="N1132" i="4"/>
  <c r="F1132" i="4"/>
  <c r="J1131" i="4"/>
  <c r="B1131" i="4"/>
  <c r="H1131" i="4"/>
  <c r="N1131" i="4"/>
  <c r="F1131" i="4"/>
  <c r="J1130" i="4"/>
  <c r="B1130" i="4"/>
  <c r="H1130" i="4"/>
  <c r="N1130" i="4"/>
  <c r="F1130" i="4"/>
  <c r="J1129" i="4"/>
  <c r="B1129" i="4"/>
  <c r="H1129" i="4"/>
  <c r="N1129" i="4"/>
  <c r="F1129" i="4"/>
  <c r="J1128" i="4"/>
  <c r="B1128" i="4"/>
  <c r="H1128" i="4"/>
  <c r="N1128" i="4"/>
  <c r="F1128" i="4"/>
  <c r="J1127" i="4"/>
  <c r="B1127" i="4"/>
  <c r="H1127" i="4"/>
  <c r="N1127" i="4"/>
  <c r="F1127" i="4"/>
  <c r="J1126" i="4"/>
  <c r="B1126" i="4"/>
  <c r="H1126" i="4"/>
  <c r="N1126" i="4"/>
  <c r="F1126" i="4"/>
  <c r="J1125" i="4"/>
  <c r="B1125" i="4"/>
  <c r="H1125" i="4"/>
  <c r="N1125" i="4"/>
  <c r="F1125" i="4"/>
  <c r="J1124" i="4"/>
  <c r="B1124" i="4"/>
  <c r="H1124" i="4"/>
  <c r="N1124" i="4"/>
  <c r="F1124" i="4"/>
  <c r="J1123" i="4"/>
  <c r="B1123" i="4"/>
  <c r="H1123" i="4"/>
  <c r="N1123" i="4"/>
  <c r="F1123" i="4"/>
  <c r="J1122" i="4"/>
  <c r="B1122" i="4"/>
  <c r="H1122" i="4"/>
  <c r="N1122" i="4"/>
  <c r="F1122" i="4"/>
  <c r="J1121" i="4"/>
  <c r="B1121" i="4"/>
  <c r="H1121" i="4"/>
  <c r="N1121" i="4"/>
  <c r="F1121" i="4"/>
  <c r="J1120" i="4"/>
  <c r="B1120" i="4"/>
  <c r="H1120" i="4"/>
  <c r="F1120" i="4"/>
  <c r="J1119" i="4"/>
  <c r="B1119" i="4"/>
  <c r="H1119" i="4"/>
  <c r="N1119" i="4"/>
  <c r="F1119" i="4"/>
  <c r="J1118" i="4"/>
  <c r="B1118" i="4"/>
  <c r="H1118" i="4"/>
  <c r="N1118" i="4"/>
  <c r="F1118" i="4"/>
  <c r="J1117" i="4"/>
  <c r="B1117" i="4"/>
  <c r="H1117" i="4"/>
  <c r="N1117" i="4"/>
  <c r="F1117" i="4"/>
  <c r="J1116" i="4"/>
  <c r="B1116" i="4"/>
  <c r="H1116" i="4"/>
  <c r="N1116" i="4"/>
  <c r="F1116" i="4"/>
  <c r="J1115" i="4"/>
  <c r="B1115" i="4"/>
  <c r="H1115" i="4"/>
  <c r="N1115" i="4"/>
  <c r="F1115" i="4"/>
  <c r="H1105" i="4"/>
  <c r="B1095" i="4"/>
  <c r="P1130" i="1"/>
  <c r="O1080" i="4"/>
  <c r="G1080" i="4"/>
  <c r="K1080" i="4"/>
  <c r="C1080" i="4"/>
  <c r="I1079" i="4"/>
  <c r="O1079" i="4"/>
  <c r="G1079" i="4"/>
  <c r="M1079" i="4"/>
  <c r="E1079" i="4"/>
  <c r="K1079" i="4"/>
  <c r="C1079" i="4"/>
  <c r="O1078" i="4"/>
  <c r="G1078" i="4"/>
  <c r="M1078" i="4"/>
  <c r="E1078" i="4"/>
  <c r="K1078" i="4"/>
  <c r="C1078" i="4"/>
  <c r="I1077" i="4"/>
  <c r="M1077" i="4"/>
  <c r="E1077" i="4"/>
  <c r="K1077" i="4"/>
  <c r="C1077" i="4"/>
  <c r="I1076" i="4"/>
  <c r="O1076" i="4"/>
  <c r="G1076" i="4"/>
  <c r="K1076" i="4"/>
  <c r="C1076" i="4"/>
  <c r="I1075" i="4"/>
  <c r="O1075" i="4"/>
  <c r="G1075" i="4"/>
  <c r="M1075" i="4"/>
  <c r="E1075" i="4"/>
  <c r="K1075" i="4"/>
  <c r="C1075" i="4"/>
  <c r="O1074" i="4"/>
  <c r="G1074" i="4"/>
  <c r="M1074" i="4"/>
  <c r="E1074" i="4"/>
  <c r="K1074" i="4"/>
  <c r="C1074" i="4"/>
  <c r="I1073" i="4"/>
  <c r="M1073" i="4"/>
  <c r="E1073" i="4"/>
  <c r="K1073" i="4"/>
  <c r="C1073" i="4"/>
  <c r="I1072" i="4"/>
  <c r="O1072" i="4"/>
  <c r="G1072" i="4"/>
  <c r="K1072" i="4"/>
  <c r="C1072" i="4"/>
  <c r="I1071" i="4"/>
  <c r="O1071" i="4"/>
  <c r="G1071" i="4"/>
  <c r="M1071" i="4"/>
  <c r="E1071" i="4"/>
  <c r="K1071" i="4"/>
  <c r="C1071" i="4"/>
  <c r="O1070" i="4"/>
  <c r="G1070" i="4"/>
  <c r="M1070" i="4"/>
  <c r="E1070" i="4"/>
  <c r="K1070" i="4"/>
  <c r="C1070" i="4"/>
  <c r="I1069" i="4"/>
  <c r="M1069" i="4"/>
  <c r="E1069" i="4"/>
  <c r="K1069" i="4"/>
  <c r="C1069" i="4"/>
  <c r="O1068" i="4"/>
  <c r="G1068" i="4"/>
  <c r="K1068" i="4"/>
  <c r="C1068" i="4"/>
  <c r="I1067" i="4"/>
  <c r="O1067" i="4"/>
  <c r="G1067" i="4"/>
  <c r="M1067" i="4"/>
  <c r="E1067" i="4"/>
  <c r="K1067" i="4"/>
  <c r="C1067" i="4"/>
  <c r="O1066" i="4"/>
  <c r="G1066" i="4"/>
  <c r="M1066" i="4"/>
  <c r="E1066" i="4"/>
  <c r="K1066" i="4"/>
  <c r="C1066" i="4"/>
  <c r="I1065" i="4"/>
  <c r="M1065" i="4"/>
  <c r="E1065" i="4"/>
  <c r="K1065" i="4"/>
  <c r="C1065" i="4"/>
  <c r="I1064" i="4"/>
  <c r="O1064" i="4"/>
  <c r="G1064" i="4"/>
  <c r="K1064" i="4"/>
  <c r="C1064" i="4"/>
  <c r="I1063" i="4"/>
  <c r="O1063" i="4"/>
  <c r="G1063" i="4"/>
  <c r="M1063" i="4"/>
  <c r="E1063" i="4"/>
  <c r="K1063" i="4"/>
  <c r="C1063" i="4"/>
  <c r="O1062" i="4"/>
  <c r="G1062" i="4"/>
  <c r="M1062" i="4"/>
  <c r="E1062" i="4"/>
  <c r="K1062" i="4"/>
  <c r="C1062" i="4"/>
  <c r="I1061" i="4"/>
  <c r="O1102" i="4"/>
  <c r="M1061" i="4"/>
  <c r="M1102" i="4"/>
  <c r="E1102" i="4"/>
  <c r="E1061" i="4"/>
  <c r="K1102" i="4"/>
  <c r="K1061" i="4"/>
  <c r="C1102" i="4"/>
  <c r="C1061" i="4"/>
  <c r="E1127" i="1"/>
  <c r="D1125" i="1"/>
  <c r="E1123" i="1"/>
  <c r="H1122" i="1"/>
  <c r="D1121" i="1"/>
  <c r="H1120" i="1"/>
  <c r="E1119" i="1"/>
  <c r="H1118" i="1"/>
  <c r="H1116" i="1"/>
  <c r="H1108" i="1"/>
  <c r="E1107" i="1"/>
  <c r="E1103" i="1"/>
  <c r="D1097" i="1"/>
  <c r="D1091" i="1"/>
  <c r="H1080" i="1"/>
  <c r="E1069" i="1"/>
  <c r="B1130" i="1"/>
  <c r="J1130" i="1"/>
  <c r="C1130" i="1"/>
  <c r="L1130" i="1"/>
  <c r="D1130" i="1"/>
  <c r="M1130" i="1"/>
  <c r="F1130" i="1"/>
  <c r="A1131" i="1"/>
  <c r="G1130" i="1"/>
  <c r="H1130" i="1"/>
  <c r="O1130" i="1"/>
  <c r="C1109" i="3"/>
  <c r="C1108" i="3"/>
  <c r="C1106" i="3"/>
  <c r="C1105" i="3"/>
  <c r="C1101" i="3"/>
  <c r="C1100" i="3"/>
  <c r="C1098" i="3"/>
  <c r="C1093" i="3"/>
  <c r="C1092" i="3"/>
  <c r="C1089" i="3"/>
  <c r="C1109" i="1"/>
  <c r="C1107" i="1"/>
  <c r="G1106" i="1"/>
  <c r="C1105" i="1"/>
  <c r="G1104" i="1"/>
  <c r="C1103" i="1"/>
  <c r="G1102" i="1"/>
  <c r="C1101" i="1"/>
  <c r="G1100" i="1"/>
  <c r="C1099" i="1"/>
  <c r="C1097" i="1"/>
  <c r="G1096" i="1"/>
  <c r="C1095" i="1"/>
  <c r="G1094" i="1"/>
  <c r="C1093" i="1"/>
  <c r="C1091" i="1"/>
  <c r="G1090" i="1"/>
  <c r="C1089" i="1"/>
  <c r="G1088" i="1"/>
  <c r="C1087" i="1"/>
  <c r="C1085" i="1"/>
  <c r="G1084" i="1"/>
  <c r="G1082" i="1"/>
  <c r="C1081" i="1"/>
  <c r="G1080" i="1"/>
  <c r="C1079" i="1"/>
  <c r="G1078" i="1"/>
  <c r="C1077" i="1"/>
  <c r="G1076" i="1"/>
  <c r="C1075" i="1"/>
  <c r="G1074" i="1"/>
  <c r="C1073" i="1"/>
  <c r="G1072" i="1"/>
  <c r="C1071" i="1"/>
  <c r="G1070" i="1"/>
  <c r="C1067" i="1"/>
  <c r="G1066" i="1"/>
  <c r="C1065" i="1"/>
  <c r="G1064" i="1"/>
  <c r="I1064" i="1"/>
  <c r="C1064" i="1"/>
  <c r="G1063" i="1"/>
  <c r="R1063" i="1"/>
  <c r="C1063" i="1"/>
  <c r="R1062" i="1"/>
  <c r="C1061" i="1"/>
  <c r="C1110" i="3"/>
  <c r="D1110" i="3"/>
  <c r="E1110" i="3"/>
  <c r="B1110" i="3"/>
  <c r="A1111" i="3"/>
  <c r="J1114" i="4"/>
  <c r="B1114" i="4"/>
  <c r="H1114" i="4"/>
  <c r="N1114" i="4"/>
  <c r="F1114" i="4"/>
  <c r="J1113" i="4"/>
  <c r="B1113" i="4"/>
  <c r="H1113" i="4"/>
  <c r="N1113" i="4"/>
  <c r="F1113" i="4"/>
  <c r="J1112" i="4"/>
  <c r="B1112" i="4"/>
  <c r="H1112" i="4"/>
  <c r="F1112" i="4"/>
  <c r="J1111" i="4"/>
  <c r="B1111" i="4"/>
  <c r="H1111" i="4"/>
  <c r="N1111" i="4"/>
  <c r="F1111" i="4"/>
  <c r="J1110" i="4"/>
  <c r="B1110" i="4"/>
  <c r="H1110" i="4"/>
  <c r="N1110" i="4"/>
  <c r="F1110" i="4"/>
  <c r="J1109" i="4"/>
  <c r="B1109" i="4"/>
  <c r="H1109" i="4"/>
  <c r="N1109" i="4"/>
  <c r="F1109" i="4"/>
  <c r="J1108" i="4"/>
  <c r="B1108" i="4"/>
  <c r="H1108" i="4"/>
  <c r="N1108" i="4"/>
  <c r="F1108" i="4"/>
  <c r="J1107" i="4"/>
  <c r="B1107" i="4"/>
  <c r="H1107" i="4"/>
  <c r="N1107" i="4"/>
  <c r="F1107" i="4"/>
  <c r="J1106" i="4"/>
  <c r="B1106" i="4"/>
  <c r="H1106" i="4"/>
  <c r="N1106" i="4"/>
  <c r="F1106" i="4"/>
  <c r="J1105" i="4"/>
  <c r="B1105" i="4"/>
  <c r="N1105" i="4"/>
  <c r="F1105" i="4"/>
  <c r="J1104" i="4"/>
  <c r="B1104" i="4"/>
  <c r="H1104" i="4"/>
  <c r="N1104" i="4"/>
  <c r="F1104" i="4"/>
  <c r="J1103" i="4"/>
  <c r="B1103" i="4"/>
  <c r="H1103" i="4"/>
  <c r="N1103" i="4"/>
  <c r="F1103" i="4"/>
  <c r="J1101" i="4"/>
  <c r="B1101" i="4"/>
  <c r="H1101" i="4"/>
  <c r="N1101" i="4"/>
  <c r="F1101" i="4"/>
  <c r="J1100" i="4"/>
  <c r="B1100" i="4"/>
  <c r="H1100" i="4"/>
  <c r="F1100" i="4"/>
  <c r="J1099" i="4"/>
  <c r="B1099" i="4"/>
  <c r="H1099" i="4"/>
  <c r="N1099" i="4"/>
  <c r="F1099" i="4"/>
  <c r="J1098" i="4"/>
  <c r="B1098" i="4"/>
  <c r="H1098" i="4"/>
  <c r="N1098" i="4"/>
  <c r="F1098" i="4"/>
  <c r="J1097" i="4"/>
  <c r="B1097" i="4"/>
  <c r="H1097" i="4"/>
  <c r="N1097" i="4"/>
  <c r="F1097" i="4"/>
  <c r="J1096" i="4"/>
  <c r="B1096" i="4"/>
  <c r="H1096" i="4"/>
  <c r="N1096" i="4"/>
  <c r="F1096" i="4"/>
  <c r="J1095" i="4"/>
  <c r="H1095" i="4"/>
  <c r="N1095" i="4"/>
  <c r="F1095" i="4"/>
  <c r="J1094" i="4"/>
  <c r="B1094" i="4"/>
  <c r="H1094" i="4"/>
  <c r="N1094" i="4"/>
  <c r="F1094" i="4"/>
  <c r="J1093" i="4"/>
  <c r="B1093" i="4"/>
  <c r="H1093" i="4"/>
  <c r="N1093" i="4"/>
  <c r="F1093" i="4"/>
  <c r="J1092" i="4"/>
  <c r="B1092" i="4"/>
  <c r="H1092" i="4"/>
  <c r="N1092" i="4"/>
  <c r="F1092" i="4"/>
  <c r="J1091" i="4"/>
  <c r="B1091" i="4"/>
  <c r="H1091" i="4"/>
  <c r="N1091" i="4"/>
  <c r="F1091" i="4"/>
  <c r="J1090" i="4"/>
  <c r="B1090" i="4"/>
  <c r="H1090" i="4"/>
  <c r="N1090" i="4"/>
  <c r="F1090" i="4"/>
  <c r="J1089" i="4"/>
  <c r="B1089" i="4"/>
  <c r="H1089" i="4"/>
  <c r="N1089" i="4"/>
  <c r="F1089" i="4"/>
  <c r="J1088" i="4"/>
  <c r="B1088" i="4"/>
  <c r="H1088" i="4"/>
  <c r="N1088" i="4"/>
  <c r="F1088" i="4"/>
  <c r="J1087" i="4"/>
  <c r="B1087" i="4"/>
  <c r="H1087" i="4"/>
  <c r="N1087" i="4"/>
  <c r="F1087" i="4"/>
  <c r="J1086" i="4"/>
  <c r="B1086" i="4"/>
  <c r="H1086" i="4"/>
  <c r="N1086" i="4"/>
  <c r="F1086" i="4"/>
  <c r="J1085" i="4"/>
  <c r="B1085" i="4"/>
  <c r="H1085" i="4"/>
  <c r="N1085" i="4"/>
  <c r="F1085" i="4"/>
  <c r="J1084" i="4"/>
  <c r="B1084" i="4"/>
  <c r="H1084" i="4"/>
  <c r="N1084" i="4"/>
  <c r="F1084" i="4"/>
  <c r="J1083" i="4"/>
  <c r="B1083" i="4"/>
  <c r="H1083" i="4"/>
  <c r="N1083" i="4"/>
  <c r="F1083" i="4"/>
  <c r="J1082" i="4"/>
  <c r="B1082" i="4"/>
  <c r="H1082" i="4"/>
  <c r="N1082" i="4"/>
  <c r="F1082" i="4"/>
  <c r="J1081" i="4"/>
  <c r="B1081" i="4"/>
  <c r="H1081" i="4"/>
  <c r="N1081" i="4"/>
  <c r="F1081" i="4"/>
  <c r="J1080" i="4"/>
  <c r="B1080" i="4"/>
  <c r="H1080" i="4"/>
  <c r="N1080" i="4"/>
  <c r="F1080" i="4"/>
  <c r="J1079" i="4"/>
  <c r="B1079" i="4"/>
  <c r="H1079" i="4"/>
  <c r="N1079" i="4"/>
  <c r="F1079" i="4"/>
  <c r="J1078" i="4"/>
  <c r="B1078" i="4"/>
  <c r="H1078" i="4"/>
  <c r="N1078" i="4"/>
  <c r="F1078" i="4"/>
  <c r="J1077" i="4"/>
  <c r="B1077" i="4"/>
  <c r="H1077" i="4"/>
  <c r="N1077" i="4"/>
  <c r="F1077" i="4"/>
  <c r="J1076" i="4"/>
  <c r="B1076" i="4"/>
  <c r="H1076" i="4"/>
  <c r="N1076" i="4"/>
  <c r="F1076" i="4"/>
  <c r="J1075" i="4"/>
  <c r="B1075" i="4"/>
  <c r="H1075" i="4"/>
  <c r="N1075" i="4"/>
  <c r="F1075" i="4"/>
  <c r="J1074" i="4"/>
  <c r="B1074" i="4"/>
  <c r="H1074" i="4"/>
  <c r="N1074" i="4"/>
  <c r="F1074" i="4"/>
  <c r="J1073" i="4"/>
  <c r="B1073" i="4"/>
  <c r="H1073" i="4"/>
  <c r="N1073" i="4"/>
  <c r="F1073" i="4"/>
  <c r="J1072" i="4"/>
  <c r="B1072" i="4"/>
  <c r="H1072" i="4"/>
  <c r="N1072" i="4"/>
  <c r="F1072" i="4"/>
  <c r="J1071" i="4"/>
  <c r="B1071" i="4"/>
  <c r="H1071" i="4"/>
  <c r="N1071" i="4"/>
  <c r="F1071" i="4"/>
  <c r="J1070" i="4"/>
  <c r="B1070" i="4"/>
  <c r="H1070" i="4"/>
  <c r="N1070" i="4"/>
  <c r="F1070" i="4"/>
  <c r="J1069" i="4"/>
  <c r="B1069" i="4"/>
  <c r="H1069" i="4"/>
  <c r="N1069" i="4"/>
  <c r="F1069" i="4"/>
  <c r="J1068" i="4"/>
  <c r="B1068" i="4"/>
  <c r="H1068" i="4"/>
  <c r="N1068" i="4"/>
  <c r="F1068" i="4"/>
  <c r="J1067" i="4"/>
  <c r="B1067" i="4"/>
  <c r="H1067" i="4"/>
  <c r="N1067" i="4"/>
  <c r="F1067" i="4"/>
  <c r="J1066" i="4"/>
  <c r="B1066" i="4"/>
  <c r="H1066" i="4"/>
  <c r="N1066" i="4"/>
  <c r="F1066" i="4"/>
  <c r="J1065" i="4"/>
  <c r="B1065" i="4"/>
  <c r="H1065" i="4"/>
  <c r="N1065" i="4"/>
  <c r="F1065" i="4"/>
  <c r="B1064" i="4"/>
  <c r="H1064" i="4"/>
  <c r="N1064" i="4"/>
  <c r="F1064" i="4"/>
  <c r="J1063" i="4"/>
  <c r="B1063" i="4"/>
  <c r="H1063" i="4"/>
  <c r="N1063" i="4"/>
  <c r="F1063" i="4"/>
  <c r="J1062" i="4"/>
  <c r="B1062" i="4"/>
  <c r="H1062" i="4"/>
  <c r="N1062" i="4"/>
  <c r="F1062" i="4"/>
  <c r="J1061" i="4"/>
  <c r="J1102" i="4"/>
  <c r="B1102" i="4"/>
  <c r="B1061" i="4"/>
  <c r="H1061" i="4"/>
  <c r="H1102" i="4"/>
  <c r="N1061" i="4"/>
  <c r="N1102" i="4"/>
  <c r="F1102" i="4"/>
  <c r="F1061" i="4"/>
  <c r="B1128" i="1"/>
  <c r="J1126" i="1"/>
  <c r="F1125" i="1"/>
  <c r="F1123" i="1"/>
  <c r="J1122" i="1"/>
  <c r="B1122" i="1"/>
  <c r="F1121" i="1"/>
  <c r="F1119" i="1"/>
  <c r="J1118" i="1"/>
  <c r="B1118" i="1"/>
  <c r="F1117" i="1"/>
  <c r="F1115" i="1"/>
  <c r="J1114" i="1"/>
  <c r="B1114" i="1"/>
  <c r="F1113" i="1"/>
  <c r="F1111" i="1"/>
  <c r="J1110" i="1"/>
  <c r="F1109" i="1"/>
  <c r="B1108" i="1"/>
  <c r="F1107" i="1"/>
  <c r="B1106" i="1"/>
  <c r="F1105" i="1"/>
  <c r="F1103" i="1"/>
  <c r="J1102" i="1"/>
  <c r="F1101" i="1"/>
  <c r="B1100" i="1"/>
  <c r="F1099" i="1"/>
  <c r="B1098" i="1"/>
  <c r="F1097" i="1"/>
  <c r="F1095" i="1"/>
  <c r="J1094" i="1"/>
  <c r="F1093" i="1"/>
  <c r="B1092" i="1"/>
  <c r="F1091" i="1"/>
  <c r="B1090" i="1"/>
  <c r="F1089" i="1"/>
  <c r="F1087" i="1"/>
  <c r="J1086" i="1"/>
  <c r="F1085" i="1"/>
  <c r="B1084" i="1"/>
  <c r="F1083" i="1"/>
  <c r="J1082" i="1"/>
  <c r="F1081" i="1"/>
  <c r="J1080" i="1"/>
  <c r="B1080" i="1"/>
  <c r="F1079" i="1"/>
  <c r="J1078" i="1"/>
  <c r="J1076" i="1"/>
  <c r="F1073" i="1"/>
  <c r="J1072" i="1"/>
  <c r="B1072" i="1"/>
  <c r="F1071" i="1"/>
  <c r="B1068" i="1"/>
  <c r="B1066" i="1"/>
  <c r="F1065" i="1"/>
  <c r="D1063" i="1"/>
  <c r="F1063" i="1"/>
  <c r="R1061" i="1"/>
  <c r="D1061" i="1"/>
  <c r="F1061" i="1"/>
  <c r="D1129" i="1"/>
  <c r="I1128" i="1"/>
  <c r="H1126" i="1"/>
  <c r="D1119" i="1"/>
  <c r="D1115" i="1"/>
  <c r="I1114" i="1"/>
  <c r="H1110" i="1"/>
  <c r="E1109" i="1"/>
  <c r="I1108" i="1"/>
  <c r="H1104" i="1"/>
  <c r="D1103" i="1"/>
  <c r="I1102" i="1"/>
  <c r="E1101" i="1"/>
  <c r="I1096" i="1"/>
  <c r="D1095" i="1"/>
  <c r="I1094" i="1"/>
  <c r="D1093" i="1"/>
  <c r="I1088" i="1"/>
  <c r="D1087" i="1"/>
  <c r="H1086" i="1"/>
  <c r="E1085" i="1"/>
  <c r="I1084" i="1"/>
  <c r="E1083" i="1"/>
  <c r="I1082" i="1"/>
  <c r="E1081" i="1"/>
  <c r="I1080" i="1"/>
  <c r="D1079" i="1"/>
  <c r="E1079" i="1"/>
  <c r="H1078" i="1"/>
  <c r="I1078" i="1"/>
  <c r="D1077" i="1"/>
  <c r="E1077" i="1"/>
  <c r="H1076" i="1"/>
  <c r="I1076" i="1"/>
  <c r="E1075" i="1"/>
  <c r="H1074" i="1"/>
  <c r="I1074" i="1"/>
  <c r="H1072" i="1"/>
  <c r="D1071" i="1"/>
  <c r="H1070" i="1"/>
  <c r="D1069" i="1"/>
  <c r="I1068" i="1"/>
  <c r="E1067" i="1"/>
  <c r="I1066" i="1"/>
  <c r="E1064" i="1"/>
  <c r="E1063" i="1"/>
  <c r="E1061" i="1"/>
  <c r="J1128" i="1"/>
  <c r="I1126" i="1"/>
  <c r="I1124" i="1"/>
  <c r="D1123" i="1"/>
  <c r="I1122" i="1"/>
  <c r="I1120" i="1"/>
  <c r="I1118" i="1"/>
  <c r="I1116" i="1"/>
  <c r="I1112" i="1"/>
  <c r="D1111" i="1"/>
  <c r="I1110" i="1"/>
  <c r="D1109" i="1"/>
  <c r="I1106" i="1"/>
  <c r="I1104" i="1"/>
  <c r="H1102" i="1"/>
  <c r="D1101" i="1"/>
  <c r="I1100" i="1"/>
  <c r="I1098" i="1"/>
  <c r="H1096" i="1"/>
  <c r="H1094" i="1"/>
  <c r="E1093" i="1"/>
  <c r="I1092" i="1"/>
  <c r="I1090" i="1"/>
  <c r="H1088" i="1"/>
  <c r="I1086" i="1"/>
  <c r="D1085" i="1"/>
  <c r="D1083" i="1"/>
  <c r="D1081" i="1"/>
  <c r="D1107" i="3"/>
  <c r="D1106" i="3"/>
  <c r="D1105" i="3"/>
  <c r="D1104" i="3"/>
  <c r="D1102" i="3"/>
  <c r="D1099" i="3"/>
  <c r="D1098" i="3"/>
  <c r="D1097" i="3"/>
  <c r="D1096" i="3"/>
  <c r="D1094" i="3"/>
  <c r="D1091" i="3"/>
  <c r="D1090" i="3"/>
  <c r="D1089" i="3"/>
  <c r="D1088" i="3"/>
  <c r="D1086" i="3"/>
  <c r="D1084" i="3"/>
  <c r="D1083" i="3"/>
  <c r="D1082" i="3"/>
  <c r="D1080" i="3"/>
  <c r="D1079" i="3"/>
  <c r="D1078" i="3"/>
  <c r="D1076" i="3"/>
  <c r="D1075" i="3"/>
  <c r="D1074" i="3"/>
  <c r="D1072" i="3"/>
  <c r="D1071" i="3"/>
  <c r="D1070" i="3"/>
  <c r="D1068" i="3"/>
  <c r="D1067" i="3"/>
  <c r="D1066" i="3"/>
  <c r="D1064" i="3"/>
  <c r="D1063" i="3"/>
  <c r="D1062" i="3"/>
  <c r="C1107" i="3"/>
  <c r="C1104" i="3"/>
  <c r="C1103" i="3"/>
  <c r="C1102" i="3"/>
  <c r="C1099" i="3"/>
  <c r="C1096" i="3"/>
  <c r="C1095" i="3"/>
  <c r="C1094" i="3"/>
  <c r="C1091" i="3"/>
  <c r="C1088" i="3"/>
  <c r="C1087" i="3"/>
  <c r="C1086" i="3"/>
  <c r="B1109" i="3"/>
  <c r="B1108" i="3"/>
  <c r="B1107" i="3"/>
  <c r="B1104" i="3"/>
  <c r="B1101" i="3"/>
  <c r="B1100" i="3"/>
  <c r="B1099" i="3"/>
  <c r="B1096" i="3"/>
  <c r="B1093" i="3"/>
  <c r="B1092" i="3"/>
  <c r="B1091" i="3"/>
  <c r="B1088" i="3"/>
  <c r="B1085" i="3"/>
  <c r="B1083" i="3"/>
  <c r="B1081" i="3"/>
  <c r="B1079" i="3"/>
  <c r="B1077" i="3"/>
  <c r="B1075" i="3"/>
  <c r="B1073" i="3"/>
  <c r="B1071" i="3"/>
  <c r="B1069" i="3"/>
  <c r="B1067" i="3"/>
  <c r="B1065" i="3"/>
  <c r="B1063" i="3"/>
  <c r="O1147" i="4"/>
  <c r="G1147" i="4"/>
  <c r="M1147" i="4"/>
  <c r="E1147" i="4"/>
  <c r="M1146" i="4"/>
  <c r="E1146" i="4"/>
  <c r="I1145" i="4"/>
  <c r="I1144" i="4"/>
  <c r="O1144" i="4"/>
  <c r="G1144" i="4"/>
  <c r="O1143" i="4"/>
  <c r="G1143" i="4"/>
  <c r="M1143" i="4"/>
  <c r="E1143" i="4"/>
  <c r="M1142" i="4"/>
  <c r="E1142" i="4"/>
  <c r="I1141" i="4"/>
  <c r="I1140" i="4"/>
  <c r="O1140" i="4"/>
  <c r="G1140" i="4"/>
  <c r="O1139" i="4"/>
  <c r="G1139" i="4"/>
  <c r="M1139" i="4"/>
  <c r="E1139" i="4"/>
  <c r="M1138" i="4"/>
  <c r="E1138" i="4"/>
  <c r="I1137" i="4"/>
  <c r="I1136" i="4"/>
  <c r="O1136" i="4"/>
  <c r="G1136" i="4"/>
  <c r="O1135" i="4"/>
  <c r="G1135" i="4"/>
  <c r="M1135" i="4"/>
  <c r="E1135" i="4"/>
  <c r="M1134" i="4"/>
  <c r="E1134" i="4"/>
  <c r="I1133" i="4"/>
  <c r="I1132" i="4"/>
  <c r="O1132" i="4"/>
  <c r="G1132" i="4"/>
  <c r="O1131" i="4"/>
  <c r="G1131" i="4"/>
  <c r="M1130" i="4"/>
  <c r="E1130" i="4"/>
  <c r="I1128" i="4"/>
  <c r="O1127" i="4"/>
  <c r="G1127" i="4"/>
  <c r="M1126" i="4"/>
  <c r="E1126" i="4"/>
  <c r="I1124" i="4"/>
  <c r="O1123" i="4"/>
  <c r="G1123" i="4"/>
  <c r="M1122" i="4"/>
  <c r="E1122" i="4"/>
  <c r="I1120" i="4"/>
  <c r="O1119" i="4"/>
  <c r="G1119" i="4"/>
  <c r="M1118" i="4"/>
  <c r="E1118" i="4"/>
  <c r="I1116" i="4"/>
  <c r="I1115" i="4"/>
  <c r="O1115" i="4"/>
  <c r="G1115" i="4"/>
  <c r="E1115" i="4"/>
  <c r="I1114" i="4"/>
  <c r="O1114" i="4"/>
  <c r="G1114" i="4"/>
  <c r="O1113" i="4"/>
  <c r="O1112" i="4"/>
  <c r="G1112" i="4"/>
  <c r="E1112" i="4"/>
  <c r="G1111" i="4"/>
  <c r="M1110" i="4"/>
  <c r="O1109" i="4"/>
  <c r="M1113" i="4"/>
  <c r="E1113" i="4"/>
  <c r="I1111" i="4"/>
  <c r="O1110" i="4"/>
  <c r="G1110" i="4"/>
  <c r="G1109" i="4"/>
  <c r="M1109" i="4"/>
  <c r="E1109" i="4"/>
  <c r="I1108" i="4"/>
  <c r="M1108" i="4"/>
  <c r="E1108" i="4"/>
  <c r="O1107" i="4"/>
  <c r="E1107" i="4"/>
  <c r="I1106" i="4"/>
  <c r="O1105" i="4"/>
  <c r="G1105" i="4"/>
  <c r="E1105" i="4"/>
  <c r="M1104" i="4"/>
  <c r="E1104" i="4"/>
  <c r="O1103" i="4"/>
  <c r="G1103" i="4"/>
  <c r="O1101" i="4"/>
  <c r="G1101" i="4"/>
  <c r="M1100" i="4"/>
  <c r="E1100" i="4"/>
  <c r="G1099" i="4"/>
  <c r="I1098" i="4"/>
  <c r="M1098" i="4"/>
  <c r="I1097" i="4"/>
  <c r="O1097" i="4"/>
  <c r="G1097" i="4"/>
  <c r="M1096" i="4"/>
  <c r="E1096" i="4"/>
  <c r="I1095" i="4"/>
  <c r="I1094" i="4"/>
  <c r="M1094" i="4"/>
  <c r="E1094" i="4"/>
  <c r="I1093" i="4"/>
  <c r="O1093" i="4"/>
  <c r="G1093" i="4"/>
  <c r="O1092" i="4"/>
  <c r="M1092" i="4"/>
  <c r="E1092" i="4"/>
  <c r="I1091" i="4"/>
  <c r="I1090" i="4"/>
  <c r="O1090" i="4"/>
  <c r="E1090" i="4"/>
  <c r="O1088" i="4"/>
  <c r="G1088" i="4"/>
  <c r="O1086" i="4"/>
  <c r="G1086" i="4"/>
  <c r="O1089" i="4"/>
  <c r="G1089" i="4"/>
  <c r="M1088" i="4"/>
  <c r="E1088" i="4"/>
  <c r="I1086" i="4"/>
  <c r="O1085" i="4"/>
  <c r="G1085" i="4"/>
  <c r="M1084" i="4"/>
  <c r="E1084" i="4"/>
  <c r="I1082" i="4"/>
  <c r="O1081" i="4"/>
  <c r="G1081" i="4"/>
  <c r="M1080" i="4"/>
  <c r="E1080" i="4"/>
  <c r="I1078" i="4"/>
  <c r="O1077" i="4"/>
  <c r="G1077" i="4"/>
  <c r="M1076" i="4"/>
  <c r="E1076" i="4"/>
  <c r="I1074" i="4"/>
  <c r="O1073" i="4"/>
  <c r="G1073" i="4"/>
  <c r="M1072" i="4"/>
  <c r="E1072" i="4"/>
  <c r="I1070" i="4"/>
  <c r="O1069" i="4"/>
  <c r="G1069" i="4"/>
  <c r="M1068" i="4"/>
  <c r="E1068" i="4"/>
  <c r="I1066" i="4"/>
  <c r="O1065" i="4"/>
  <c r="G1065" i="4"/>
  <c r="M1064" i="4"/>
  <c r="E1064" i="4"/>
  <c r="I1062" i="4"/>
  <c r="I1102" i="4"/>
  <c r="O1061" i="4"/>
  <c r="G1061" i="4"/>
  <c r="B1089" i="2" l="1"/>
  <c r="A1090" i="2"/>
  <c r="A1112" i="3"/>
  <c r="C1111" i="3"/>
  <c r="D1111" i="3"/>
  <c r="B1111" i="3"/>
  <c r="E1111" i="3"/>
  <c r="B1131" i="1"/>
  <c r="J1131" i="1"/>
  <c r="C1131" i="1"/>
  <c r="L1131" i="1"/>
  <c r="D1131" i="1"/>
  <c r="M1131" i="1"/>
  <c r="P1131" i="1"/>
  <c r="Q1131" i="1"/>
  <c r="A1132" i="1"/>
  <c r="E1131" i="1"/>
  <c r="F1131" i="1"/>
  <c r="I1131" i="1"/>
  <c r="N1131" i="1"/>
  <c r="O1131" i="1"/>
  <c r="H1131" i="1"/>
  <c r="G1131" i="1"/>
  <c r="B1132" i="1" l="1"/>
  <c r="J1132" i="1"/>
  <c r="C1132" i="1"/>
  <c r="L1132" i="1"/>
  <c r="D1132" i="1"/>
  <c r="M1132" i="1"/>
  <c r="N1132" i="1"/>
  <c r="O1132" i="1"/>
  <c r="P1132" i="1"/>
  <c r="G1132" i="1"/>
  <c r="H1132" i="1"/>
  <c r="A1133" i="1"/>
  <c r="Q1132" i="1"/>
  <c r="E1132" i="1"/>
  <c r="F1132" i="1"/>
  <c r="I1132" i="1"/>
  <c r="B1090" i="2"/>
  <c r="A1091" i="2"/>
  <c r="B1112" i="3"/>
  <c r="C1112" i="3"/>
  <c r="A1113" i="3"/>
  <c r="E1112" i="3"/>
  <c r="D1112" i="3"/>
  <c r="B1091" i="2" l="1"/>
  <c r="A1092" i="2"/>
  <c r="D1113" i="3"/>
  <c r="E1113" i="3"/>
  <c r="A1114" i="3"/>
  <c r="B1113" i="3"/>
  <c r="C1113" i="3"/>
  <c r="B1133" i="1"/>
  <c r="J1133" i="1"/>
  <c r="C1133" i="1"/>
  <c r="L1133" i="1"/>
  <c r="D1133" i="1"/>
  <c r="M1133" i="1"/>
  <c r="H1133" i="1"/>
  <c r="N1133" i="1"/>
  <c r="I1133" i="1"/>
  <c r="E1133" i="1"/>
  <c r="Q1133" i="1"/>
  <c r="F1133" i="1"/>
  <c r="G1133" i="1"/>
  <c r="A1134" i="1"/>
  <c r="O1133" i="1"/>
  <c r="P1133" i="1"/>
  <c r="A1093" i="2" l="1"/>
  <c r="B1092" i="2"/>
  <c r="B1134" i="1"/>
  <c r="J1134" i="1"/>
  <c r="L1134" i="1"/>
  <c r="C1134" i="1"/>
  <c r="D1134" i="1"/>
  <c r="M1134" i="1"/>
  <c r="F1134" i="1"/>
  <c r="A1135" i="1"/>
  <c r="G1134" i="1"/>
  <c r="H1134" i="1"/>
  <c r="O1134" i="1"/>
  <c r="P1134" i="1"/>
  <c r="Q1134" i="1"/>
  <c r="E1134" i="1"/>
  <c r="I1134" i="1"/>
  <c r="N1134" i="1"/>
  <c r="D1114" i="3"/>
  <c r="E1114" i="3"/>
  <c r="B1114" i="3"/>
  <c r="C1114" i="3"/>
  <c r="A1115" i="3"/>
  <c r="B1115" i="3" l="1"/>
  <c r="C1115" i="3"/>
  <c r="D1115" i="3"/>
  <c r="A1116" i="3"/>
  <c r="E1115" i="3"/>
  <c r="B1135" i="1"/>
  <c r="J1135" i="1"/>
  <c r="L1135" i="1"/>
  <c r="C1135" i="1"/>
  <c r="D1135" i="1"/>
  <c r="M1135" i="1"/>
  <c r="P1135" i="1"/>
  <c r="Q1135" i="1"/>
  <c r="A1136" i="1"/>
  <c r="E1135" i="1"/>
  <c r="F1135" i="1"/>
  <c r="I1135" i="1"/>
  <c r="N1135" i="1"/>
  <c r="O1135" i="1"/>
  <c r="G1135" i="1"/>
  <c r="H1135" i="1"/>
  <c r="B1093" i="2"/>
  <c r="A1094" i="2"/>
  <c r="E1116" i="3" l="1"/>
  <c r="A1117" i="3"/>
  <c r="B1116" i="3"/>
  <c r="C1116" i="3"/>
  <c r="D1116" i="3"/>
  <c r="B1136" i="1"/>
  <c r="J1136" i="1"/>
  <c r="L1136" i="1"/>
  <c r="C1136" i="1"/>
  <c r="D1136" i="1"/>
  <c r="M1136" i="1"/>
  <c r="N1136" i="1"/>
  <c r="O1136" i="1"/>
  <c r="P1136" i="1"/>
  <c r="G1136" i="1"/>
  <c r="H1136" i="1"/>
  <c r="I1136" i="1"/>
  <c r="E1136" i="1"/>
  <c r="Q1136" i="1"/>
  <c r="A1137" i="1"/>
  <c r="F1136" i="1"/>
  <c r="B1094" i="2"/>
  <c r="A1095" i="2"/>
  <c r="B1095" i="2" l="1"/>
  <c r="A1096" i="2"/>
  <c r="B1117" i="3"/>
  <c r="E1117" i="3"/>
  <c r="A1118" i="3"/>
  <c r="C1117" i="3"/>
  <c r="D1117" i="3"/>
  <c r="B1137" i="1"/>
  <c r="J1137" i="1"/>
  <c r="C1137" i="1"/>
  <c r="L1137" i="1"/>
  <c r="D1137" i="1"/>
  <c r="M1137" i="1"/>
  <c r="H1137" i="1"/>
  <c r="I1137" i="1"/>
  <c r="N1137" i="1"/>
  <c r="E1137" i="1"/>
  <c r="Q1137" i="1"/>
  <c r="A1138" i="1"/>
  <c r="F1137" i="1"/>
  <c r="G1137" i="1"/>
  <c r="O1137" i="1"/>
  <c r="P1137" i="1"/>
  <c r="C1118" i="3" l="1"/>
  <c r="D1118" i="3"/>
  <c r="E1118" i="3"/>
  <c r="A1119" i="3"/>
  <c r="B1118" i="3"/>
  <c r="B1138" i="1"/>
  <c r="J1138" i="1"/>
  <c r="C1138" i="1"/>
  <c r="L1138" i="1"/>
  <c r="D1138" i="1"/>
  <c r="M1138" i="1"/>
  <c r="F1138" i="1"/>
  <c r="A1139" i="1"/>
  <c r="G1138" i="1"/>
  <c r="H1138" i="1"/>
  <c r="O1138" i="1"/>
  <c r="E1138" i="1"/>
  <c r="P1138" i="1"/>
  <c r="I1138" i="1"/>
  <c r="N1138" i="1"/>
  <c r="Q1138" i="1"/>
  <c r="A1097" i="2"/>
  <c r="B1096" i="2"/>
  <c r="A1120" i="3" l="1"/>
  <c r="C1119" i="3"/>
  <c r="B1119" i="3"/>
  <c r="D1119" i="3"/>
  <c r="E1119" i="3"/>
  <c r="B1097" i="2"/>
  <c r="A1098" i="2"/>
  <c r="B1139" i="1"/>
  <c r="J1139" i="1"/>
  <c r="C1139" i="1"/>
  <c r="L1139" i="1"/>
  <c r="D1139" i="1"/>
  <c r="M1139" i="1"/>
  <c r="P1139" i="1"/>
  <c r="Q1139" i="1"/>
  <c r="E1139" i="1"/>
  <c r="F1139" i="1"/>
  <c r="A1140" i="1"/>
  <c r="I1139" i="1"/>
  <c r="N1139" i="1"/>
  <c r="O1139" i="1"/>
  <c r="G1139" i="1"/>
  <c r="H1139" i="1"/>
  <c r="A1099" i="2" l="1"/>
  <c r="B1098" i="2"/>
  <c r="B1140" i="1"/>
  <c r="J1140" i="1"/>
  <c r="C1140" i="1"/>
  <c r="L1140" i="1"/>
  <c r="D1140" i="1"/>
  <c r="M1140" i="1"/>
  <c r="N1140" i="1"/>
  <c r="P1140" i="1"/>
  <c r="O1140" i="1"/>
  <c r="G1140" i="1"/>
  <c r="H1140" i="1"/>
  <c r="Q1140" i="1"/>
  <c r="A1141" i="1"/>
  <c r="E1140" i="1"/>
  <c r="F1140" i="1"/>
  <c r="I1140" i="1"/>
  <c r="B1120" i="3"/>
  <c r="C1120" i="3"/>
  <c r="A1121" i="3"/>
  <c r="D1120" i="3"/>
  <c r="E1120" i="3"/>
  <c r="B1141" i="1" l="1"/>
  <c r="J1141" i="1"/>
  <c r="L1141" i="1"/>
  <c r="C1141" i="1"/>
  <c r="D1141" i="1"/>
  <c r="M1141" i="1"/>
  <c r="H1141" i="1"/>
  <c r="I1141" i="1"/>
  <c r="N1141" i="1"/>
  <c r="E1141" i="1"/>
  <c r="Q1141" i="1"/>
  <c r="F1141" i="1"/>
  <c r="G1141" i="1"/>
  <c r="A1142" i="1"/>
  <c r="O1141" i="1"/>
  <c r="P1141" i="1"/>
  <c r="D1121" i="3"/>
  <c r="E1121" i="3"/>
  <c r="A1122" i="3"/>
  <c r="B1121" i="3"/>
  <c r="C1121" i="3"/>
  <c r="B1099" i="2"/>
  <c r="A1100" i="2"/>
  <c r="B1100" i="2" l="1"/>
  <c r="A1101" i="2"/>
  <c r="B1142" i="1"/>
  <c r="J1142" i="1"/>
  <c r="L1142" i="1"/>
  <c r="C1142" i="1"/>
  <c r="D1142" i="1"/>
  <c r="M1142" i="1"/>
  <c r="F1142" i="1"/>
  <c r="A1143" i="1"/>
  <c r="G1142" i="1"/>
  <c r="H1142" i="1"/>
  <c r="O1142" i="1"/>
  <c r="P1142" i="1"/>
  <c r="Q1142" i="1"/>
  <c r="E1142" i="1"/>
  <c r="I1142" i="1"/>
  <c r="N1142" i="1"/>
  <c r="D1122" i="3"/>
  <c r="C1122" i="3"/>
  <c r="E1122" i="3"/>
  <c r="A1123" i="3"/>
  <c r="B1122" i="3"/>
  <c r="B1143" i="1" l="1"/>
  <c r="J1143" i="1"/>
  <c r="C1143" i="1"/>
  <c r="L1143" i="1"/>
  <c r="D1143" i="1"/>
  <c r="M1143" i="1"/>
  <c r="P1143" i="1"/>
  <c r="E1143" i="1"/>
  <c r="F1143" i="1"/>
  <c r="Q1143" i="1"/>
  <c r="A1144" i="1"/>
  <c r="I1143" i="1"/>
  <c r="N1143" i="1"/>
  <c r="H1143" i="1"/>
  <c r="O1143" i="1"/>
  <c r="G1143" i="1"/>
  <c r="B1101" i="2"/>
  <c r="A1102" i="2"/>
  <c r="B1123" i="3"/>
  <c r="C1123" i="3"/>
  <c r="D1123" i="3"/>
  <c r="E1123" i="3"/>
  <c r="A1124" i="3"/>
  <c r="E1124" i="3" l="1"/>
  <c r="A1125" i="3"/>
  <c r="B1124" i="3"/>
  <c r="C1124" i="3"/>
  <c r="D1124" i="3"/>
  <c r="B1144" i="1"/>
  <c r="J1144" i="1"/>
  <c r="C1144" i="1"/>
  <c r="L1144" i="1"/>
  <c r="D1144" i="1"/>
  <c r="M1144" i="1"/>
  <c r="N1144" i="1"/>
  <c r="O1144" i="1"/>
  <c r="P1144" i="1"/>
  <c r="G1144" i="1"/>
  <c r="H1144" i="1"/>
  <c r="I1144" i="1"/>
  <c r="E1144" i="1"/>
  <c r="F1144" i="1"/>
  <c r="A1145" i="1"/>
  <c r="Q1144" i="1"/>
  <c r="B1102" i="2"/>
  <c r="A1103" i="2"/>
  <c r="B1145" i="1" l="1"/>
  <c r="J1145" i="1"/>
  <c r="C1145" i="1"/>
  <c r="L1145" i="1"/>
  <c r="D1145" i="1"/>
  <c r="M1145" i="1"/>
  <c r="H1145" i="1"/>
  <c r="I1145" i="1"/>
  <c r="N1145" i="1"/>
  <c r="E1145" i="1"/>
  <c r="Q1145" i="1"/>
  <c r="A1146" i="1"/>
  <c r="F1145" i="1"/>
  <c r="P1145" i="1"/>
  <c r="G1145" i="1"/>
  <c r="O1145" i="1"/>
  <c r="B1103" i="2"/>
  <c r="A1104" i="2"/>
  <c r="B1125" i="3"/>
  <c r="E1125" i="3"/>
  <c r="D1125" i="3"/>
  <c r="A1126" i="3"/>
  <c r="C1125" i="3"/>
  <c r="B1104" i="2" l="1"/>
  <c r="A1105" i="2"/>
  <c r="C1126" i="3"/>
  <c r="D1126" i="3"/>
  <c r="E1126" i="3"/>
  <c r="B1126" i="3"/>
  <c r="A1127" i="3"/>
  <c r="B1146" i="1"/>
  <c r="J1146" i="1"/>
  <c r="D1146" i="1"/>
  <c r="M1146" i="1"/>
  <c r="E1146" i="1"/>
  <c r="P1146" i="1"/>
  <c r="Q1146" i="1"/>
  <c r="F1146" i="1"/>
  <c r="G1146" i="1"/>
  <c r="A1147" i="1"/>
  <c r="L1146" i="1"/>
  <c r="C1146" i="1"/>
  <c r="N1146" i="1"/>
  <c r="H1146" i="1"/>
  <c r="O1146" i="1"/>
  <c r="I1146" i="1"/>
  <c r="B1147" i="1" l="1"/>
  <c r="J1147" i="1"/>
  <c r="D1147" i="1"/>
  <c r="M1147" i="1"/>
  <c r="I1147" i="1"/>
  <c r="N1147" i="1"/>
  <c r="L1147" i="1"/>
  <c r="F1147" i="1"/>
  <c r="Q1147" i="1"/>
  <c r="G1147" i="1"/>
  <c r="H1147" i="1"/>
  <c r="C1147" i="1"/>
  <c r="E1147" i="1"/>
  <c r="O1147" i="1"/>
  <c r="P1147" i="1"/>
  <c r="A1128" i="3"/>
  <c r="C1127" i="3"/>
  <c r="D1127" i="3"/>
  <c r="B1127" i="3"/>
  <c r="E1127" i="3"/>
  <c r="B1105" i="2"/>
  <c r="A1106" i="2"/>
  <c r="B1128" i="3" l="1"/>
  <c r="C1128" i="3"/>
  <c r="A1129" i="3"/>
  <c r="E1128" i="3"/>
  <c r="D1128" i="3"/>
  <c r="A1107" i="2"/>
  <c r="B1106" i="2"/>
  <c r="D1129" i="3" l="1"/>
  <c r="E1129" i="3"/>
  <c r="A1130" i="3"/>
  <c r="B1129" i="3"/>
  <c r="C1129" i="3"/>
  <c r="B1107" i="2"/>
  <c r="A1108" i="2"/>
  <c r="D1130" i="3" l="1"/>
  <c r="E1130" i="3"/>
  <c r="B1130" i="3"/>
  <c r="C1130" i="3"/>
  <c r="A1131" i="3"/>
  <c r="B1108" i="2"/>
  <c r="A1109" i="2"/>
  <c r="B1109" i="2" l="1"/>
  <c r="A1110" i="2"/>
  <c r="B1131" i="3"/>
  <c r="C1131" i="3"/>
  <c r="D1131" i="3"/>
  <c r="A1132" i="3"/>
  <c r="E1131" i="3"/>
  <c r="E1132" i="3" l="1"/>
  <c r="A1133" i="3"/>
  <c r="B1132" i="3"/>
  <c r="C1132" i="3"/>
  <c r="D1132" i="3"/>
  <c r="F1110" i="2"/>
  <c r="G1110" i="2"/>
  <c r="H1110" i="2"/>
  <c r="C1110" i="2"/>
  <c r="A1111" i="2"/>
  <c r="E1110" i="2"/>
  <c r="I1110" i="2"/>
  <c r="J1110" i="2"/>
  <c r="D1110" i="2"/>
  <c r="B1110" i="2"/>
  <c r="D1111" i="2" l="1"/>
  <c r="E1111" i="2"/>
  <c r="F1111" i="2"/>
  <c r="I1111" i="2"/>
  <c r="A1112" i="2"/>
  <c r="G1111" i="2"/>
  <c r="B1111" i="2"/>
  <c r="C1111" i="2"/>
  <c r="J1111" i="2"/>
  <c r="H1111" i="2"/>
  <c r="B1133" i="3"/>
  <c r="E1133" i="3"/>
  <c r="A1134" i="3"/>
  <c r="C1133" i="3"/>
  <c r="D1133" i="3"/>
  <c r="C1134" i="3" l="1"/>
  <c r="D1134" i="3"/>
  <c r="E1134" i="3"/>
  <c r="A1135" i="3"/>
  <c r="B1134" i="3"/>
  <c r="B1112" i="2"/>
  <c r="J1112" i="2"/>
  <c r="C1112" i="2"/>
  <c r="A1113" i="2"/>
  <c r="D1112" i="2"/>
  <c r="G1112" i="2"/>
  <c r="E1112" i="2"/>
  <c r="F1112" i="2"/>
  <c r="H1112" i="2"/>
  <c r="I1112" i="2"/>
  <c r="H1113" i="2" l="1"/>
  <c r="I1113" i="2"/>
  <c r="B1113" i="2"/>
  <c r="J1113" i="2"/>
  <c r="E1113" i="2"/>
  <c r="G1113" i="2"/>
  <c r="A1114" i="2"/>
  <c r="C1113" i="2"/>
  <c r="F1113" i="2"/>
  <c r="D1113" i="2"/>
  <c r="A1136" i="3"/>
  <c r="C1135" i="3"/>
  <c r="B1135" i="3"/>
  <c r="D1135" i="3"/>
  <c r="E1135" i="3"/>
  <c r="F1114" i="2" l="1"/>
  <c r="G1114" i="2"/>
  <c r="H1114" i="2"/>
  <c r="C1114" i="2"/>
  <c r="A1115" i="2"/>
  <c r="B1114" i="2"/>
  <c r="I1114" i="2"/>
  <c r="D1114" i="2"/>
  <c r="E1114" i="2"/>
  <c r="J1114" i="2"/>
  <c r="B1136" i="3"/>
  <c r="C1136" i="3"/>
  <c r="A1137" i="3"/>
  <c r="D1136" i="3"/>
  <c r="E1136" i="3"/>
  <c r="D1137" i="3" l="1"/>
  <c r="E1137" i="3"/>
  <c r="A1138" i="3"/>
  <c r="B1137" i="3"/>
  <c r="C1137" i="3"/>
  <c r="D1115" i="2"/>
  <c r="E1115" i="2"/>
  <c r="F1115" i="2"/>
  <c r="I1115" i="2"/>
  <c r="C1115" i="2"/>
  <c r="G1115" i="2"/>
  <c r="H1115" i="2"/>
  <c r="J1115" i="2"/>
  <c r="B1115" i="2"/>
  <c r="A1116" i="2"/>
  <c r="B1116" i="2" l="1"/>
  <c r="J1116" i="2"/>
  <c r="C1116" i="2"/>
  <c r="A1117" i="2"/>
  <c r="D1116" i="2"/>
  <c r="G1116" i="2"/>
  <c r="I1116" i="2"/>
  <c r="E1116" i="2"/>
  <c r="H1116" i="2"/>
  <c r="F1116" i="2"/>
  <c r="D1138" i="3"/>
  <c r="C1138" i="3"/>
  <c r="E1138" i="3"/>
  <c r="A1139" i="3"/>
  <c r="B1138" i="3"/>
  <c r="B1139" i="3" l="1"/>
  <c r="C1139" i="3"/>
  <c r="D1139" i="3"/>
  <c r="E1139" i="3"/>
  <c r="A1140" i="3"/>
  <c r="H1117" i="2"/>
  <c r="I1117" i="2"/>
  <c r="B1117" i="2"/>
  <c r="J1117" i="2"/>
  <c r="E1117" i="2"/>
  <c r="C1117" i="2"/>
  <c r="D1117" i="2"/>
  <c r="A1118" i="2"/>
  <c r="F1117" i="2"/>
  <c r="G1117" i="2"/>
  <c r="F1118" i="2" l="1"/>
  <c r="G1118" i="2"/>
  <c r="H1118" i="2"/>
  <c r="C1118" i="2"/>
  <c r="A1119" i="2"/>
  <c r="E1118" i="2"/>
  <c r="I1118" i="2"/>
  <c r="J1118" i="2"/>
  <c r="D1118" i="2"/>
  <c r="B1118" i="2"/>
  <c r="E1140" i="3"/>
  <c r="A1141" i="3"/>
  <c r="B1140" i="3"/>
  <c r="C1140" i="3"/>
  <c r="D1140" i="3"/>
  <c r="B1141" i="3" l="1"/>
  <c r="E1141" i="3"/>
  <c r="D1141" i="3"/>
  <c r="A1142" i="3"/>
  <c r="C1141" i="3"/>
  <c r="D1119" i="2"/>
  <c r="E1119" i="2"/>
  <c r="F1119" i="2"/>
  <c r="I1119" i="2"/>
  <c r="A1120" i="2"/>
  <c r="H1119" i="2"/>
  <c r="J1119" i="2"/>
  <c r="B1119" i="2"/>
  <c r="C1119" i="2"/>
  <c r="G1119" i="2"/>
  <c r="C1142" i="3" l="1"/>
  <c r="D1142" i="3"/>
  <c r="E1142" i="3"/>
  <c r="B1142" i="3"/>
  <c r="A1143" i="3"/>
  <c r="B1120" i="2"/>
  <c r="J1120" i="2"/>
  <c r="C1120" i="2"/>
  <c r="A1121" i="2"/>
  <c r="D1120" i="2"/>
  <c r="G1120" i="2"/>
  <c r="E1120" i="2"/>
  <c r="F1120" i="2"/>
  <c r="H1120" i="2"/>
  <c r="I1120" i="2"/>
  <c r="A1144" i="3" l="1"/>
  <c r="C1143" i="3"/>
  <c r="D1143" i="3"/>
  <c r="B1143" i="3"/>
  <c r="E1143" i="3"/>
  <c r="H1121" i="2"/>
  <c r="I1121" i="2"/>
  <c r="B1121" i="2"/>
  <c r="J1121" i="2"/>
  <c r="E1121" i="2"/>
  <c r="G1121" i="2"/>
  <c r="A1122" i="2"/>
  <c r="D1121" i="2"/>
  <c r="C1121" i="2"/>
  <c r="F1121" i="2"/>
  <c r="F1122" i="2" l="1"/>
  <c r="G1122" i="2"/>
  <c r="H1122" i="2"/>
  <c r="C1122" i="2"/>
  <c r="A1123" i="2"/>
  <c r="B1122" i="2"/>
  <c r="E1122" i="2"/>
  <c r="I1122" i="2"/>
  <c r="J1122" i="2"/>
  <c r="D1122" i="2"/>
  <c r="B1144" i="3"/>
  <c r="C1144" i="3"/>
  <c r="A1145" i="3"/>
  <c r="E1144" i="3"/>
  <c r="D1144" i="3"/>
  <c r="D1145" i="3" l="1"/>
  <c r="E1145" i="3"/>
  <c r="A1146" i="3"/>
  <c r="B1145" i="3"/>
  <c r="C1145" i="3"/>
  <c r="D1123" i="2"/>
  <c r="E1123" i="2"/>
  <c r="F1123" i="2"/>
  <c r="I1123" i="2"/>
  <c r="C1123" i="2"/>
  <c r="G1123" i="2"/>
  <c r="H1123" i="2"/>
  <c r="A1124" i="2"/>
  <c r="J1123" i="2"/>
  <c r="B1123" i="2"/>
  <c r="B1124" i="2" l="1"/>
  <c r="J1124" i="2"/>
  <c r="C1124" i="2"/>
  <c r="A1125" i="2"/>
  <c r="D1124" i="2"/>
  <c r="G1124" i="2"/>
  <c r="I1124" i="2"/>
  <c r="H1124" i="2"/>
  <c r="F1124" i="2"/>
  <c r="E1124" i="2"/>
  <c r="D1146" i="3"/>
  <c r="E1146" i="3"/>
  <c r="B1146" i="3"/>
  <c r="C1146" i="3"/>
  <c r="A1147" i="3"/>
  <c r="H1125" i="2" l="1"/>
  <c r="I1125" i="2"/>
  <c r="B1125" i="2"/>
  <c r="J1125" i="2"/>
  <c r="E1125" i="2"/>
  <c r="C1125" i="2"/>
  <c r="D1125" i="2"/>
  <c r="F1125" i="2"/>
  <c r="G1125" i="2"/>
  <c r="A1126" i="2"/>
  <c r="B1147" i="3"/>
  <c r="C1147" i="3"/>
  <c r="D1147" i="3"/>
  <c r="A1148" i="3"/>
  <c r="E1147" i="3"/>
  <c r="E1148" i="3" l="1"/>
  <c r="B1148" i="3"/>
  <c r="C1148" i="3"/>
  <c r="D1148" i="3"/>
  <c r="F1126" i="2"/>
  <c r="G1126" i="2"/>
  <c r="H1126" i="2"/>
  <c r="C1126" i="2"/>
  <c r="A1127" i="2"/>
  <c r="E1126" i="2"/>
  <c r="I1126" i="2"/>
  <c r="J1126" i="2"/>
  <c r="D1126" i="2"/>
  <c r="B1126" i="2"/>
  <c r="D1127" i="2" l="1"/>
  <c r="E1127" i="2"/>
  <c r="F1127" i="2"/>
  <c r="I1127" i="2"/>
  <c r="A1128" i="2"/>
  <c r="G1127" i="2"/>
  <c r="H1127" i="2"/>
  <c r="J1127" i="2"/>
  <c r="B1127" i="2"/>
  <c r="C1127" i="2"/>
  <c r="B1128" i="2" l="1"/>
  <c r="J1128" i="2"/>
  <c r="C1128" i="2"/>
  <c r="A1129" i="2"/>
  <c r="D1128" i="2"/>
  <c r="G1128" i="2"/>
  <c r="E1128" i="2"/>
  <c r="F1128" i="2"/>
  <c r="I1128" i="2"/>
  <c r="H1128" i="2"/>
  <c r="H1129" i="2" l="1"/>
  <c r="I1129" i="2"/>
  <c r="B1129" i="2"/>
  <c r="J1129" i="2"/>
  <c r="E1129" i="2"/>
  <c r="G1129" i="2"/>
  <c r="A1130" i="2"/>
  <c r="C1129" i="2"/>
  <c r="D1129" i="2"/>
  <c r="F1129" i="2"/>
  <c r="F1130" i="2" l="1"/>
  <c r="G1130" i="2"/>
  <c r="H1130" i="2"/>
  <c r="C1130" i="2"/>
  <c r="A1131" i="2"/>
  <c r="B1130" i="2"/>
  <c r="D1130" i="2"/>
  <c r="E1130" i="2"/>
  <c r="I1130" i="2"/>
  <c r="J1130" i="2"/>
  <c r="D1131" i="2" l="1"/>
  <c r="E1131" i="2"/>
  <c r="F1131" i="2"/>
  <c r="I1131" i="2"/>
  <c r="C1131" i="2"/>
  <c r="G1131" i="2"/>
  <c r="H1131" i="2"/>
  <c r="J1131" i="2"/>
  <c r="B1131" i="2"/>
  <c r="A1132" i="2"/>
  <c r="B1132" i="2" l="1"/>
  <c r="J1132" i="2"/>
  <c r="C1132" i="2"/>
  <c r="A1133" i="2"/>
  <c r="D1132" i="2"/>
  <c r="G1132" i="2"/>
  <c r="I1132" i="2"/>
  <c r="F1132" i="2"/>
  <c r="H1132" i="2"/>
  <c r="E1132" i="2"/>
  <c r="H1133" i="2" l="1"/>
  <c r="I1133" i="2"/>
  <c r="B1133" i="2"/>
  <c r="J1133" i="2"/>
  <c r="E1133" i="2"/>
  <c r="C1133" i="2"/>
  <c r="D1133" i="2"/>
  <c r="F1133" i="2"/>
  <c r="A1134" i="2"/>
  <c r="G1133" i="2"/>
  <c r="F1134" i="2" l="1"/>
  <c r="G1134" i="2"/>
  <c r="H1134" i="2"/>
  <c r="C1134" i="2"/>
  <c r="A1135" i="2"/>
  <c r="E1134" i="2"/>
  <c r="I1134" i="2"/>
  <c r="J1134" i="2"/>
  <c r="B1134" i="2"/>
  <c r="D1134" i="2"/>
  <c r="D1135" i="2" l="1"/>
  <c r="E1135" i="2"/>
  <c r="F1135" i="2"/>
  <c r="I1135" i="2"/>
  <c r="A1136" i="2"/>
  <c r="C1135" i="2"/>
  <c r="G1135" i="2"/>
  <c r="H1135" i="2"/>
  <c r="J1135" i="2"/>
  <c r="B1135" i="2"/>
  <c r="B1136" i="2" l="1"/>
  <c r="J1136" i="2"/>
  <c r="C1136" i="2"/>
  <c r="A1137" i="2"/>
  <c r="D1136" i="2"/>
  <c r="G1136" i="2"/>
  <c r="E1136" i="2"/>
  <c r="F1136" i="2"/>
  <c r="I1136" i="2"/>
  <c r="H1136" i="2"/>
  <c r="H1137" i="2" l="1"/>
  <c r="I1137" i="2"/>
  <c r="B1137" i="2"/>
  <c r="J1137" i="2"/>
  <c r="E1137" i="2"/>
  <c r="G1137" i="2"/>
  <c r="A1138" i="2"/>
  <c r="F1137" i="2"/>
  <c r="C1137" i="2"/>
  <c r="D1137" i="2"/>
  <c r="F1138" i="2" l="1"/>
  <c r="G1138" i="2"/>
  <c r="H1138" i="2"/>
  <c r="C1138" i="2"/>
  <c r="A1139" i="2"/>
  <c r="B1138" i="2"/>
  <c r="D1138" i="2"/>
  <c r="E1138" i="2"/>
  <c r="J1138" i="2"/>
  <c r="I1138" i="2"/>
  <c r="D1139" i="2" l="1"/>
  <c r="E1139" i="2"/>
  <c r="F1139" i="2"/>
  <c r="I1139" i="2"/>
  <c r="C1139" i="2"/>
  <c r="G1139" i="2"/>
  <c r="H1139" i="2"/>
  <c r="B1139" i="2"/>
  <c r="J1139" i="2"/>
  <c r="A1140" i="2"/>
  <c r="B1140" i="2" l="1"/>
  <c r="J1140" i="2"/>
  <c r="C1140" i="2"/>
  <c r="A1141" i="2"/>
  <c r="D1140" i="2"/>
  <c r="G1140" i="2"/>
  <c r="I1140" i="2"/>
  <c r="E1140" i="2"/>
  <c r="F1140" i="2"/>
  <c r="H1140" i="2"/>
  <c r="H1141" i="2" l="1"/>
  <c r="I1141" i="2"/>
  <c r="B1141" i="2"/>
  <c r="J1141" i="2"/>
  <c r="E1141" i="2"/>
  <c r="C1141" i="2"/>
  <c r="D1141" i="2"/>
  <c r="A1142" i="2"/>
  <c r="F1141" i="2"/>
  <c r="G1141" i="2"/>
  <c r="F1142" i="2" l="1"/>
  <c r="G1142" i="2"/>
  <c r="H1142" i="2"/>
  <c r="C1142" i="2"/>
  <c r="A1143" i="2"/>
  <c r="E1142" i="2"/>
  <c r="I1142" i="2"/>
  <c r="J1142" i="2"/>
  <c r="B1142" i="2"/>
  <c r="D1142" i="2"/>
  <c r="D1143" i="2" l="1"/>
  <c r="E1143" i="2"/>
  <c r="F1143" i="2"/>
  <c r="I1143" i="2"/>
  <c r="A1144" i="2"/>
  <c r="B1143" i="2"/>
  <c r="C1143" i="2"/>
  <c r="G1143" i="2"/>
  <c r="J1143" i="2"/>
  <c r="H1143" i="2"/>
  <c r="B1144" i="2" l="1"/>
  <c r="J1144" i="2"/>
  <c r="C1144" i="2"/>
  <c r="A1145" i="2"/>
  <c r="D1144" i="2"/>
  <c r="G1144" i="2"/>
  <c r="E1144" i="2"/>
  <c r="F1144" i="2"/>
  <c r="H1144" i="2"/>
  <c r="I1144" i="2"/>
  <c r="H1145" i="2" l="1"/>
  <c r="I1145" i="2"/>
  <c r="B1145" i="2"/>
  <c r="J1145" i="2"/>
  <c r="E1145" i="2"/>
  <c r="G1145" i="2"/>
  <c r="A1146" i="2"/>
  <c r="D1145" i="2"/>
  <c r="F1145" i="2"/>
  <c r="C1145" i="2"/>
  <c r="F1146" i="2" l="1"/>
  <c r="G1146" i="2"/>
  <c r="H1146" i="2"/>
  <c r="C1146" i="2"/>
  <c r="A1147" i="2"/>
  <c r="B1146" i="2"/>
  <c r="D1146" i="2"/>
  <c r="J1146" i="2"/>
  <c r="E1146" i="2"/>
  <c r="I1146" i="2"/>
  <c r="D1147" i="2" l="1"/>
  <c r="E1147" i="2"/>
  <c r="F1147" i="2"/>
  <c r="I1147" i="2"/>
  <c r="C1147" i="2"/>
  <c r="G1147" i="2"/>
  <c r="H1147" i="2"/>
  <c r="A1148" i="2"/>
  <c r="B1147" i="2"/>
  <c r="J1147" i="2"/>
  <c r="B1148" i="2" l="1"/>
  <c r="J1148" i="2"/>
  <c r="C1148" i="2"/>
  <c r="D1148" i="2"/>
  <c r="G1148" i="2"/>
  <c r="I1148" i="2"/>
  <c r="E1148" i="2"/>
  <c r="F1148" i="2"/>
  <c r="H1148" i="2"/>
</calcChain>
</file>

<file path=xl/sharedStrings.xml><?xml version="1.0" encoding="utf-8"?>
<sst xmlns="http://schemas.openxmlformats.org/spreadsheetml/2006/main" count="169" uniqueCount="75">
  <si>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</si>
  <si>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</si>
  <si>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</si>
  <si>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</si>
  <si>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</si>
  <si>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</si>
  <si>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</si>
  <si>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</si>
  <si>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</si>
  <si>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</si>
  <si>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</si>
  <si>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</si>
  <si>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</si>
  <si>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</si>
  <si>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</si>
  <si>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</si>
  <si>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</si>
  <si>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</si>
  <si>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</si>
  <si>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</si>
  <si>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</si>
  <si>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</si>
  <si>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</si>
  <si>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</si>
  <si>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</si>
  <si>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July 07, 2014 - LYSTRA LOUTAN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</si>
  <si>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</si>
  <si>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</si>
  <si>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</si>
  <si>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</si>
  <si>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</si>
  <si>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</si>
  <si>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</si>
  <si>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</si>
  <si>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</si>
  <si>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</si>
  <si>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</si>
  <si>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</si>
  <si>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</si>
  <si>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</si>
  <si>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</si>
  <si>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</si>
  <si>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</si>
  <si>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</si>
  <si>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</si>
  <si>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</si>
  <si>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</si>
  <si>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</si>
  <si>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</si>
  <si>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</si>
  <si>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</si>
  <si>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</si>
  <si>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</si>
  <si>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</si>
  <si>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</si>
  <si>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</si>
  <si>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</si>
  <si>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</si>
  <si>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</si>
  <si>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</si>
  <si>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</si>
  <si>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</si>
  <si>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</si>
  <si>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</si>
  <si>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</si>
  <si>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</si>
  <si>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</si>
  <si>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</si>
  <si>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</si>
  <si>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Attachment No. 30</t>
  </si>
  <si>
    <t>Tab 1 of 5</t>
  </si>
  <si>
    <t>Tab 2 of 5</t>
  </si>
  <si>
    <t>Tab 3 of 5</t>
  </si>
  <si>
    <t>Tab 4 of 5</t>
  </si>
  <si>
    <t>Tab 5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</si>
</sst>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0" fontId="4" fillId="0" borderId="0"/>
    <xf numFmtId="0" fontId="1" fillId="0" borderId="0"/>
    <xf numFmtId="0" fontId="2" fillId="0" borderId="0">
      <alignment wrapText="1"/>
    </xf>
  </cellStyleXfs>
  <cellXfs count="104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5" fillId="3" borderId="0" xfId="4" applyNumberFormat="1" applyFont="1" applyFill="1" applyAlignment="1">
      <alignment horizontal="center"/>
    </xf>
    <xf numFmtId="167" fontId="5" fillId="4" borderId="0" xfId="4" applyNumberFormat="1" applyFont="1" applyFill="1" applyAlignment="1">
      <alignment horizontal="center"/>
    </xf>
    <xf numFmtId="167" fontId="5" fillId="5" borderId="0" xfId="4" applyNumberFormat="1" applyFont="1" applyFill="1" applyAlignment="1">
      <alignment horizontal="center"/>
    </xf>
    <xf numFmtId="166" fontId="3" fillId="6" borderId="0" xfId="4" applyNumberFormat="1" applyFont="1" applyFill="1" applyAlignment="1">
      <alignment horizontal="center"/>
    </xf>
    <xf numFmtId="167" fontId="5" fillId="7" borderId="0" xfId="4" applyNumberFormat="1" applyFont="1" applyFill="1" applyAlignment="1">
      <alignment horizontal="center"/>
    </xf>
    <xf numFmtId="167" fontId="5" fillId="8" borderId="0" xfId="4" applyNumberFormat="1" applyFont="1" applyFill="1" applyAlignment="1">
      <alignment horizontal="center"/>
    </xf>
    <xf numFmtId="0" fontId="3" fillId="0" borderId="0" xfId="4" applyFont="1" applyAlignment="1">
      <alignment horizontal="center" wrapText="1"/>
    </xf>
    <xf numFmtId="0" fontId="6" fillId="9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9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10" borderId="0" xfId="4" applyNumberFormat="1" applyFont="1" applyFill="1" applyAlignment="1">
      <alignment horizontal="center"/>
    </xf>
    <xf numFmtId="0" fontId="6" fillId="10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11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11" borderId="0" xfId="4" applyNumberFormat="1" applyFont="1" applyFill="1" applyAlignment="1">
      <alignment horizontal="center"/>
    </xf>
    <xf numFmtId="171" fontId="6" fillId="12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12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13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11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5" borderId="0" xfId="3" applyFont="1" applyFill="1" applyAlignment="1">
      <alignment horizontal="center"/>
    </xf>
    <xf numFmtId="0" fontId="12" fillId="15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6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13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10" borderId="0" xfId="4" quotePrefix="1" applyNumberFormat="1" applyFont="1" applyFill="1" applyAlignment="1">
      <alignment horizontal="center"/>
    </xf>
    <xf numFmtId="15" fontId="6" fillId="10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0" fillId="0" borderId="0" xfId="0" applyNumberFormat="1" applyFill="1" applyAlignment="1"/>
    <xf numFmtId="15" fontId="6" fillId="0" borderId="0" xfId="4" quotePrefix="1" applyNumberFormat="1" applyFont="1" applyFill="1" applyAlignment="1">
      <alignment horizontal="left"/>
    </xf>
    <xf numFmtId="165" fontId="9" fillId="0" borderId="0" xfId="0" quotePrefix="1" applyNumberFormat="1" applyFont="1" applyFill="1" applyAlignment="1">
      <alignment horizontal="left"/>
    </xf>
    <xf numFmtId="0" fontId="2" fillId="0" borderId="0" xfId="4" applyFont="1" applyFill="1" applyAlignment="1">
      <alignment horizontal="center"/>
    </xf>
    <xf numFmtId="0" fontId="3" fillId="0" borderId="0" xfId="4" applyFont="1" applyFill="1"/>
    <xf numFmtId="0" fontId="3" fillId="0" borderId="0" xfId="4" applyFont="1" applyFill="1" applyAlignment="1">
      <alignment horizontal="center"/>
    </xf>
    <xf numFmtId="165" fontId="19" fillId="0" borderId="0" xfId="0" applyNumberFormat="1" applyFont="1" applyAlignment="1">
      <alignment horizontal="left"/>
    </xf>
    <xf numFmtId="0" fontId="6" fillId="9" borderId="0" xfId="4" quotePrefix="1" applyFont="1" applyFill="1" applyAlignment="1">
      <alignment horizontal="center"/>
    </xf>
    <xf numFmtId="0" fontId="6" fillId="14" borderId="0" xfId="4" quotePrefix="1" applyFont="1" applyFill="1" applyAlignment="1">
      <alignment horizontal="center"/>
    </xf>
    <xf numFmtId="0" fontId="6" fillId="6" borderId="0" xfId="4" applyFont="1" applyFill="1" applyAlignment="1">
      <alignment horizontal="center"/>
    </xf>
    <xf numFmtId="165" fontId="6" fillId="14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12" borderId="0" xfId="4" quotePrefix="1" applyFont="1" applyFill="1" applyAlignment="1">
      <alignment horizontal="center"/>
    </xf>
    <xf numFmtId="0" fontId="6" fillId="12" borderId="0" xfId="4" applyFont="1" applyFill="1" applyAlignment="1">
      <alignment horizontal="center"/>
    </xf>
    <xf numFmtId="0" fontId="6" fillId="14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36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urrency" xfId="2" builtinId="4"/>
    <cellStyle name="Normal" xfId="0" builtinId="0"/>
    <cellStyle name="Normal 2" xfId="27"/>
    <cellStyle name="Normal 2 2" xfId="28"/>
    <cellStyle name="Normal 2 3" xfId="29"/>
    <cellStyle name="Normal 2 4" xfId="30"/>
    <cellStyle name="Normal 2 5" xfId="31"/>
    <cellStyle name="Normal 3" xfId="32"/>
    <cellStyle name="Normal 4" xfId="33"/>
    <cellStyle name="Normal 5" xfId="34"/>
    <cellStyle name="Normal 6" xfId="35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6" fmlaRange="CONTROL!$B$16:$B$18" sel="2" val="0"/>
</file>

<file path=xl/ctrlProps/ctrlProp2.xml><?xml version="1.0" encoding="utf-8"?>
<formControlPr xmlns="http://schemas.microsoft.com/office/spreadsheetml/2009/9/main" objectType="Drop" dropLines="2" dropStyle="combo" dx="18" fmlaLink="CONTROL!$C$33" fmlaRange="CONTROL!$B$33:$B$34" val="0"/>
</file>

<file path=xl/ctrlProps/ctrlProp3.xml><?xml version="1.0" encoding="utf-8"?>
<formControlPr xmlns="http://schemas.microsoft.com/office/spreadsheetml/2009/9/main" objectType="Drop" dropLines="3" dropStyle="combo" dx="18" fmlaLink="CONTROL!$C$10" fmlaRange="CONTROL!$B$10:$B$12" sel="2" val="0"/>
</file>

<file path=xl/ctrlProps/ctrlProp4.xml><?xml version="1.0" encoding="utf-8"?>
<formControlPr xmlns="http://schemas.microsoft.com/office/spreadsheetml/2009/9/main" objectType="Drop" dropLines="2" dropStyle="combo" dx="18" fmlaLink="CONTROL!$C$29" fmlaRange="CONTROL!$B$29:$B$30" val="0"/>
</file>

<file path=xl/ctrlProps/ctrlProp5.xml><?xml version="1.0" encoding="utf-8"?>
<formControlPr xmlns="http://schemas.microsoft.com/office/spreadsheetml/2009/9/main" objectType="Drop" dropLines="3" dropStyle="combo" dx="18" fmlaLink="CONTROL!$C$23" fmlaRange="CONTROL!$B$23:$B$25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171450</xdr:rowOff>
        </xdr:from>
        <xdr:to>
          <xdr:col>4</xdr:col>
          <xdr:colOff>533400</xdr:colOff>
          <xdr:row>12</xdr:row>
          <xdr:rowOff>95250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10</xdr:row>
          <xdr:rowOff>171450</xdr:rowOff>
        </xdr:from>
        <xdr:to>
          <xdr:col>6</xdr:col>
          <xdr:colOff>257175</xdr:colOff>
          <xdr:row>12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47625</xdr:rowOff>
        </xdr:from>
        <xdr:to>
          <xdr:col>6</xdr:col>
          <xdr:colOff>381000</xdr:colOff>
          <xdr:row>11</xdr:row>
          <xdr:rowOff>152400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4.zip\2014\7.%20July\140707%202014%20-%202100%20LONG%20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SO2 &amp; NOX Calculations"/>
      <sheetName val="COAL - Monthly"/>
      <sheetName val="COAL &amp; PET COKE 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62"/>
  <sheetViews>
    <sheetView tabSelected="1" zoomScale="70" zoomScaleNormal="70" workbookViewId="0">
      <pane xSplit="1" ySplit="15" topLeftCell="B16" activePane="bottomRight" state="frozen"/>
      <selection activeCell="C5" sqref="C5"/>
      <selection pane="topRight" activeCell="C5" sqref="C5"/>
      <selection pane="bottomLeft" activeCell="C5" sqref="C5"/>
      <selection pane="bottomRight" activeCell="B16" sqref="B16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92" t="s">
        <v>65</v>
      </c>
    </row>
    <row r="2" spans="1:19" ht="15.75">
      <c r="A2" s="92" t="s">
        <v>66</v>
      </c>
    </row>
    <row r="3" spans="1:19" ht="15.75">
      <c r="A3" s="92" t="s">
        <v>67</v>
      </c>
    </row>
    <row r="4" spans="1:19" ht="15.75">
      <c r="A4" s="92" t="s">
        <v>68</v>
      </c>
    </row>
    <row r="5" spans="1:19" ht="15.75">
      <c r="A5" s="92" t="s">
        <v>69</v>
      </c>
    </row>
    <row r="6" spans="1:19" ht="15.75">
      <c r="A6" s="92" t="s">
        <v>70</v>
      </c>
    </row>
    <row r="7" spans="1:19" s="90" customFormat="1" ht="24.75" customHeight="1">
      <c r="A7" s="88" t="s">
        <v>26</v>
      </c>
      <c r="F7" s="91"/>
      <c r="H7" s="91"/>
    </row>
    <row r="8" spans="1:19" s="90" customFormat="1" ht="15" customHeight="1">
      <c r="A8" s="59" t="s">
        <v>25</v>
      </c>
      <c r="F8" s="91"/>
      <c r="H8" s="91"/>
    </row>
    <row r="9" spans="1:19" ht="15" customHeight="1">
      <c r="A9" s="1"/>
      <c r="G9" s="32"/>
      <c r="N9" s="31"/>
    </row>
    <row r="10" spans="1:19" ht="15" customHeight="1">
      <c r="C10" s="30" t="s">
        <v>24</v>
      </c>
      <c r="D10" s="29">
        <f>1-0.209</f>
        <v>0.79100000000000004</v>
      </c>
      <c r="E10" s="30" t="s">
        <v>23</v>
      </c>
      <c r="F10" s="29">
        <f>1+0.209</f>
        <v>1.2090000000000001</v>
      </c>
    </row>
    <row r="11" spans="1:19" ht="15" customHeight="1">
      <c r="A11" s="1"/>
    </row>
    <row r="12" spans="1:19" ht="15" customHeight="1">
      <c r="D12" s="10"/>
      <c r="E12" s="10"/>
      <c r="F12" s="10"/>
      <c r="G12" s="10"/>
      <c r="I12" s="10"/>
      <c r="K12" s="28"/>
      <c r="L12" s="93" t="s">
        <v>22</v>
      </c>
      <c r="M12" s="93"/>
      <c r="N12" s="93"/>
      <c r="O12" s="93"/>
      <c r="P12" s="93"/>
      <c r="Q12" s="93"/>
      <c r="R12" s="93"/>
      <c r="S12" s="93"/>
    </row>
    <row r="13" spans="1:19" ht="15" customHeight="1">
      <c r="B13" s="10"/>
      <c r="C13" s="10"/>
      <c r="D13" s="10"/>
      <c r="E13" s="10"/>
      <c r="F13" s="10"/>
      <c r="G13" s="10"/>
      <c r="I13" s="10"/>
      <c r="K13" s="27"/>
      <c r="L13" s="93" t="s">
        <v>21</v>
      </c>
      <c r="M13" s="93"/>
      <c r="N13" s="93"/>
      <c r="O13" s="93"/>
      <c r="P13" s="93"/>
      <c r="Q13" s="93"/>
      <c r="R13" s="93"/>
      <c r="S13" s="93"/>
    </row>
    <row r="14" spans="1:19" s="21" customFormat="1" ht="112.5" customHeight="1">
      <c r="B14" s="24" t="s">
        <v>20</v>
      </c>
      <c r="C14" s="24" t="s">
        <v>19</v>
      </c>
      <c r="D14" s="24" t="s">
        <v>18</v>
      </c>
      <c r="E14" s="24" t="s">
        <v>17</v>
      </c>
      <c r="F14" s="23" t="s">
        <v>16</v>
      </c>
      <c r="G14" s="24" t="s">
        <v>15</v>
      </c>
      <c r="H14" s="23" t="s">
        <v>14</v>
      </c>
      <c r="I14" s="24" t="s">
        <v>13</v>
      </c>
      <c r="J14" s="23" t="s">
        <v>12</v>
      </c>
      <c r="K14" s="26" t="s">
        <v>11</v>
      </c>
      <c r="L14" s="22" t="s">
        <v>10</v>
      </c>
      <c r="M14" s="22" t="s">
        <v>9</v>
      </c>
      <c r="N14" s="22" t="s">
        <v>8</v>
      </c>
      <c r="O14" s="22" t="s">
        <v>7</v>
      </c>
      <c r="P14" s="22" t="s">
        <v>6</v>
      </c>
      <c r="Q14" s="22" t="s">
        <v>5</v>
      </c>
      <c r="R14" s="22" t="s">
        <v>4</v>
      </c>
      <c r="S14" s="25" t="s">
        <v>3</v>
      </c>
    </row>
    <row r="15" spans="1:19" s="21" customFormat="1" ht="15" customHeight="1">
      <c r="A15" s="23" t="s">
        <v>2</v>
      </c>
      <c r="B15" s="24" t="s">
        <v>1</v>
      </c>
      <c r="C15" s="24" t="s">
        <v>1</v>
      </c>
      <c r="D15" s="24" t="s">
        <v>1</v>
      </c>
      <c r="E15" s="24" t="s">
        <v>1</v>
      </c>
      <c r="F15" s="23" t="s">
        <v>1</v>
      </c>
      <c r="G15" s="24" t="s">
        <v>1</v>
      </c>
      <c r="H15" s="23" t="s">
        <v>1</v>
      </c>
      <c r="I15" s="24" t="s">
        <v>1</v>
      </c>
      <c r="J15" s="23" t="s">
        <v>1</v>
      </c>
      <c r="K15" s="23" t="s">
        <v>1</v>
      </c>
      <c r="L15" s="22" t="s">
        <v>0</v>
      </c>
      <c r="M15" s="22" t="s">
        <v>0</v>
      </c>
      <c r="N15" s="22" t="s">
        <v>0</v>
      </c>
      <c r="O15" s="22" t="s">
        <v>0</v>
      </c>
      <c r="P15" s="22" t="s">
        <v>0</v>
      </c>
      <c r="Q15" s="22" t="s">
        <v>0</v>
      </c>
      <c r="R15" s="22" t="s">
        <v>0</v>
      </c>
      <c r="S15" s="22" t="s">
        <v>0</v>
      </c>
    </row>
    <row r="16" spans="1:19" ht="15" customHeight="1">
      <c r="A16" s="13">
        <v>41640</v>
      </c>
      <c r="B16" s="8">
        <v>4.5403508981821297</v>
      </c>
      <c r="C16" s="8">
        <v>4.5453053729014501</v>
      </c>
      <c r="D16" s="8">
        <v>4.5474406031906298</v>
      </c>
      <c r="E16" s="12">
        <v>4.5470654716081098</v>
      </c>
      <c r="F16" s="4">
        <v>5.2054822160436602</v>
      </c>
      <c r="G16" s="8">
        <v>4.5299185954854799</v>
      </c>
      <c r="H16" s="4">
        <v>5.1810010193679901</v>
      </c>
      <c r="I16" s="8">
        <v>4.5333202317294603</v>
      </c>
      <c r="J16" s="4">
        <v>4.407</v>
      </c>
      <c r="K16" s="4">
        <v>4.4959996929375601</v>
      </c>
      <c r="L16" s="9">
        <v>29.253942540000001</v>
      </c>
      <c r="M16" s="9">
        <v>12.063650000000001</v>
      </c>
      <c r="N16" s="9">
        <v>4.9444999999999997</v>
      </c>
      <c r="O16" s="9">
        <v>0.71033400000000002</v>
      </c>
      <c r="P16" s="9">
        <v>0.77903628000000003</v>
      </c>
      <c r="Q16" s="9"/>
      <c r="R16" s="9">
        <v>0.4</v>
      </c>
      <c r="S16" s="20">
        <v>1.0435350000000001</v>
      </c>
    </row>
    <row r="17" spans="1:19" ht="15" customHeight="1">
      <c r="A17" s="13">
        <v>41671</v>
      </c>
      <c r="B17" s="8">
        <v>5.7253939823975104</v>
      </c>
      <c r="C17" s="8">
        <v>5.7303484571168299</v>
      </c>
      <c r="D17" s="8">
        <v>5.7503593719377601</v>
      </c>
      <c r="E17" s="12">
        <v>5.7440587165890404</v>
      </c>
      <c r="F17" s="4">
        <v>6.4008229009180804</v>
      </c>
      <c r="G17" s="8">
        <v>5.7195685555344298</v>
      </c>
      <c r="H17" s="4">
        <v>6.3642786331106604</v>
      </c>
      <c r="I17" s="8">
        <v>5.77879893816087</v>
      </c>
      <c r="J17" s="4">
        <v>5.55779533908155</v>
      </c>
      <c r="K17" s="4">
        <v>5.6800276756208303</v>
      </c>
      <c r="L17" s="9">
        <v>26.512149040000001</v>
      </c>
      <c r="M17" s="9">
        <v>10.8962</v>
      </c>
      <c r="N17" s="9">
        <v>4.4660000000000002</v>
      </c>
      <c r="O17" s="9">
        <v>0.64159200000000005</v>
      </c>
      <c r="P17" s="9">
        <v>0.77903628000000003</v>
      </c>
      <c r="Q17" s="9"/>
      <c r="R17" s="9">
        <v>0.4</v>
      </c>
      <c r="S17" s="20">
        <v>1.0435350000000001</v>
      </c>
    </row>
    <row r="18" spans="1:19" ht="15" customHeight="1">
      <c r="A18" s="13">
        <v>41699</v>
      </c>
      <c r="B18" s="8">
        <v>5.0025024161324501</v>
      </c>
      <c r="C18" s="8">
        <v>5.0074568908517696</v>
      </c>
      <c r="D18" s="8">
        <v>5.0614249041503099</v>
      </c>
      <c r="E18" s="12">
        <v>5.0429066154505398</v>
      </c>
      <c r="F18" s="4">
        <v>5.7088241366301604</v>
      </c>
      <c r="G18" s="8">
        <v>5.0372470232526201</v>
      </c>
      <c r="H18" s="4">
        <v>5.6792633425907804</v>
      </c>
      <c r="I18" s="8">
        <v>5.0444680614808997</v>
      </c>
      <c r="J18" s="4">
        <v>4.85579533908155</v>
      </c>
      <c r="K18" s="4">
        <v>4.9655957411274896</v>
      </c>
      <c r="L18" s="9">
        <v>29.394616540000001</v>
      </c>
      <c r="M18" s="9">
        <v>12.063650000000001</v>
      </c>
      <c r="N18" s="9">
        <v>4.9444999999999997</v>
      </c>
      <c r="O18" s="9">
        <v>0.71033400000000002</v>
      </c>
      <c r="P18" s="9">
        <v>0.77903628000000003</v>
      </c>
      <c r="Q18" s="9"/>
      <c r="R18" s="9">
        <v>0.4</v>
      </c>
      <c r="S18" s="20">
        <v>1.0435350000000001</v>
      </c>
    </row>
    <row r="19" spans="1:19" ht="15" customHeight="1">
      <c r="A19" s="13">
        <v>41730</v>
      </c>
      <c r="B19" s="8">
        <v>4.7242193852928898</v>
      </c>
      <c r="C19" s="8">
        <v>4.7285916418283396</v>
      </c>
      <c r="D19" s="8">
        <v>4.8068059613357903</v>
      </c>
      <c r="E19" s="12">
        <v>4.7822326339714403</v>
      </c>
      <c r="F19" s="4">
        <v>5.4863959623947602</v>
      </c>
      <c r="G19" s="8">
        <v>4.7603316510110698</v>
      </c>
      <c r="H19" s="4">
        <v>5.4590798563522398</v>
      </c>
      <c r="I19" s="8">
        <v>4.7562598941315004</v>
      </c>
      <c r="J19" s="4">
        <v>4.5847953390815501</v>
      </c>
      <c r="K19" s="4">
        <v>4.68923954870169</v>
      </c>
      <c r="L19" s="9">
        <v>30.193848039999999</v>
      </c>
      <c r="M19" s="9">
        <v>11.6745</v>
      </c>
      <c r="N19" s="9">
        <v>4.7850000000000001</v>
      </c>
      <c r="O19" s="9">
        <v>0.68742000000000003</v>
      </c>
      <c r="P19" s="9">
        <v>0.77903628000000003</v>
      </c>
      <c r="Q19" s="9"/>
      <c r="R19" s="9">
        <v>0.3</v>
      </c>
      <c r="S19" s="20">
        <v>1.0435350000000001</v>
      </c>
    </row>
    <row r="20" spans="1:19" ht="15" customHeight="1">
      <c r="A20" s="13">
        <v>41760</v>
      </c>
      <c r="B20" s="8">
        <v>4.9381176608916197</v>
      </c>
      <c r="C20" s="8">
        <v>4.9461153623711702</v>
      </c>
      <c r="D20" s="8">
        <v>5.0065241995266598</v>
      </c>
      <c r="E20" s="12">
        <v>4.99187975990304</v>
      </c>
      <c r="F20" s="4">
        <v>5.7148753737689901</v>
      </c>
      <c r="G20" s="8">
        <v>4.9585702312142796</v>
      </c>
      <c r="H20" s="4">
        <v>5.93206327334065</v>
      </c>
      <c r="I20" s="8">
        <v>4.9481720595449401</v>
      </c>
      <c r="J20" s="4">
        <v>4.7961753344205196</v>
      </c>
      <c r="K20" s="4">
        <v>4.8989427169094304</v>
      </c>
      <c r="L20" s="9">
        <v>32.596418040000003</v>
      </c>
      <c r="M20" s="9">
        <v>12.063650000000001</v>
      </c>
      <c r="N20" s="9">
        <v>4.9444999999999997</v>
      </c>
      <c r="O20" s="9">
        <v>0.71033400000000002</v>
      </c>
      <c r="P20" s="9">
        <v>0.80500415599999997</v>
      </c>
      <c r="Q20" s="9"/>
      <c r="R20" s="9">
        <v>0.3</v>
      </c>
      <c r="S20" s="20">
        <v>1.0435350000000001</v>
      </c>
    </row>
    <row r="21" spans="1:19" ht="15" customHeight="1">
      <c r="A21" s="13">
        <v>41791</v>
      </c>
      <c r="B21" s="8">
        <f>CHOOSE( CONTROL!$C$33, 4.7567, 4.7551) * CHOOSE(CONTROL!$C$16, $D$10, 100%, $F$10)</f>
        <v>4.7567000000000004</v>
      </c>
      <c r="C21" s="8">
        <f>CHOOSE( CONTROL!$C$33, 4.7647, 4.7631) * CHOOSE(CONTROL!$C$16, $D$10, 100%, $F$10)</f>
        <v>4.7647000000000004</v>
      </c>
      <c r="D21" s="8">
        <f>CHOOSE( CONTROL!$C$33, 4.793, 4.7914) * CHOOSE( CONTROL!$C$16, $D$10, 100%, $F$10)</f>
        <v>4.7930000000000001</v>
      </c>
      <c r="E21" s="12">
        <f>CHOOSE( CONTROL!$C$33, 4.782, 4.7804) * CHOOSE( CONTROL!$C$16, $D$10, 100%, $F$10)</f>
        <v>4.782</v>
      </c>
      <c r="F21" s="4">
        <f>CHOOSE( CONTROL!$C$33, 5.5001, 5.4985) * CHOOSE(CONTROL!$C$16, $D$10, 100%, $F$10)</f>
        <v>5.5000999999999998</v>
      </c>
      <c r="G21" s="8">
        <f>CHOOSE( CONTROL!$C$33, 4.7598, 4.7583) * CHOOSE( CONTROL!$C$16, $D$10, 100%, $F$10)</f>
        <v>4.7598000000000003</v>
      </c>
      <c r="H21" s="4">
        <f>CHOOSE( CONTROL!$C$33, 5.6972, 5.6956) * CHOOSE(CONTROL!$C$16, $D$10, 100%, $F$10)</f>
        <v>5.6971999999999996</v>
      </c>
      <c r="I21" s="8">
        <f>CHOOSE( CONTROL!$C$33, 4.7519, 4.7504) * CHOOSE(CONTROL!$C$16, $D$10, 100%, $F$10)</f>
        <v>4.7519</v>
      </c>
      <c r="J21" s="4">
        <f>CHOOSE( CONTROL!$C$33, 4.6205, 4.619) * CHOOSE(CONTROL!$C$16, $D$10, 100%, $F$10)</f>
        <v>4.6204999999999998</v>
      </c>
      <c r="K21" s="4">
        <f>CHOOSE( CONTROL!$C$33, 4.713, 4.7115) * CHOOSE(CONTROL!$C$16, $D$10, 100%, $F$10)</f>
        <v>4.7130000000000001</v>
      </c>
      <c r="L21" s="9">
        <v>30.775700000000001</v>
      </c>
      <c r="M21" s="9">
        <v>11.6745</v>
      </c>
      <c r="N21" s="9">
        <v>4.3724999999999996</v>
      </c>
      <c r="O21" s="9">
        <v>0.59589999999999999</v>
      </c>
      <c r="P21" s="9">
        <v>0.78300000000000003</v>
      </c>
      <c r="Q21" s="9"/>
      <c r="R21" s="9">
        <v>0.3</v>
      </c>
      <c r="S21" s="19">
        <v>1.0573999999999999</v>
      </c>
    </row>
    <row r="22" spans="1:19" ht="15" customHeight="1">
      <c r="A22" s="13">
        <v>41821</v>
      </c>
      <c r="B22" s="8">
        <f>CHOOSE( CONTROL!$C$33, 4.5305, 4.529) * CHOOSE(CONTROL!$C$16, $D$10, 100%, $F$10)</f>
        <v>4.5305</v>
      </c>
      <c r="C22" s="8">
        <f>CHOOSE( CONTROL!$C$33, 4.5385, 4.537) * CHOOSE(CONTROL!$C$16, $D$10, 100%, $F$10)</f>
        <v>4.5385</v>
      </c>
      <c r="D22" s="8">
        <f>CHOOSE( CONTROL!$C$33, 4.5807, 4.5791) * CHOOSE( CONTROL!$C$16, $D$10, 100%, $F$10)</f>
        <v>4.5807000000000002</v>
      </c>
      <c r="E22" s="12">
        <f>CHOOSE( CONTROL!$C$33, 4.5648, 4.5632) * CHOOSE( CONTROL!$C$16, $D$10, 100%, $F$10)</f>
        <v>4.5648</v>
      </c>
      <c r="F22" s="4">
        <f>CHOOSE( CONTROL!$C$33, 5.2853, 5.2837) * CHOOSE(CONTROL!$C$16, $D$10, 100%, $F$10)</f>
        <v>5.2853000000000003</v>
      </c>
      <c r="G22" s="8">
        <f>CHOOSE( CONTROL!$C$33, 4.5507, 4.5491) * CHOOSE( CONTROL!$C$16, $D$10, 100%, $F$10)</f>
        <v>4.5507</v>
      </c>
      <c r="H22" s="4">
        <f>CHOOSE( CONTROL!$C$33, 5.4854, 5.4838) * CHOOSE(CONTROL!$C$16, $D$10, 100%, $F$10)</f>
        <v>5.4854000000000003</v>
      </c>
      <c r="I22" s="8">
        <f>CHOOSE( CONTROL!$C$33, 4.5445, 4.543) * CHOOSE(CONTROL!$C$16, $D$10, 100%, $F$10)</f>
        <v>4.5445000000000002</v>
      </c>
      <c r="J22" s="4">
        <f>CHOOSE( CONTROL!$C$33, 4.4015, 4.4) * CHOOSE(CONTROL!$C$16, $D$10, 100%, $F$10)</f>
        <v>4.4015000000000004</v>
      </c>
      <c r="K22" s="4">
        <f>CHOOSE( CONTROL!$C$33, 4.5093, 4.5078) * CHOOSE(CONTROL!$C$16, $D$10, 100%, $F$10)</f>
        <v>4.5092999999999996</v>
      </c>
      <c r="L22" s="9">
        <v>31.801500000000001</v>
      </c>
      <c r="M22" s="9">
        <v>12.063700000000001</v>
      </c>
      <c r="N22" s="9">
        <v>4.5183</v>
      </c>
      <c r="O22" s="9">
        <v>0.61570000000000003</v>
      </c>
      <c r="P22" s="9">
        <v>0.80910000000000004</v>
      </c>
      <c r="Q22" s="9"/>
      <c r="R22" s="9">
        <f t="shared" ref="R22:R55" si="0">(0.12*2500000)/1000000</f>
        <v>0.3</v>
      </c>
      <c r="S22" s="17">
        <v>1.0592999999999999</v>
      </c>
    </row>
    <row r="23" spans="1:19" ht="15" customHeight="1">
      <c r="A23" s="13">
        <v>41852</v>
      </c>
      <c r="B23" s="8">
        <f>CHOOSE( CONTROL!$C$33, 4.3498, 4.3482) * CHOOSE(CONTROL!$C$16, $D$10, 100%, $F$10)</f>
        <v>4.3498000000000001</v>
      </c>
      <c r="C23" s="8">
        <f>CHOOSE( CONTROL!$C$33, 4.3578, 4.3562) * CHOOSE(CONTROL!$C$16, $D$10, 100%, $F$10)</f>
        <v>4.3578000000000001</v>
      </c>
      <c r="D23" s="8">
        <f>CHOOSE( CONTROL!$C$33, 4.394, 4.3924) * CHOOSE( CONTROL!$C$16, $D$10, 100%, $F$10)</f>
        <v>4.3940000000000001</v>
      </c>
      <c r="E23" s="12">
        <f>CHOOSE( CONTROL!$C$33, 4.3802, 4.3786) * CHOOSE( CONTROL!$C$16, $D$10, 100%, $F$10)</f>
        <v>4.3802000000000003</v>
      </c>
      <c r="F23" s="4">
        <f>CHOOSE( CONTROL!$C$33, 5.1061, 5.1045) * CHOOSE(CONTROL!$C$16, $D$10, 100%, $F$10)</f>
        <v>5.1060999999999996</v>
      </c>
      <c r="G23" s="8">
        <f>CHOOSE( CONTROL!$C$33, 4.3659, 4.3644) * CHOOSE( CONTROL!$C$16, $D$10, 100%, $F$10)</f>
        <v>4.3658999999999999</v>
      </c>
      <c r="H23" s="4">
        <f>CHOOSE( CONTROL!$C$33, 5.3087, 5.3071) * CHOOSE(CONTROL!$C$16, $D$10, 100%, $F$10)</f>
        <v>5.3087</v>
      </c>
      <c r="I23" s="8">
        <f>CHOOSE( CONTROL!$C$33, 4.3597, 4.3582) * CHOOSE(CONTROL!$C$16, $D$10, 100%, $F$10)</f>
        <v>4.3597000000000001</v>
      </c>
      <c r="J23" s="4">
        <f>CHOOSE( CONTROL!$C$33, 4.2265, 4.225) * CHOOSE(CONTROL!$C$16, $D$10, 100%, $F$10)</f>
        <v>4.2264999999999997</v>
      </c>
      <c r="K23" s="4">
        <f>CHOOSE( CONTROL!$C$33, 4.3261, 4.3246) * CHOOSE(CONTROL!$C$16, $D$10, 100%, $F$10)</f>
        <v>4.3261000000000003</v>
      </c>
      <c r="L23" s="9">
        <v>31.801500000000001</v>
      </c>
      <c r="M23" s="9">
        <v>12.063700000000001</v>
      </c>
      <c r="N23" s="9">
        <v>4.5183</v>
      </c>
      <c r="O23" s="9">
        <v>0.61570000000000003</v>
      </c>
      <c r="P23" s="9">
        <v>0.80910000000000004</v>
      </c>
      <c r="Q23" s="9"/>
      <c r="R23" s="9">
        <f t="shared" si="0"/>
        <v>0.3</v>
      </c>
      <c r="S23" s="17">
        <v>1.0592999999999999</v>
      </c>
    </row>
    <row r="24" spans="1:19" ht="15" customHeight="1">
      <c r="A24" s="13">
        <v>41883</v>
      </c>
      <c r="B24" s="8">
        <f>CHOOSE( CONTROL!$C$33, 4.3436, 4.342) * CHOOSE(CONTROL!$C$16, $D$10, 100%, $F$10)</f>
        <v>4.3436000000000003</v>
      </c>
      <c r="C24" s="8">
        <f>CHOOSE( CONTROL!$C$33, 4.3516, 4.35) * CHOOSE(CONTROL!$C$16, $D$10, 100%, $F$10)</f>
        <v>4.3516000000000004</v>
      </c>
      <c r="D24" s="8">
        <f>CHOOSE( CONTROL!$C$33, 4.3913, 4.3897) * CHOOSE( CONTROL!$C$16, $D$10, 100%, $F$10)</f>
        <v>4.3913000000000002</v>
      </c>
      <c r="E24" s="12">
        <f>CHOOSE( CONTROL!$C$33, 4.3763, 4.3747) * CHOOSE( CONTROL!$C$16, $D$10, 100%, $F$10)</f>
        <v>4.3762999999999996</v>
      </c>
      <c r="F24" s="4">
        <f>CHOOSE( CONTROL!$C$33, 5.1115, 5.1099) * CHOOSE(CONTROL!$C$16, $D$10, 100%, $F$10)</f>
        <v>5.1115000000000004</v>
      </c>
      <c r="G24" s="8">
        <f>CHOOSE( CONTROL!$C$33, 4.3624, 4.3608) * CHOOSE( CONTROL!$C$16, $D$10, 100%, $F$10)</f>
        <v>4.3624000000000001</v>
      </c>
      <c r="H24" s="4">
        <f>CHOOSE( CONTROL!$C$33, 5.314, 5.3125) * CHOOSE(CONTROL!$C$16, $D$10, 100%, $F$10)</f>
        <v>5.3140000000000001</v>
      </c>
      <c r="I24" s="8">
        <f>CHOOSE( CONTROL!$C$33, 4.3489, 4.3474) * CHOOSE(CONTROL!$C$16, $D$10, 100%, $F$10)</f>
        <v>4.3489000000000004</v>
      </c>
      <c r="J24" s="4">
        <f>CHOOSE( CONTROL!$C$33, 4.2205, 4.219) * CHOOSE(CONTROL!$C$16, $D$10, 100%, $F$10)</f>
        <v>4.2205000000000004</v>
      </c>
      <c r="K24" s="4">
        <f>CHOOSE( CONTROL!$C$33, 4.3215, 4.32) * CHOOSE(CONTROL!$C$16, $D$10, 100%, $F$10)</f>
        <v>4.3215000000000003</v>
      </c>
      <c r="L24" s="9">
        <v>30.775700000000001</v>
      </c>
      <c r="M24" s="9">
        <v>11.6745</v>
      </c>
      <c r="N24" s="9">
        <v>4.3724999999999996</v>
      </c>
      <c r="O24" s="9">
        <v>0.59589999999999999</v>
      </c>
      <c r="P24" s="9">
        <v>0.78300000000000003</v>
      </c>
      <c r="Q24" s="9"/>
      <c r="R24" s="9">
        <f t="shared" si="0"/>
        <v>0.3</v>
      </c>
      <c r="S24" s="17">
        <v>1.0592999999999999</v>
      </c>
    </row>
    <row r="25" spans="1:19" ht="15" customHeight="1">
      <c r="A25" s="13">
        <v>41913</v>
      </c>
      <c r="B25" s="8">
        <f>CHOOSE( CONTROL!$C$33, 4.3435, 4.3424) * CHOOSE(CONTROL!$C$16, $D$10, 100%, $F$10)</f>
        <v>4.3434999999999997</v>
      </c>
      <c r="C25" s="8">
        <f>CHOOSE( CONTROL!$C$33, 4.3489, 4.3477) * CHOOSE(CONTROL!$C$16, $D$10, 100%, $F$10)</f>
        <v>4.3489000000000004</v>
      </c>
      <c r="D25" s="8">
        <f>CHOOSE( CONTROL!$C$33, 4.3964, 4.3953) * CHOOSE( CONTROL!$C$16, $D$10, 100%, $F$10)</f>
        <v>4.3963999999999999</v>
      </c>
      <c r="E25" s="12">
        <f>CHOOSE( CONTROL!$C$33, 4.3801, 4.379) * CHOOSE( CONTROL!$C$16, $D$10, 100%, $F$10)</f>
        <v>4.3800999999999997</v>
      </c>
      <c r="F25" s="4">
        <f>CHOOSE( CONTROL!$C$33, 5.1131, 5.112) * CHOOSE(CONTROL!$C$16, $D$10, 100%, $F$10)</f>
        <v>5.1131000000000002</v>
      </c>
      <c r="G25" s="8">
        <f>CHOOSE( CONTROL!$C$33, 4.348, 4.3469) * CHOOSE( CONTROL!$C$16, $D$10, 100%, $F$10)</f>
        <v>4.3479999999999999</v>
      </c>
      <c r="H25" s="4">
        <f>CHOOSE( CONTROL!$C$33, 5.3156, 5.3145) * CHOOSE(CONTROL!$C$16, $D$10, 100%, $F$10)</f>
        <v>5.3155999999999999</v>
      </c>
      <c r="I25" s="8">
        <f>CHOOSE( CONTROL!$C$33, 4.3506, 4.3495) * CHOOSE(CONTROL!$C$16, $D$10, 100%, $F$10)</f>
        <v>4.3506</v>
      </c>
      <c r="J25" s="4">
        <f>CHOOSE( CONTROL!$C$33, 4.2221, 4.221) * CHOOSE(CONTROL!$C$16, $D$10, 100%, $F$10)</f>
        <v>4.2221000000000002</v>
      </c>
      <c r="K25" s="4">
        <f>CHOOSE( CONTROL!$C$33, 4.32, 4.3189) * CHOOSE(CONTROL!$C$16, $D$10, 100%, $F$10)</f>
        <v>4.32</v>
      </c>
      <c r="L25" s="9">
        <v>30.661300000000001</v>
      </c>
      <c r="M25" s="9">
        <v>12.063700000000001</v>
      </c>
      <c r="N25" s="9">
        <v>4.9444999999999997</v>
      </c>
      <c r="O25" s="9">
        <v>0.61570000000000003</v>
      </c>
      <c r="P25" s="9">
        <v>0.80910000000000004</v>
      </c>
      <c r="Q25" s="9"/>
      <c r="R25" s="9">
        <f t="shared" si="0"/>
        <v>0.3</v>
      </c>
      <c r="S25" s="17">
        <v>1.0592999999999999</v>
      </c>
    </row>
    <row r="26" spans="1:19" ht="15" customHeight="1">
      <c r="A26" s="13">
        <v>41944</v>
      </c>
      <c r="B26" s="8">
        <f>CHOOSE( CONTROL!$C$33, 4.3823, 4.3812) * CHOOSE(CONTROL!$C$16, $D$10, 100%, $F$10)</f>
        <v>4.3822999999999999</v>
      </c>
      <c r="C26" s="8">
        <f>CHOOSE( CONTROL!$C$33, 4.3874, 4.3863) * CHOOSE(CONTROL!$C$16, $D$10, 100%, $F$10)</f>
        <v>4.3874000000000004</v>
      </c>
      <c r="D26" s="8">
        <f>CHOOSE( CONTROL!$C$33, 4.3936, 4.3924) * CHOOSE( CONTROL!$C$16, $D$10, 100%, $F$10)</f>
        <v>4.3936000000000002</v>
      </c>
      <c r="E26" s="12">
        <f>CHOOSE( CONTROL!$C$33, 4.3908, 4.3896) * CHOOSE( CONTROL!$C$16, $D$10, 100%, $F$10)</f>
        <v>4.3907999999999996</v>
      </c>
      <c r="F26" s="4">
        <f>CHOOSE( CONTROL!$C$33, 5.0607, 5.0596) * CHOOSE(CONTROL!$C$16, $D$10, 100%, $F$10)</f>
        <v>5.0606999999999998</v>
      </c>
      <c r="G26" s="8">
        <f>CHOOSE( CONTROL!$C$33, 4.375, 4.3739) * CHOOSE( CONTROL!$C$16, $D$10, 100%, $F$10)</f>
        <v>4.375</v>
      </c>
      <c r="H26" s="18">
        <f>CHOOSE( CONTROL!$C$33, 5.2639, 5.2628) * CHOOSE(CONTROL!$C$16, $D$10, 100%, $F$10)</f>
        <v>5.2638999999999996</v>
      </c>
      <c r="I26" s="8">
        <f>CHOOSE( CONTROL!$C$33, 4.4195, 4.4184) * CHOOSE(CONTROL!$C$16, $D$10, 100%, $F$10)</f>
        <v>4.4195000000000002</v>
      </c>
      <c r="J26" s="4">
        <f>CHOOSE( CONTROL!$C$33, 4.2601, 4.259) * CHOOSE(CONTROL!$C$16, $D$10, 100%, $F$10)</f>
        <v>4.2601000000000004</v>
      </c>
      <c r="K26" s="4">
        <f>CHOOSE( CONTROL!$C$33, 4.3569, 4.3558) * CHOOSE(CONTROL!$C$16, $D$10, 100%, $F$10)</f>
        <v>4.3569000000000004</v>
      </c>
      <c r="L26" s="9">
        <v>27.9406</v>
      </c>
      <c r="M26" s="9">
        <v>11.6745</v>
      </c>
      <c r="N26" s="9">
        <v>4.7850000000000001</v>
      </c>
      <c r="O26" s="9">
        <v>0.59589999999999999</v>
      </c>
      <c r="P26" s="9">
        <v>0</v>
      </c>
      <c r="Q26" s="9"/>
      <c r="R26" s="9">
        <f t="shared" si="0"/>
        <v>0.3</v>
      </c>
      <c r="S26" s="17">
        <v>1.0592999999999999</v>
      </c>
    </row>
    <row r="27" spans="1:19" ht="15" customHeight="1">
      <c r="A27" s="13">
        <v>41974</v>
      </c>
      <c r="B27" s="8">
        <f>CHOOSE( CONTROL!$C$33, 4.4546, 4.4535) * CHOOSE(CONTROL!$C$16, $D$10, 100%, $F$10)</f>
        <v>4.4546000000000001</v>
      </c>
      <c r="C27" s="8">
        <f>CHOOSE( CONTROL!$C$33, 4.4597, 4.4586) * CHOOSE(CONTROL!$C$16, $D$10, 100%, $F$10)</f>
        <v>4.4596999999999998</v>
      </c>
      <c r="D27" s="8">
        <f>CHOOSE( CONTROL!$C$33, 4.4663, 4.4651) * CHOOSE( CONTROL!$C$16, $D$10, 100%, $F$10)</f>
        <v>4.4663000000000004</v>
      </c>
      <c r="E27" s="12">
        <f>CHOOSE( CONTROL!$C$33, 4.4633, 4.4622) * CHOOSE( CONTROL!$C$16, $D$10, 100%, $F$10)</f>
        <v>4.4633000000000003</v>
      </c>
      <c r="F27" s="4">
        <f>CHOOSE( CONTROL!$C$33, 5.133, 5.1319) * CHOOSE(CONTROL!$C$16, $D$10, 100%, $F$10)</f>
        <v>5.133</v>
      </c>
      <c r="G27" s="8">
        <f>CHOOSE( CONTROL!$C$33, 4.4467, 4.4455) * CHOOSE( CONTROL!$C$16, $D$10, 100%, $F$10)</f>
        <v>4.4466999999999999</v>
      </c>
      <c r="H27" s="4">
        <f>CHOOSE( CONTROL!$C$33, 5.3352, 5.3341) * CHOOSE(CONTROL!$C$16, $D$10, 100%, $F$10)</f>
        <v>5.3352000000000004</v>
      </c>
      <c r="I27" s="8">
        <f>CHOOSE( CONTROL!$C$33, 4.4916, 4.4905) * CHOOSE(CONTROL!$C$16, $D$10, 100%, $F$10)</f>
        <v>4.4916</v>
      </c>
      <c r="J27" s="18">
        <f>CHOOSE( CONTROL!$C$33, 4.3301, 4.329) * CHOOSE(CONTROL!$C$16, $D$10, 100%, $F$10)</f>
        <v>4.3300999999999998</v>
      </c>
      <c r="K27" s="4">
        <f>CHOOSE( CONTROL!$C$33, 4.4285, 4.4274) * CHOOSE(CONTROL!$C$16, $D$10, 100%, $F$10)</f>
        <v>4.4284999999999997</v>
      </c>
      <c r="L27" s="9">
        <v>28.872</v>
      </c>
      <c r="M27" s="9">
        <v>12.063700000000001</v>
      </c>
      <c r="N27" s="9">
        <v>4.9444999999999997</v>
      </c>
      <c r="O27" s="9">
        <v>0.61570000000000003</v>
      </c>
      <c r="P27" s="9">
        <v>0</v>
      </c>
      <c r="Q27" s="9"/>
      <c r="R27" s="9">
        <f t="shared" si="0"/>
        <v>0.3</v>
      </c>
      <c r="S27" s="17">
        <v>1.0592999999999999</v>
      </c>
    </row>
    <row r="28" spans="1:19" ht="15" customHeight="1">
      <c r="A28" s="13">
        <v>42005</v>
      </c>
      <c r="B28" s="8">
        <f>CHOOSE( CONTROL!$C$33, 4.5125, 4.5114) * CHOOSE(CONTROL!$C$16, $D$10, 100%, $F$10)</f>
        <v>4.5125000000000002</v>
      </c>
      <c r="C28" s="8">
        <f>CHOOSE( CONTROL!$C$33, 4.5176, 4.5164) * CHOOSE(CONTROL!$C$16, $D$10, 100%, $F$10)</f>
        <v>4.5175999999999998</v>
      </c>
      <c r="D28" s="8">
        <f>CHOOSE( CONTROL!$C$33, 4.5244, 4.5233) * CHOOSE( CONTROL!$C$16, $D$10, 100%, $F$10)</f>
        <v>4.5244</v>
      </c>
      <c r="E28" s="12">
        <f>CHOOSE( CONTROL!$C$33, 4.5214, 4.5202) * CHOOSE( CONTROL!$C$16, $D$10, 100%, $F$10)</f>
        <v>4.5213999999999999</v>
      </c>
      <c r="F28" s="4">
        <f>CHOOSE( CONTROL!$C$33, 5.1908, 5.1897) * CHOOSE(CONTROL!$C$16, $D$10, 100%, $F$10)</f>
        <v>5.1908000000000003</v>
      </c>
      <c r="G28" s="8">
        <f>CHOOSE( CONTROL!$C$33, 4.504, 4.5029) * CHOOSE( CONTROL!$C$16, $D$10, 100%, $F$10)</f>
        <v>4.5039999999999996</v>
      </c>
      <c r="H28" s="4">
        <f>CHOOSE( CONTROL!$C$33, 5.3923, 5.3912) * CHOOSE(CONTROL!$C$16, $D$10, 100%, $F$10)</f>
        <v>5.3922999999999996</v>
      </c>
      <c r="I28" s="8">
        <f>CHOOSE( CONTROL!$C$33, 4.5492, 4.5481) * CHOOSE(CONTROL!$C$16, $D$10, 100%, $F$10)</f>
        <v>4.5491999999999999</v>
      </c>
      <c r="J28" s="4">
        <f>CHOOSE( CONTROL!$C$33, 4.3861, 4.385) * CHOOSE(CONTROL!$C$16, $D$10, 100%, $F$10)</f>
        <v>4.3860999999999999</v>
      </c>
      <c r="K28" s="4">
        <f>CHOOSE( CONTROL!$C$33, 4.4859, 4.4847) * CHOOSE(CONTROL!$C$16, $D$10, 100%, $F$10)</f>
        <v>4.4859</v>
      </c>
      <c r="L28" s="9">
        <v>28.872</v>
      </c>
      <c r="M28" s="9">
        <v>12.063700000000001</v>
      </c>
      <c r="N28" s="9">
        <v>4.9444999999999997</v>
      </c>
      <c r="O28" s="9">
        <v>0.61570000000000003</v>
      </c>
      <c r="P28" s="9">
        <v>0</v>
      </c>
      <c r="Q28" s="9"/>
      <c r="R28" s="9">
        <f t="shared" si="0"/>
        <v>0.3</v>
      </c>
      <c r="S28" s="17">
        <v>1.0592999999999999</v>
      </c>
    </row>
    <row r="29" spans="1:19" ht="15" customHeight="1">
      <c r="A29" s="13">
        <v>42036</v>
      </c>
      <c r="B29" s="8">
        <f>CHOOSE( CONTROL!$C$33, 4.4918, 4.4907) * CHOOSE(CONTROL!$C$16, $D$10, 100%, $F$10)</f>
        <v>4.4917999999999996</v>
      </c>
      <c r="C29" s="8">
        <f>CHOOSE( CONTROL!$C$33, 4.4969, 4.4958) * CHOOSE(CONTROL!$C$16, $D$10, 100%, $F$10)</f>
        <v>4.4969000000000001</v>
      </c>
      <c r="D29" s="8">
        <f>CHOOSE( CONTROL!$C$33, 4.5036, 4.5025) * CHOOSE( CONTROL!$C$16, $D$10, 100%, $F$10)</f>
        <v>4.5035999999999996</v>
      </c>
      <c r="E29" s="12">
        <f>CHOOSE( CONTROL!$C$33, 4.5006, 4.4995) * CHOOSE( CONTROL!$C$16, $D$10, 100%, $F$10)</f>
        <v>4.5006000000000004</v>
      </c>
      <c r="F29" s="4">
        <f>CHOOSE( CONTROL!$C$33, 5.1702, 5.1691) * CHOOSE(CONTROL!$C$16, $D$10, 100%, $F$10)</f>
        <v>5.1702000000000004</v>
      </c>
      <c r="G29" s="8">
        <f>CHOOSE( CONTROL!$C$33, 4.4835, 4.4824) * CHOOSE( CONTROL!$C$16, $D$10, 100%, $F$10)</f>
        <v>4.4835000000000003</v>
      </c>
      <c r="H29" s="4">
        <f>CHOOSE( CONTROL!$C$33, 5.3719, 5.3708) * CHOOSE(CONTROL!$C$16, $D$10, 100%, $F$10)</f>
        <v>5.3719000000000001</v>
      </c>
      <c r="I29" s="8">
        <f>CHOOSE( CONTROL!$C$33, 4.5286, 4.5275) * CHOOSE(CONTROL!$C$16, $D$10, 100%, $F$10)</f>
        <v>4.5286</v>
      </c>
      <c r="J29" s="4">
        <f>CHOOSE( CONTROL!$C$33, 4.3661, 4.365) * CHOOSE(CONTROL!$C$16, $D$10, 100%, $F$10)</f>
        <v>4.3661000000000003</v>
      </c>
      <c r="K29" s="4">
        <f>CHOOSE( CONTROL!$C$33, 4.4654, 4.4643) * CHOOSE(CONTROL!$C$16, $D$10, 100%, $F$10)</f>
        <v>4.4653999999999998</v>
      </c>
      <c r="L29" s="9">
        <v>26.0779</v>
      </c>
      <c r="M29" s="9">
        <v>10.8962</v>
      </c>
      <c r="N29" s="9">
        <v>4.4660000000000002</v>
      </c>
      <c r="O29" s="9">
        <v>0.55610000000000004</v>
      </c>
      <c r="P29" s="9">
        <v>0</v>
      </c>
      <c r="Q29" s="9"/>
      <c r="R29" s="9">
        <f t="shared" si="0"/>
        <v>0.3</v>
      </c>
      <c r="S29" s="17">
        <v>1.0592999999999999</v>
      </c>
    </row>
    <row r="30" spans="1:19" ht="15" customHeight="1">
      <c r="A30" s="13">
        <v>42064</v>
      </c>
      <c r="B30" s="8">
        <f>CHOOSE( CONTROL!$C$33, 4.4102, 4.4091) * CHOOSE(CONTROL!$C$16, $D$10, 100%, $F$10)</f>
        <v>4.4101999999999997</v>
      </c>
      <c r="C30" s="8">
        <f>CHOOSE( CONTROL!$C$33, 4.4153, 4.4142) * CHOOSE(CONTROL!$C$16, $D$10, 100%, $F$10)</f>
        <v>4.4153000000000002</v>
      </c>
      <c r="D30" s="8">
        <f>CHOOSE( CONTROL!$C$33, 4.4216, 4.4205) * CHOOSE( CONTROL!$C$16, $D$10, 100%, $F$10)</f>
        <v>4.4215999999999998</v>
      </c>
      <c r="E30" s="12">
        <f>CHOOSE( CONTROL!$C$33, 4.4188, 4.4177) * CHOOSE( CONTROL!$C$16, $D$10, 100%, $F$10)</f>
        <v>4.4188000000000001</v>
      </c>
      <c r="F30" s="4">
        <f>CHOOSE( CONTROL!$C$33, 5.0886, 5.0875) * CHOOSE(CONTROL!$C$16, $D$10, 100%, $F$10)</f>
        <v>5.0885999999999996</v>
      </c>
      <c r="G30" s="8">
        <f>CHOOSE( CONTROL!$C$33, 4.4026, 4.4015) * CHOOSE( CONTROL!$C$16, $D$10, 100%, $F$10)</f>
        <v>4.4025999999999996</v>
      </c>
      <c r="H30" s="4">
        <f>CHOOSE( CONTROL!$C$33, 5.2914, 5.2903) * CHOOSE(CONTROL!$C$16, $D$10, 100%, $F$10)</f>
        <v>5.2914000000000003</v>
      </c>
      <c r="I30" s="8">
        <f>CHOOSE( CONTROL!$C$33, 4.4473, 4.4462) * CHOOSE(CONTROL!$C$16, $D$10, 100%, $F$10)</f>
        <v>4.4473000000000003</v>
      </c>
      <c r="J30" s="4">
        <f>CHOOSE( CONTROL!$C$33, 4.2871, 4.286) * CHOOSE(CONTROL!$C$16, $D$10, 100%, $F$10)</f>
        <v>4.2870999999999997</v>
      </c>
      <c r="K30" s="4">
        <f>CHOOSE( CONTROL!$C$33, 4.3845, 4.3834) * CHOOSE(CONTROL!$C$16, $D$10, 100%, $F$10)</f>
        <v>4.3845000000000001</v>
      </c>
      <c r="L30" s="9">
        <v>28.872</v>
      </c>
      <c r="M30" s="9">
        <v>12.063700000000001</v>
      </c>
      <c r="N30" s="9">
        <v>4.9444999999999997</v>
      </c>
      <c r="O30" s="9">
        <v>0.61570000000000003</v>
      </c>
      <c r="P30" s="9">
        <v>0</v>
      </c>
      <c r="Q30" s="9"/>
      <c r="R30" s="9">
        <f t="shared" si="0"/>
        <v>0.3</v>
      </c>
      <c r="S30" s="17">
        <v>1.0592999999999999</v>
      </c>
    </row>
    <row r="31" spans="1:19" ht="15" customHeight="1">
      <c r="A31" s="13">
        <v>42095</v>
      </c>
      <c r="B31" s="8">
        <f>CHOOSE( CONTROL!$C$33, 4.1043, 4.1032) * CHOOSE(CONTROL!$C$16, $D$10, 100%, $F$10)</f>
        <v>4.1043000000000003</v>
      </c>
      <c r="C31" s="8">
        <f>CHOOSE( CONTROL!$C$33, 4.1088, 4.1077) * CHOOSE(CONTROL!$C$16, $D$10, 100%, $F$10)</f>
        <v>4.1087999999999996</v>
      </c>
      <c r="D31" s="8">
        <f>CHOOSE( CONTROL!$C$33, 4.1104, 4.1093) * CHOOSE( CONTROL!$C$16, $D$10, 100%, $F$10)</f>
        <v>4.1104000000000003</v>
      </c>
      <c r="E31" s="12">
        <f>CHOOSE( CONTROL!$C$33, 4.1094, 4.1083) * CHOOSE( CONTROL!$C$16, $D$10, 100%, $F$10)</f>
        <v>4.1093999999999999</v>
      </c>
      <c r="F31" s="4">
        <f>CHOOSE( CONTROL!$C$33, 4.8826, 4.8814) * CHOOSE(CONTROL!$C$16, $D$10, 100%, $F$10)</f>
        <v>4.8826000000000001</v>
      </c>
      <c r="G31" s="8">
        <f>CHOOSE( CONTROL!$C$33, 4.0826, 4.0815) * CHOOSE( CONTROL!$C$16, $D$10, 100%, $F$10)</f>
        <v>4.0826000000000002</v>
      </c>
      <c r="H31" s="4">
        <f>CHOOSE( CONTROL!$C$33, 5.0883, 5.0872) * CHOOSE(CONTROL!$C$16, $D$10, 100%, $F$10)</f>
        <v>5.0883000000000003</v>
      </c>
      <c r="I31" s="8">
        <f>CHOOSE( CONTROL!$C$33, 4.1082, 4.1071) * CHOOSE(CONTROL!$C$16, $D$10, 100%, $F$10)</f>
        <v>4.1082000000000001</v>
      </c>
      <c r="J31" s="4">
        <f>CHOOSE( CONTROL!$C$33, 3.9901, 3.989) * CHOOSE(CONTROL!$C$16, $D$10, 100%, $F$10)</f>
        <v>3.9901</v>
      </c>
      <c r="K31" s="4">
        <f>CHOOSE( CONTROL!$C$33, 4.0693, 4.0682) * CHOOSE(CONTROL!$C$16, $D$10, 100%, $F$10)</f>
        <v>4.0693000000000001</v>
      </c>
      <c r="L31" s="9">
        <v>30.092199999999998</v>
      </c>
      <c r="M31" s="9">
        <v>11.6745</v>
      </c>
      <c r="N31" s="9">
        <v>4.7850000000000001</v>
      </c>
      <c r="O31" s="9">
        <v>0.59589999999999999</v>
      </c>
      <c r="P31" s="9">
        <v>2.0339999999999998</v>
      </c>
      <c r="Q31" s="9"/>
      <c r="R31" s="9">
        <f t="shared" si="0"/>
        <v>0.3</v>
      </c>
      <c r="S31" s="17">
        <v>1.0592999999999999</v>
      </c>
    </row>
    <row r="32" spans="1:19" ht="15" customHeight="1">
      <c r="A32" s="13">
        <v>42125</v>
      </c>
      <c r="B32" s="8">
        <f>CHOOSE( CONTROL!$C$33, 4.0927, 4.0911) * CHOOSE(CONTROL!$C$16, $D$10, 100%, $F$10)</f>
        <v>4.0926999999999998</v>
      </c>
      <c r="C32" s="8">
        <f>CHOOSE( CONTROL!$C$33, 4.1007, 4.0991) * CHOOSE(CONTROL!$C$16, $D$10, 100%, $F$10)</f>
        <v>4.1006999999999998</v>
      </c>
      <c r="D32" s="8">
        <f>CHOOSE( CONTROL!$C$33, 4.0911, 4.0895) * CHOOSE( CONTROL!$C$16, $D$10, 100%, $F$10)</f>
        <v>4.0911</v>
      </c>
      <c r="E32" s="12">
        <f>CHOOSE( CONTROL!$C$33, 4.0933, 4.0917) * CHOOSE( CONTROL!$C$16, $D$10, 100%, $F$10)</f>
        <v>4.0933000000000002</v>
      </c>
      <c r="F32" s="4">
        <f>CHOOSE( CONTROL!$C$33, 4.8696, 4.868) * CHOOSE(CONTROL!$C$16, $D$10, 100%, $F$10)</f>
        <v>4.8696000000000002</v>
      </c>
      <c r="G32" s="8">
        <f>CHOOSE( CONTROL!$C$33, 4.0863, 4.0847) * CHOOSE( CONTROL!$C$16, $D$10, 100%, $F$10)</f>
        <v>4.0862999999999996</v>
      </c>
      <c r="H32" s="4">
        <f>CHOOSE( CONTROL!$C$33, 5.0755, 5.0739) * CHOOSE(CONTROL!$C$16, $D$10, 100%, $F$10)</f>
        <v>5.0754999999999999</v>
      </c>
      <c r="I32" s="8">
        <f>CHOOSE( CONTROL!$C$33, 4.0952, 4.0937) * CHOOSE(CONTROL!$C$16, $D$10, 100%, $F$10)</f>
        <v>4.0952000000000002</v>
      </c>
      <c r="J32" s="4">
        <f>CHOOSE( CONTROL!$C$33, 3.9775, 3.976) * CHOOSE(CONTROL!$C$16, $D$10, 100%, $F$10)</f>
        <v>3.9775</v>
      </c>
      <c r="K32" s="4">
        <f>CHOOSE( CONTROL!$C$33, 4.0564, 4.0549) * CHOOSE(CONTROL!$C$16, $D$10, 100%, $F$10)</f>
        <v>4.0564</v>
      </c>
      <c r="L32" s="9">
        <v>32.235500000000002</v>
      </c>
      <c r="M32" s="9">
        <v>12.063700000000001</v>
      </c>
      <c r="N32" s="9">
        <v>4.5183</v>
      </c>
      <c r="O32" s="9">
        <v>0.61570000000000003</v>
      </c>
      <c r="P32" s="9">
        <v>2.1017999999999999</v>
      </c>
      <c r="Q32" s="9"/>
      <c r="R32" s="9">
        <f t="shared" si="0"/>
        <v>0.3</v>
      </c>
      <c r="S32" s="17">
        <v>1.0592999999999999</v>
      </c>
    </row>
    <row r="33" spans="1:19" ht="15" customHeight="1">
      <c r="A33" s="13">
        <v>42156</v>
      </c>
      <c r="B33" s="8">
        <f>CHOOSE( CONTROL!$C$33, 4.1133, 4.1117) * CHOOSE(CONTROL!$C$16, $D$10, 100%, $F$10)</f>
        <v>4.1132999999999997</v>
      </c>
      <c r="C33" s="8">
        <f>CHOOSE( CONTROL!$C$33, 4.1213, 4.1197) * CHOOSE(CONTROL!$C$16, $D$10, 100%, $F$10)</f>
        <v>4.1212999999999997</v>
      </c>
      <c r="D33" s="8">
        <f>CHOOSE( CONTROL!$C$33, 4.1119, 4.1104) * CHOOSE( CONTROL!$C$16, $D$10, 100%, $F$10)</f>
        <v>4.1119000000000003</v>
      </c>
      <c r="E33" s="12">
        <f>CHOOSE( CONTROL!$C$33, 4.114, 4.1125) * CHOOSE( CONTROL!$C$16, $D$10, 100%, $F$10)</f>
        <v>4.1139999999999999</v>
      </c>
      <c r="F33" s="4">
        <f>CHOOSE( CONTROL!$C$33, 4.8902, 4.8887) * CHOOSE(CONTROL!$C$16, $D$10, 100%, $F$10)</f>
        <v>4.8902000000000001</v>
      </c>
      <c r="G33" s="8">
        <f>CHOOSE( CONTROL!$C$33, 4.1068, 4.1052) * CHOOSE( CONTROL!$C$16, $D$10, 100%, $F$10)</f>
        <v>4.1067999999999998</v>
      </c>
      <c r="H33" s="4">
        <f>CHOOSE( CONTROL!$C$33, 5.0959, 5.0943) * CHOOSE(CONTROL!$C$16, $D$10, 100%, $F$10)</f>
        <v>5.0959000000000003</v>
      </c>
      <c r="I33" s="8">
        <f>CHOOSE( CONTROL!$C$33, 4.1158, 4.1143) * CHOOSE(CONTROL!$C$16, $D$10, 100%, $F$10)</f>
        <v>4.1158000000000001</v>
      </c>
      <c r="J33" s="4">
        <f>CHOOSE( CONTROL!$C$33, 3.9975, 3.996) * CHOOSE(CONTROL!$C$16, $D$10, 100%, $F$10)</f>
        <v>3.9975000000000001</v>
      </c>
      <c r="K33" s="4">
        <f>CHOOSE( CONTROL!$C$33, 4.0769, 4.0753) * CHOOSE(CONTROL!$C$16, $D$10, 100%, $F$10)</f>
        <v>4.0769000000000002</v>
      </c>
      <c r="L33" s="9">
        <v>31.195699999999999</v>
      </c>
      <c r="M33" s="9">
        <v>11.6745</v>
      </c>
      <c r="N33" s="9">
        <v>4.3724999999999996</v>
      </c>
      <c r="O33" s="9">
        <v>0.59589999999999999</v>
      </c>
      <c r="P33" s="9">
        <v>2.0339999999999998</v>
      </c>
      <c r="Q33" s="9"/>
      <c r="R33" s="9">
        <f t="shared" si="0"/>
        <v>0.3</v>
      </c>
      <c r="S33" s="16">
        <v>1.0722</v>
      </c>
    </row>
    <row r="34" spans="1:19" ht="15" customHeight="1">
      <c r="A34" s="13">
        <v>42186</v>
      </c>
      <c r="B34" s="8">
        <f>CHOOSE( CONTROL!$C$33, 4.1412, 4.1396) * CHOOSE(CONTROL!$C$16, $D$10, 100%, $F$10)</f>
        <v>4.1412000000000004</v>
      </c>
      <c r="C34" s="8">
        <f>CHOOSE( CONTROL!$C$33, 4.1492, 4.1476) * CHOOSE(CONTROL!$C$16, $D$10, 100%, $F$10)</f>
        <v>4.1492000000000004</v>
      </c>
      <c r="D34" s="8">
        <f>CHOOSE( CONTROL!$C$33, 4.1401, 4.1385) * CHOOSE( CONTROL!$C$16, $D$10, 100%, $F$10)</f>
        <v>4.1401000000000003</v>
      </c>
      <c r="E34" s="12">
        <f>CHOOSE( CONTROL!$C$33, 4.1421, 4.1405) * CHOOSE( CONTROL!$C$16, $D$10, 100%, $F$10)</f>
        <v>4.1421000000000001</v>
      </c>
      <c r="F34" s="4">
        <f>CHOOSE( CONTROL!$C$33, 4.9181, 4.9166) * CHOOSE(CONTROL!$C$16, $D$10, 100%, $F$10)</f>
        <v>4.9180999999999999</v>
      </c>
      <c r="G34" s="8">
        <f>CHOOSE( CONTROL!$C$33, 4.1345, 4.133) * CHOOSE( CONTROL!$C$16, $D$10, 100%, $F$10)</f>
        <v>4.1345000000000001</v>
      </c>
      <c r="H34" s="4">
        <f>CHOOSE( CONTROL!$C$33, 5.1234, 5.1218) * CHOOSE(CONTROL!$C$16, $D$10, 100%, $F$10)</f>
        <v>5.1234000000000002</v>
      </c>
      <c r="I34" s="8">
        <f>CHOOSE( CONTROL!$C$33, 4.1436, 4.1421) * CHOOSE(CONTROL!$C$16, $D$10, 100%, $F$10)</f>
        <v>4.1436000000000002</v>
      </c>
      <c r="J34" s="4">
        <f>CHOOSE( CONTROL!$C$33, 4.0245, 4.023) * CHOOSE(CONTROL!$C$16, $D$10, 100%, $F$10)</f>
        <v>4.0244999999999997</v>
      </c>
      <c r="K34" s="4">
        <f>CHOOSE( CONTROL!$C$33, 4.1045, 4.103) * CHOOSE(CONTROL!$C$16, $D$10, 100%, $F$10)</f>
        <v>4.1044999999999998</v>
      </c>
      <c r="L34" s="9">
        <v>32.235500000000002</v>
      </c>
      <c r="M34" s="9">
        <v>12.063700000000001</v>
      </c>
      <c r="N34" s="9">
        <v>4.5183</v>
      </c>
      <c r="O34" s="9">
        <v>0.61570000000000003</v>
      </c>
      <c r="P34" s="9">
        <v>2.1017999999999999</v>
      </c>
      <c r="Q34" s="9"/>
      <c r="R34" s="9">
        <f t="shared" si="0"/>
        <v>0.3</v>
      </c>
      <c r="S34" s="15">
        <v>1.0738000000000001</v>
      </c>
    </row>
    <row r="35" spans="1:19" ht="15" customHeight="1">
      <c r="A35" s="13">
        <v>42217</v>
      </c>
      <c r="B35" s="8">
        <f>CHOOSE( CONTROL!$C$33, 4.1474, 4.1458) * CHOOSE(CONTROL!$C$16, $D$10, 100%, $F$10)</f>
        <v>4.1474000000000002</v>
      </c>
      <c r="C35" s="8">
        <f>CHOOSE( CONTROL!$C$33, 4.1554, 4.1538) * CHOOSE(CONTROL!$C$16, $D$10, 100%, $F$10)</f>
        <v>4.1554000000000002</v>
      </c>
      <c r="D35" s="8">
        <f>CHOOSE( CONTROL!$C$33, 4.1463, 4.1448) * CHOOSE( CONTROL!$C$16, $D$10, 100%, $F$10)</f>
        <v>4.1463000000000001</v>
      </c>
      <c r="E35" s="12">
        <f>CHOOSE( CONTROL!$C$33, 4.1483, 4.1468) * CHOOSE( CONTROL!$C$16, $D$10, 100%, $F$10)</f>
        <v>4.1482999999999999</v>
      </c>
      <c r="F35" s="4">
        <f>CHOOSE( CONTROL!$C$33, 4.9243, 4.9227) * CHOOSE(CONTROL!$C$16, $D$10, 100%, $F$10)</f>
        <v>4.9242999999999997</v>
      </c>
      <c r="G35" s="8">
        <f>CHOOSE( CONTROL!$C$33, 4.1407, 4.1391) * CHOOSE( CONTROL!$C$16, $D$10, 100%, $F$10)</f>
        <v>4.1406999999999998</v>
      </c>
      <c r="H35" s="4">
        <f>CHOOSE( CONTROL!$C$33, 5.1295, 5.1279) * CHOOSE(CONTROL!$C$16, $D$10, 100%, $F$10)</f>
        <v>5.1295000000000002</v>
      </c>
      <c r="I35" s="8">
        <f>CHOOSE( CONTROL!$C$33, 4.1498, 4.1482) * CHOOSE(CONTROL!$C$16, $D$10, 100%, $F$10)</f>
        <v>4.1497999999999999</v>
      </c>
      <c r="J35" s="4">
        <f>CHOOSE( CONTROL!$C$33, 4.0305, 4.029) * CHOOSE(CONTROL!$C$16, $D$10, 100%, $F$10)</f>
        <v>4.0305</v>
      </c>
      <c r="K35" s="4">
        <f>CHOOSE( CONTROL!$C$33, 4.1107, 4.1091) * CHOOSE(CONTROL!$C$16, $D$10, 100%, $F$10)</f>
        <v>4.1106999999999996</v>
      </c>
      <c r="L35" s="9">
        <v>32.235500000000002</v>
      </c>
      <c r="M35" s="9">
        <v>12.063700000000001</v>
      </c>
      <c r="N35" s="9">
        <v>4.5183</v>
      </c>
      <c r="O35" s="9">
        <v>0.61570000000000003</v>
      </c>
      <c r="P35" s="9">
        <v>2.1017999999999999</v>
      </c>
      <c r="Q35" s="9"/>
      <c r="R35" s="9">
        <f t="shared" si="0"/>
        <v>0.3</v>
      </c>
      <c r="S35" s="15">
        <v>1.0738000000000001</v>
      </c>
    </row>
    <row r="36" spans="1:19" ht="15" customHeight="1">
      <c r="A36" s="13">
        <v>42248</v>
      </c>
      <c r="B36" s="8">
        <f>CHOOSE( CONTROL!$C$33, 4.1319, 4.1303) * CHOOSE(CONTROL!$C$16, $D$10, 100%, $F$10)</f>
        <v>4.1318999999999999</v>
      </c>
      <c r="C36" s="8">
        <f>CHOOSE( CONTROL!$C$33, 4.1399, 4.1383) * CHOOSE(CONTROL!$C$16, $D$10, 100%, $F$10)</f>
        <v>4.1398999999999999</v>
      </c>
      <c r="D36" s="8">
        <f>CHOOSE( CONTROL!$C$33, 4.1307, 4.1291) * CHOOSE( CONTROL!$C$16, $D$10, 100%, $F$10)</f>
        <v>4.1307</v>
      </c>
      <c r="E36" s="12">
        <f>CHOOSE( CONTROL!$C$33, 4.1327, 4.1311) * CHOOSE( CONTROL!$C$16, $D$10, 100%, $F$10)</f>
        <v>4.1326999999999998</v>
      </c>
      <c r="F36" s="4">
        <f>CHOOSE( CONTROL!$C$33, 4.9088, 4.9073) * CHOOSE(CONTROL!$C$16, $D$10, 100%, $F$10)</f>
        <v>4.9088000000000003</v>
      </c>
      <c r="G36" s="8">
        <f>CHOOSE( CONTROL!$C$33, 4.1253, 4.1237) * CHOOSE( CONTROL!$C$16, $D$10, 100%, $F$10)</f>
        <v>4.1253000000000002</v>
      </c>
      <c r="H36" s="4">
        <f>CHOOSE( CONTROL!$C$33, 5.1142, 5.1126) * CHOOSE(CONTROL!$C$16, $D$10, 100%, $F$10)</f>
        <v>5.1142000000000003</v>
      </c>
      <c r="I36" s="8">
        <f>CHOOSE( CONTROL!$C$33, 4.1343, 4.1328) * CHOOSE(CONTROL!$C$16, $D$10, 100%, $F$10)</f>
        <v>4.1342999999999996</v>
      </c>
      <c r="J36" s="4">
        <f>CHOOSE( CONTROL!$C$33, 4.0155, 4.014) * CHOOSE(CONTROL!$C$16, $D$10, 100%, $F$10)</f>
        <v>4.0155000000000003</v>
      </c>
      <c r="K36" s="4">
        <f>CHOOSE( CONTROL!$C$33, 4.0953, 4.0937) * CHOOSE(CONTROL!$C$16, $D$10, 100%, $F$10)</f>
        <v>4.0952999999999999</v>
      </c>
      <c r="L36" s="9">
        <v>31.195699999999999</v>
      </c>
      <c r="M36" s="9">
        <v>11.6745</v>
      </c>
      <c r="N36" s="9">
        <v>4.3724999999999996</v>
      </c>
      <c r="O36" s="9">
        <v>0.59589999999999999</v>
      </c>
      <c r="P36" s="9">
        <v>2.0339999999999998</v>
      </c>
      <c r="Q36" s="9"/>
      <c r="R36" s="9">
        <f t="shared" si="0"/>
        <v>0.3</v>
      </c>
      <c r="S36" s="15">
        <v>1.0738000000000001</v>
      </c>
    </row>
    <row r="37" spans="1:19" ht="15" customHeight="1">
      <c r="A37" s="13">
        <v>42278</v>
      </c>
      <c r="B37" s="8">
        <f>CHOOSE( CONTROL!$C$33, 4.1504, 4.1493) * CHOOSE(CONTROL!$C$16, $D$10, 100%, $F$10)</f>
        <v>4.1504000000000003</v>
      </c>
      <c r="C37" s="8">
        <f>CHOOSE( CONTROL!$C$33, 4.1557, 4.1546) * CHOOSE(CONTROL!$C$16, $D$10, 100%, $F$10)</f>
        <v>4.1557000000000004</v>
      </c>
      <c r="D37" s="8">
        <f>CHOOSE( CONTROL!$C$33, 4.1338, 4.1327) * CHOOSE( CONTROL!$C$16, $D$10, 100%, $F$10)</f>
        <v>4.1337999999999999</v>
      </c>
      <c r="E37" s="12">
        <f>CHOOSE( CONTROL!$C$33, 4.1405, 4.1394) * CHOOSE( CONTROL!$C$16, $D$10, 100%, $F$10)</f>
        <v>4.1405000000000003</v>
      </c>
      <c r="F37" s="4">
        <f>CHOOSE( CONTROL!$C$33, 4.929, 4.9279) * CHOOSE(CONTROL!$C$16, $D$10, 100%, $F$10)</f>
        <v>4.9290000000000003</v>
      </c>
      <c r="G37" s="8">
        <f>CHOOSE( CONTROL!$C$33, 4.1611, 4.16) * CHOOSE( CONTROL!$C$16, $D$10, 100%, $F$10)</f>
        <v>4.1611000000000002</v>
      </c>
      <c r="H37" s="4">
        <f>CHOOSE( CONTROL!$C$33, 5.1341, 5.133) * CHOOSE(CONTROL!$C$16, $D$10, 100%, $F$10)</f>
        <v>5.1341000000000001</v>
      </c>
      <c r="I37" s="8">
        <f>CHOOSE( CONTROL!$C$33, 4.1545, 4.1534) * CHOOSE(CONTROL!$C$16, $D$10, 100%, $F$10)</f>
        <v>4.1544999999999996</v>
      </c>
      <c r="J37" s="4">
        <f>CHOOSE( CONTROL!$C$33, 4.0351, 4.034) * CHOOSE(CONTROL!$C$16, $D$10, 100%, $F$10)</f>
        <v>4.0350999999999999</v>
      </c>
      <c r="K37" s="4">
        <f>CHOOSE( CONTROL!$C$33, 4.1153, 4.1142) * CHOOSE(CONTROL!$C$16, $D$10, 100%, $F$10)</f>
        <v>4.1153000000000004</v>
      </c>
      <c r="L37" s="9">
        <v>31.095300000000002</v>
      </c>
      <c r="M37" s="9">
        <v>12.063700000000001</v>
      </c>
      <c r="N37" s="9">
        <v>4.9444999999999997</v>
      </c>
      <c r="O37" s="9">
        <v>0.61570000000000003</v>
      </c>
      <c r="P37" s="9">
        <v>2.1017999999999999</v>
      </c>
      <c r="Q37" s="9"/>
      <c r="R37" s="9">
        <f t="shared" si="0"/>
        <v>0.3</v>
      </c>
      <c r="S37" s="15">
        <v>1.0738000000000001</v>
      </c>
    </row>
    <row r="38" spans="1:19" ht="15" customHeight="1">
      <c r="A38" s="13">
        <v>42309</v>
      </c>
      <c r="B38" s="8">
        <f>CHOOSE( CONTROL!$C$33, 4.2027, 4.2015) * CHOOSE(CONTROL!$C$16, $D$10, 100%, $F$10)</f>
        <v>4.2027000000000001</v>
      </c>
      <c r="C38" s="8">
        <f>CHOOSE( CONTROL!$C$33, 4.2078, 4.2066) * CHOOSE(CONTROL!$C$16, $D$10, 100%, $F$10)</f>
        <v>4.2077999999999998</v>
      </c>
      <c r="D38" s="8">
        <f>CHOOSE( CONTROL!$C$33, 4.189, 4.1879) * CHOOSE( CONTROL!$C$16, $D$10, 100%, $F$10)</f>
        <v>4.1890000000000001</v>
      </c>
      <c r="E38" s="12">
        <f>CHOOSE( CONTROL!$C$33, 4.1953, 4.1942) * CHOOSE( CONTROL!$C$16, $D$10, 100%, $F$10)</f>
        <v>4.1952999999999996</v>
      </c>
      <c r="F38" s="4">
        <f>CHOOSE( CONTROL!$C$33, 4.8655, 4.8644) * CHOOSE(CONTROL!$C$16, $D$10, 100%, $F$10)</f>
        <v>4.8654999999999999</v>
      </c>
      <c r="G38" s="8">
        <f>CHOOSE( CONTROL!$C$33, 4.1806, 4.1795) * CHOOSE( CONTROL!$C$16, $D$10, 100%, $F$10)</f>
        <v>4.1806000000000001</v>
      </c>
      <c r="H38" s="4">
        <f>CHOOSE( CONTROL!$C$33, 5.0715, 5.0704) * CHOOSE(CONTROL!$C$16, $D$10, 100%, $F$10)</f>
        <v>5.0715000000000003</v>
      </c>
      <c r="I38" s="8">
        <f>CHOOSE( CONTROL!$C$33, 4.2533, 4.2522) * CHOOSE(CONTROL!$C$16, $D$10, 100%, $F$10)</f>
        <v>4.2533000000000003</v>
      </c>
      <c r="J38" s="4">
        <f>CHOOSE( CONTROL!$C$33, 4.0861, 4.085) * CHOOSE(CONTROL!$C$16, $D$10, 100%, $F$10)</f>
        <v>4.0861000000000001</v>
      </c>
      <c r="K38" s="4">
        <f>CHOOSE( CONTROL!$C$33, 4.1634, 4.1623) * CHOOSE(CONTROL!$C$16, $D$10, 100%, $F$10)</f>
        <v>4.1634000000000002</v>
      </c>
      <c r="L38" s="9">
        <v>28.360600000000002</v>
      </c>
      <c r="M38" s="9">
        <v>11.6745</v>
      </c>
      <c r="N38" s="9">
        <v>4.7850000000000001</v>
      </c>
      <c r="O38" s="9">
        <v>0.59589999999999999</v>
      </c>
      <c r="P38" s="9">
        <v>1.1791</v>
      </c>
      <c r="Q38" s="9"/>
      <c r="R38" s="9">
        <f t="shared" si="0"/>
        <v>0.3</v>
      </c>
      <c r="S38" s="15">
        <v>1.0738000000000001</v>
      </c>
    </row>
    <row r="39" spans="1:19" ht="15" customHeight="1">
      <c r="A39" s="13">
        <v>42339</v>
      </c>
      <c r="B39" s="8">
        <f>CHOOSE( CONTROL!$C$33, 4.3648, 4.3637) * CHOOSE(CONTROL!$C$16, $D$10, 100%, $F$10)</f>
        <v>4.3647999999999998</v>
      </c>
      <c r="C39" s="8">
        <f>CHOOSE( CONTROL!$C$33, 4.3699, 4.3688) * CHOOSE(CONTROL!$C$16, $D$10, 100%, $F$10)</f>
        <v>4.3699000000000003</v>
      </c>
      <c r="D39" s="8">
        <f>CHOOSE( CONTROL!$C$33, 4.3526, 4.3515) * CHOOSE( CONTROL!$C$16, $D$10, 100%, $F$10)</f>
        <v>4.3525999999999998</v>
      </c>
      <c r="E39" s="12">
        <f>CHOOSE( CONTROL!$C$33, 4.3584, 4.3573) * CHOOSE( CONTROL!$C$16, $D$10, 100%, $F$10)</f>
        <v>4.3583999999999996</v>
      </c>
      <c r="F39" s="4">
        <f>CHOOSE( CONTROL!$C$33, 5.0277, 5.0265) * CHOOSE(CONTROL!$C$16, $D$10, 100%, $F$10)</f>
        <v>5.0277000000000003</v>
      </c>
      <c r="G39" s="8">
        <f>CHOOSE( CONTROL!$C$33, 4.3415, 4.3404) * CHOOSE( CONTROL!$C$16, $D$10, 100%, $F$10)</f>
        <v>4.3414999999999999</v>
      </c>
      <c r="H39" s="4">
        <f>CHOOSE( CONTROL!$C$33, 5.2314, 5.2303) * CHOOSE(CONTROL!$C$16, $D$10, 100%, $F$10)</f>
        <v>5.2313999999999998</v>
      </c>
      <c r="I39" s="8">
        <f>CHOOSE( CONTROL!$C$33, 4.4149, 4.4138) * CHOOSE(CONTROL!$C$16, $D$10, 100%, $F$10)</f>
        <v>4.4149000000000003</v>
      </c>
      <c r="J39" s="4">
        <f>CHOOSE( CONTROL!$C$33, 4.2431, 4.242) * CHOOSE(CONTROL!$C$16, $D$10, 100%, $F$10)</f>
        <v>4.2431000000000001</v>
      </c>
      <c r="K39" s="4">
        <f>CHOOSE( CONTROL!$C$33, 4.3241, 4.323) * CHOOSE(CONTROL!$C$16, $D$10, 100%, $F$10)</f>
        <v>4.3240999999999996</v>
      </c>
      <c r="L39" s="9">
        <v>29.306000000000001</v>
      </c>
      <c r="M39" s="9">
        <v>12.063700000000001</v>
      </c>
      <c r="N39" s="9">
        <v>4.9444999999999997</v>
      </c>
      <c r="O39" s="9">
        <v>0.61570000000000003</v>
      </c>
      <c r="P39" s="9">
        <v>1.2183999999999999</v>
      </c>
      <c r="Q39" s="9"/>
      <c r="R39" s="9">
        <f t="shared" si="0"/>
        <v>0.3</v>
      </c>
      <c r="S39" s="15">
        <v>1.0738000000000001</v>
      </c>
    </row>
    <row r="40" spans="1:19" ht="15" customHeight="1">
      <c r="A40" s="13">
        <v>42370</v>
      </c>
      <c r="B40" s="8">
        <f>CHOOSE( CONTROL!$C$33, 4.497, 4.4959) * CHOOSE(CONTROL!$C$16, $D$10, 100%, $F$10)</f>
        <v>4.4969999999999999</v>
      </c>
      <c r="C40" s="8">
        <f>CHOOSE( CONTROL!$C$33, 4.5021, 4.501) * CHOOSE(CONTROL!$C$16, $D$10, 100%, $F$10)</f>
        <v>4.5021000000000004</v>
      </c>
      <c r="D40" s="8">
        <f>CHOOSE( CONTROL!$C$33, 4.4943, 4.4932) * CHOOSE( CONTROL!$C$16, $D$10, 100%, $F$10)</f>
        <v>4.4943</v>
      </c>
      <c r="E40" s="12">
        <f>CHOOSE( CONTROL!$C$33, 4.4966, 4.4955) * CHOOSE( CONTROL!$C$16, $D$10, 100%, $F$10)</f>
        <v>4.4965999999999999</v>
      </c>
      <c r="F40" s="4">
        <f>CHOOSE( CONTROL!$C$33, 5.1599, 5.1587) * CHOOSE(CONTROL!$C$16, $D$10, 100%, $F$10)</f>
        <v>5.1599000000000004</v>
      </c>
      <c r="G40" s="8">
        <f>CHOOSE( CONTROL!$C$33, 4.4781, 4.477) * CHOOSE( CONTROL!$C$16, $D$10, 100%, $F$10)</f>
        <v>4.4781000000000004</v>
      </c>
      <c r="H40" s="4">
        <f>CHOOSE( CONTROL!$C$33, 5.3617, 5.3606) * CHOOSE(CONTROL!$C$16, $D$10, 100%, $F$10)</f>
        <v>5.3616999999999999</v>
      </c>
      <c r="I40" s="8">
        <f>CHOOSE( CONTROL!$C$33, 4.5342, 4.5331) * CHOOSE(CONTROL!$C$16, $D$10, 100%, $F$10)</f>
        <v>4.5342000000000002</v>
      </c>
      <c r="J40" s="4">
        <f>CHOOSE( CONTROL!$C$33, 4.3711, 4.37) * CHOOSE(CONTROL!$C$16, $D$10, 100%, $F$10)</f>
        <v>4.3711000000000002</v>
      </c>
      <c r="K40" s="4"/>
      <c r="L40" s="9">
        <v>29.306000000000001</v>
      </c>
      <c r="M40" s="9">
        <v>12.063700000000001</v>
      </c>
      <c r="N40" s="9">
        <v>4.9444999999999997</v>
      </c>
      <c r="O40" s="9">
        <v>0.61570000000000003</v>
      </c>
      <c r="P40" s="9">
        <v>1.2183999999999999</v>
      </c>
      <c r="Q40" s="9"/>
      <c r="R40" s="9">
        <f t="shared" si="0"/>
        <v>0.3</v>
      </c>
      <c r="S40" s="11"/>
    </row>
    <row r="41" spans="1:19" ht="15" customHeight="1">
      <c r="A41" s="13">
        <v>42401</v>
      </c>
      <c r="B41" s="8">
        <f>CHOOSE( CONTROL!$C$33, 4.4774, 4.4762) * CHOOSE(CONTROL!$C$16, $D$10, 100%, $F$10)</f>
        <v>4.4774000000000003</v>
      </c>
      <c r="C41" s="8">
        <f>CHOOSE( CONTROL!$C$33, 4.4825, 4.4813) * CHOOSE(CONTROL!$C$16, $D$10, 100%, $F$10)</f>
        <v>4.4824999999999999</v>
      </c>
      <c r="D41" s="8">
        <f>CHOOSE( CONTROL!$C$33, 4.4745, 4.4734) * CHOOSE( CONTROL!$C$16, $D$10, 100%, $F$10)</f>
        <v>4.4744999999999999</v>
      </c>
      <c r="E41" s="12">
        <f>CHOOSE( CONTROL!$C$33, 4.4769, 4.4757) * CHOOSE( CONTROL!$C$16, $D$10, 100%, $F$10)</f>
        <v>4.4768999999999997</v>
      </c>
      <c r="F41" s="4">
        <f>CHOOSE( CONTROL!$C$33, 5.1402, 5.1391) * CHOOSE(CONTROL!$C$16, $D$10, 100%, $F$10)</f>
        <v>5.1402000000000001</v>
      </c>
      <c r="G41" s="8">
        <f>CHOOSE( CONTROL!$C$33, 4.4586, 4.4575) * CHOOSE( CONTROL!$C$16, $D$10, 100%, $F$10)</f>
        <v>4.4585999999999997</v>
      </c>
      <c r="H41" s="4">
        <f>CHOOSE( CONTROL!$C$33, 5.3424, 5.3413) * CHOOSE(CONTROL!$C$16, $D$10, 100%, $F$10)</f>
        <v>5.3423999999999996</v>
      </c>
      <c r="I41" s="8">
        <f>CHOOSE( CONTROL!$C$33, 4.5146, 4.5135) * CHOOSE(CONTROL!$C$16, $D$10, 100%, $F$10)</f>
        <v>4.5145999999999997</v>
      </c>
      <c r="J41" s="4">
        <f>CHOOSE( CONTROL!$C$33, 4.3521, 4.351) * CHOOSE(CONTROL!$C$16, $D$10, 100%, $F$10)</f>
        <v>4.3521000000000001</v>
      </c>
      <c r="K41" s="4"/>
      <c r="L41" s="9">
        <v>27.415299999999998</v>
      </c>
      <c r="M41" s="9">
        <v>11.285299999999999</v>
      </c>
      <c r="N41" s="9">
        <v>4.6254999999999997</v>
      </c>
      <c r="O41" s="9">
        <v>0.57599999999999996</v>
      </c>
      <c r="P41" s="9">
        <v>1.1397999999999999</v>
      </c>
      <c r="Q41" s="9"/>
      <c r="R41" s="9">
        <f t="shared" si="0"/>
        <v>0.3</v>
      </c>
      <c r="S41" s="11"/>
    </row>
    <row r="42" spans="1:19" ht="15" customHeight="1">
      <c r="A42" s="13">
        <v>42430</v>
      </c>
      <c r="B42" s="8">
        <f>CHOOSE( CONTROL!$C$33, 4.4133, 4.4122) * CHOOSE(CONTROL!$C$16, $D$10, 100%, $F$10)</f>
        <v>4.4132999999999996</v>
      </c>
      <c r="C42" s="8">
        <f>CHOOSE( CONTROL!$C$33, 4.4184, 4.4173) * CHOOSE(CONTROL!$C$16, $D$10, 100%, $F$10)</f>
        <v>4.4184000000000001</v>
      </c>
      <c r="D42" s="8">
        <f>CHOOSE( CONTROL!$C$33, 4.4097, 4.4086) * CHOOSE( CONTROL!$C$16, $D$10, 100%, $F$10)</f>
        <v>4.4097</v>
      </c>
      <c r="E42" s="12">
        <f>CHOOSE( CONTROL!$C$33, 4.4123, 4.4112) * CHOOSE( CONTROL!$C$16, $D$10, 100%, $F$10)</f>
        <v>4.4123000000000001</v>
      </c>
      <c r="F42" s="4">
        <f>CHOOSE( CONTROL!$C$33, 5.0762, 5.0751) * CHOOSE(CONTROL!$C$16, $D$10, 100%, $F$10)</f>
        <v>5.0762</v>
      </c>
      <c r="G42" s="8">
        <f>CHOOSE( CONTROL!$C$33, 4.3949, 4.3938) * CHOOSE( CONTROL!$C$16, $D$10, 100%, $F$10)</f>
        <v>4.3948999999999998</v>
      </c>
      <c r="H42" s="4">
        <f>CHOOSE( CONTROL!$C$33, 5.2792, 5.2781) * CHOOSE(CONTROL!$C$16, $D$10, 100%, $F$10)</f>
        <v>5.2792000000000003</v>
      </c>
      <c r="I42" s="8">
        <f>CHOOSE( CONTROL!$C$33, 4.4503, 4.4492) * CHOOSE(CONTROL!$C$16, $D$10, 100%, $F$10)</f>
        <v>4.4503000000000004</v>
      </c>
      <c r="J42" s="4">
        <f>CHOOSE( CONTROL!$C$33, 4.2901, 4.289) * CHOOSE(CONTROL!$C$16, $D$10, 100%, $F$10)</f>
        <v>4.2900999999999998</v>
      </c>
      <c r="K42" s="4"/>
      <c r="L42" s="9">
        <v>29.306000000000001</v>
      </c>
      <c r="M42" s="9">
        <v>12.063700000000001</v>
      </c>
      <c r="N42" s="9">
        <v>4.9444999999999997</v>
      </c>
      <c r="O42" s="9">
        <v>0.61570000000000003</v>
      </c>
      <c r="P42" s="9">
        <v>1.2183999999999999</v>
      </c>
      <c r="Q42" s="9"/>
      <c r="R42" s="9">
        <f t="shared" si="0"/>
        <v>0.3</v>
      </c>
      <c r="S42" s="11"/>
    </row>
    <row r="43" spans="1:19" ht="15" customHeight="1">
      <c r="A43" s="13">
        <v>42461</v>
      </c>
      <c r="B43" s="8">
        <f>CHOOSE( CONTROL!$C$33, 4.1611, 4.16) * CHOOSE(CONTROL!$C$16, $D$10, 100%, $F$10)</f>
        <v>4.1611000000000002</v>
      </c>
      <c r="C43" s="8">
        <f>CHOOSE( CONTROL!$C$33, 4.1656, 4.1645) * CHOOSE(CONTROL!$C$16, $D$10, 100%, $F$10)</f>
        <v>4.1656000000000004</v>
      </c>
      <c r="D43" s="8">
        <f>CHOOSE( CONTROL!$C$33, 4.1672, 4.1661) * CHOOSE( CONTROL!$C$16, $D$10, 100%, $F$10)</f>
        <v>4.1672000000000002</v>
      </c>
      <c r="E43" s="12">
        <f>CHOOSE( CONTROL!$C$33, 4.1662, 4.1651) * CHOOSE( CONTROL!$C$16, $D$10, 100%, $F$10)</f>
        <v>4.1661999999999999</v>
      </c>
      <c r="F43" s="4">
        <f>CHOOSE( CONTROL!$C$33, 4.9394, 4.9382) * CHOOSE(CONTROL!$C$16, $D$10, 100%, $F$10)</f>
        <v>4.9394</v>
      </c>
      <c r="G43" s="8">
        <f>CHOOSE( CONTROL!$C$33, 4.1386, 4.1375) * CHOOSE( CONTROL!$C$16, $D$10, 100%, $F$10)</f>
        <v>4.1386000000000003</v>
      </c>
      <c r="H43" s="4">
        <f>CHOOSE( CONTROL!$C$33, 5.1443, 5.1432) * CHOOSE(CONTROL!$C$16, $D$10, 100%, $F$10)</f>
        <v>5.1443000000000003</v>
      </c>
      <c r="I43" s="8">
        <f>CHOOSE( CONTROL!$C$33, 4.1632, 4.1621) * CHOOSE(CONTROL!$C$16, $D$10, 100%, $F$10)</f>
        <v>4.1631999999999998</v>
      </c>
      <c r="J43" s="4">
        <f>CHOOSE( CONTROL!$C$33, 4.0451, 4.044) * CHOOSE(CONTROL!$C$16, $D$10, 100%, $F$10)</f>
        <v>4.0450999999999997</v>
      </c>
      <c r="K43" s="4"/>
      <c r="L43" s="9">
        <v>30.092199999999998</v>
      </c>
      <c r="M43" s="9">
        <v>11.6745</v>
      </c>
      <c r="N43" s="9">
        <v>4.7850000000000001</v>
      </c>
      <c r="O43" s="9">
        <v>0.59589999999999999</v>
      </c>
      <c r="P43" s="9">
        <v>2.0339999999999998</v>
      </c>
      <c r="Q43" s="9"/>
      <c r="R43" s="9">
        <f t="shared" si="0"/>
        <v>0.3</v>
      </c>
      <c r="S43" s="11"/>
    </row>
    <row r="44" spans="1:19" ht="15" customHeight="1">
      <c r="A44" s="13">
        <v>42491</v>
      </c>
      <c r="B44" s="8">
        <f>CHOOSE( CONTROL!$C$33, 4.1732, 4.1716) * CHOOSE(CONTROL!$C$16, $D$10, 100%, $F$10)</f>
        <v>4.1731999999999996</v>
      </c>
      <c r="C44" s="8">
        <f>CHOOSE( CONTROL!$C$33, 4.1812, 4.1796) * CHOOSE(CONTROL!$C$16, $D$10, 100%, $F$10)</f>
        <v>4.1811999999999996</v>
      </c>
      <c r="D44" s="8">
        <f>CHOOSE( CONTROL!$C$33, 4.1943, 4.1927) * CHOOSE( CONTROL!$C$16, $D$10, 100%, $F$10)</f>
        <v>4.1943000000000001</v>
      </c>
      <c r="E44" s="12">
        <f>CHOOSE( CONTROL!$C$33, 4.1883, 4.1867) * CHOOSE( CONTROL!$C$16, $D$10, 100%, $F$10)</f>
        <v>4.1882999999999999</v>
      </c>
      <c r="F44" s="4">
        <f>CHOOSE( CONTROL!$C$33, 4.9501, 4.9486) * CHOOSE(CONTROL!$C$16, $D$10, 100%, $F$10)</f>
        <v>4.9500999999999999</v>
      </c>
      <c r="G44" s="8">
        <f>CHOOSE( CONTROL!$C$33, 4.1436, 4.1421) * CHOOSE( CONTROL!$C$16, $D$10, 100%, $F$10)</f>
        <v>4.1436000000000002</v>
      </c>
      <c r="H44" s="4">
        <f>CHOOSE( CONTROL!$C$33, 5.1549, 5.1534) * CHOOSE(CONTROL!$C$16, $D$10, 100%, $F$10)</f>
        <v>5.1548999999999996</v>
      </c>
      <c r="I44" s="8">
        <f>CHOOSE( CONTROL!$C$33, 4.1732, 4.1717) * CHOOSE(CONTROL!$C$16, $D$10, 100%, $F$10)</f>
        <v>4.1731999999999996</v>
      </c>
      <c r="J44" s="4">
        <f>CHOOSE( CONTROL!$C$33, 4.0555, 4.054) * CHOOSE(CONTROL!$C$16, $D$10, 100%, $F$10)</f>
        <v>4.0555000000000003</v>
      </c>
      <c r="K44" s="4"/>
      <c r="L44" s="9">
        <v>30.7165</v>
      </c>
      <c r="M44" s="9">
        <v>12.063700000000001</v>
      </c>
      <c r="N44" s="9">
        <v>4.9444999999999997</v>
      </c>
      <c r="O44" s="9">
        <v>0.37409999999999999</v>
      </c>
      <c r="P44" s="9">
        <v>2.1017999999999999</v>
      </c>
      <c r="Q44" s="9"/>
      <c r="R44" s="9">
        <f t="shared" si="0"/>
        <v>0.3</v>
      </c>
      <c r="S44" s="11"/>
    </row>
    <row r="45" spans="1:19" ht="15" customHeight="1">
      <c r="A45" s="13">
        <v>42522</v>
      </c>
      <c r="B45" s="8">
        <f>CHOOSE( CONTROL!$C$33, 4.2021, 4.2006) * CHOOSE(CONTROL!$C$16, $D$10, 100%, $F$10)</f>
        <v>4.2020999999999997</v>
      </c>
      <c r="C45" s="8">
        <f>CHOOSE( CONTROL!$C$33, 4.2101, 4.2086) * CHOOSE(CONTROL!$C$16, $D$10, 100%, $F$10)</f>
        <v>4.2100999999999997</v>
      </c>
      <c r="D45" s="8">
        <f>CHOOSE( CONTROL!$C$33, 4.2234, 4.2218) * CHOOSE( CONTROL!$C$16, $D$10, 100%, $F$10)</f>
        <v>4.2233999999999998</v>
      </c>
      <c r="E45" s="12">
        <f>CHOOSE( CONTROL!$C$33, 4.2174, 4.2158) * CHOOSE( CONTROL!$C$16, $D$10, 100%, $F$10)</f>
        <v>4.2173999999999996</v>
      </c>
      <c r="F45" s="4">
        <f>CHOOSE( CONTROL!$C$33, 4.9791, 4.9775) * CHOOSE(CONTROL!$C$16, $D$10, 100%, $F$10)</f>
        <v>4.9790999999999999</v>
      </c>
      <c r="G45" s="8">
        <f>CHOOSE( CONTROL!$C$33, 4.1723, 4.1708) * CHOOSE( CONTROL!$C$16, $D$10, 100%, $F$10)</f>
        <v>4.1722999999999999</v>
      </c>
      <c r="H45" s="4">
        <f>CHOOSE( CONTROL!$C$33, 5.1834, 5.1819) * CHOOSE(CONTROL!$C$16, $D$10, 100%, $F$10)</f>
        <v>5.1833999999999998</v>
      </c>
      <c r="I45" s="8">
        <f>CHOOSE( CONTROL!$C$33, 4.2018, 4.2003) * CHOOSE(CONTROL!$C$16, $D$10, 100%, $F$10)</f>
        <v>4.2018000000000004</v>
      </c>
      <c r="J45" s="4">
        <f>CHOOSE( CONTROL!$C$33, 4.0835, 4.082) * CHOOSE(CONTROL!$C$16, $D$10, 100%, $F$10)</f>
        <v>4.0834999999999999</v>
      </c>
      <c r="K45" s="4"/>
      <c r="L45" s="9">
        <v>29.7257</v>
      </c>
      <c r="M45" s="9">
        <v>11.6745</v>
      </c>
      <c r="N45" s="9">
        <v>4.7850000000000001</v>
      </c>
      <c r="O45" s="9">
        <v>0.36199999999999999</v>
      </c>
      <c r="P45" s="9">
        <v>2.0339999999999998</v>
      </c>
      <c r="Q45" s="9"/>
      <c r="R45" s="9">
        <f t="shared" si="0"/>
        <v>0.3</v>
      </c>
      <c r="S45" s="11"/>
    </row>
    <row r="46" spans="1:19" ht="15" customHeight="1">
      <c r="A46" s="13">
        <v>42552</v>
      </c>
      <c r="B46" s="8">
        <f>CHOOSE( CONTROL!$C$33, 4.2279, 4.2264) * CHOOSE(CONTROL!$C$16, $D$10, 100%, $F$10)</f>
        <v>4.2279</v>
      </c>
      <c r="C46" s="8">
        <f>CHOOSE( CONTROL!$C$33, 4.2359, 4.2344) * CHOOSE(CONTROL!$C$16, $D$10, 100%, $F$10)</f>
        <v>4.2359</v>
      </c>
      <c r="D46" s="8">
        <f>CHOOSE( CONTROL!$C$33, 4.2494, 4.2479) * CHOOSE( CONTROL!$C$16, $D$10, 100%, $F$10)</f>
        <v>4.2493999999999996</v>
      </c>
      <c r="E46" s="12">
        <f>CHOOSE( CONTROL!$C$33, 4.2433, 4.2418) * CHOOSE( CONTROL!$C$16, $D$10, 100%, $F$10)</f>
        <v>4.2432999999999996</v>
      </c>
      <c r="F46" s="4">
        <f>CHOOSE( CONTROL!$C$33, 5.0049, 5.0033) * CHOOSE(CONTROL!$C$16, $D$10, 100%, $F$10)</f>
        <v>5.0049000000000001</v>
      </c>
      <c r="G46" s="8">
        <f>CHOOSE( CONTROL!$C$33, 4.198, 4.1965) * CHOOSE( CONTROL!$C$16, $D$10, 100%, $F$10)</f>
        <v>4.1980000000000004</v>
      </c>
      <c r="H46" s="4">
        <f>CHOOSE( CONTROL!$C$33, 5.2089, 5.2073) * CHOOSE(CONTROL!$C$16, $D$10, 100%, $F$10)</f>
        <v>5.2088999999999999</v>
      </c>
      <c r="I46" s="8">
        <f>CHOOSE( CONTROL!$C$33, 4.2276, 4.2261) * CHOOSE(CONTROL!$C$16, $D$10, 100%, $F$10)</f>
        <v>4.2275999999999998</v>
      </c>
      <c r="J46" s="4">
        <f>CHOOSE( CONTROL!$C$33, 4.1085, 4.107) * CHOOSE(CONTROL!$C$16, $D$10, 100%, $F$10)</f>
        <v>4.1085000000000003</v>
      </c>
      <c r="K46" s="4"/>
      <c r="L46" s="9">
        <v>30.7165</v>
      </c>
      <c r="M46" s="9">
        <v>12.063700000000001</v>
      </c>
      <c r="N46" s="9">
        <v>4.9444999999999997</v>
      </c>
      <c r="O46" s="9">
        <v>0.37409999999999999</v>
      </c>
      <c r="P46" s="9">
        <v>2.1017999999999999</v>
      </c>
      <c r="Q46" s="9"/>
      <c r="R46" s="9">
        <f t="shared" si="0"/>
        <v>0.3</v>
      </c>
      <c r="S46" s="11"/>
    </row>
    <row r="47" spans="1:19" ht="15" customHeight="1">
      <c r="A47" s="13">
        <v>42583</v>
      </c>
      <c r="B47" s="8">
        <f>CHOOSE( CONTROL!$C$33, 4.2362, 4.2346) * CHOOSE(CONTROL!$C$16, $D$10, 100%, $F$10)</f>
        <v>4.2362000000000002</v>
      </c>
      <c r="C47" s="8">
        <f>CHOOSE( CONTROL!$C$33, 4.2442, 4.2426) * CHOOSE(CONTROL!$C$16, $D$10, 100%, $F$10)</f>
        <v>4.2442000000000002</v>
      </c>
      <c r="D47" s="8">
        <f>CHOOSE( CONTROL!$C$33, 4.2578, 4.2562) * CHOOSE( CONTROL!$C$16, $D$10, 100%, $F$10)</f>
        <v>4.2577999999999996</v>
      </c>
      <c r="E47" s="12">
        <f>CHOOSE( CONTROL!$C$33, 4.2517, 4.2501) * CHOOSE( CONTROL!$C$16, $D$10, 100%, $F$10)</f>
        <v>4.2516999999999996</v>
      </c>
      <c r="F47" s="4">
        <f>CHOOSE( CONTROL!$C$33, 5.0131, 5.0116) * CHOOSE(CONTROL!$C$16, $D$10, 100%, $F$10)</f>
        <v>5.0130999999999997</v>
      </c>
      <c r="G47" s="8">
        <f>CHOOSE( CONTROL!$C$33, 4.2062, 4.2047) * CHOOSE( CONTROL!$C$16, $D$10, 100%, $F$10)</f>
        <v>4.2061999999999999</v>
      </c>
      <c r="H47" s="4">
        <f>CHOOSE( CONTROL!$C$33, 5.217, 5.2155) * CHOOSE(CONTROL!$C$16, $D$10, 100%, $F$10)</f>
        <v>5.2169999999999996</v>
      </c>
      <c r="I47" s="8">
        <f>CHOOSE( CONTROL!$C$33, 4.2358, 4.2343) * CHOOSE(CONTROL!$C$16, $D$10, 100%, $F$10)</f>
        <v>4.2358000000000002</v>
      </c>
      <c r="J47" s="4">
        <f>CHOOSE( CONTROL!$C$33, 4.1165, 4.115) * CHOOSE(CONTROL!$C$16, $D$10, 100%, $F$10)</f>
        <v>4.1165000000000003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2.1017999999999999</v>
      </c>
      <c r="Q47" s="9"/>
      <c r="R47" s="9">
        <f t="shared" si="0"/>
        <v>0.3</v>
      </c>
      <c r="S47" s="11"/>
    </row>
    <row r="48" spans="1:19" ht="15" customHeight="1">
      <c r="A48" s="13">
        <v>42614</v>
      </c>
      <c r="B48" s="8">
        <f>CHOOSE( CONTROL!$C$33, 4.2269, 4.2253) * CHOOSE(CONTROL!$C$16, $D$10, 100%, $F$10)</f>
        <v>4.2268999999999997</v>
      </c>
      <c r="C48" s="8">
        <f>CHOOSE( CONTROL!$C$33, 4.2349, 4.2333) * CHOOSE(CONTROL!$C$16, $D$10, 100%, $F$10)</f>
        <v>4.2348999999999997</v>
      </c>
      <c r="D48" s="8">
        <f>CHOOSE( CONTROL!$C$33, 4.2483, 4.2468) * CHOOSE( CONTROL!$C$16, $D$10, 100%, $F$10)</f>
        <v>4.2483000000000004</v>
      </c>
      <c r="E48" s="12">
        <f>CHOOSE( CONTROL!$C$33, 4.2422, 4.2407) * CHOOSE( CONTROL!$C$16, $D$10, 100%, $F$10)</f>
        <v>4.2422000000000004</v>
      </c>
      <c r="F48" s="4">
        <f>CHOOSE( CONTROL!$C$33, 5.0038, 5.0023) * CHOOSE(CONTROL!$C$16, $D$10, 100%, $F$10)</f>
        <v>5.0038</v>
      </c>
      <c r="G48" s="8">
        <f>CHOOSE( CONTROL!$C$33, 4.1969, 4.1954) * CHOOSE( CONTROL!$C$16, $D$10, 100%, $F$10)</f>
        <v>4.1969000000000003</v>
      </c>
      <c r="H48" s="4">
        <f>CHOOSE( CONTROL!$C$33, 5.2079, 5.2063) * CHOOSE(CONTROL!$C$16, $D$10, 100%, $F$10)</f>
        <v>5.2079000000000004</v>
      </c>
      <c r="I48" s="8">
        <f>CHOOSE( CONTROL!$C$33, 4.2264, 4.2248) * CHOOSE(CONTROL!$C$16, $D$10, 100%, $F$10)</f>
        <v>4.2263999999999999</v>
      </c>
      <c r="J48" s="4">
        <f>CHOOSE( CONTROL!$C$33, 4.1075, 4.106) * CHOOSE(CONTROL!$C$16, $D$10, 100%, $F$10)</f>
        <v>4.1074999999999999</v>
      </c>
      <c r="K48" s="4"/>
      <c r="L48" s="9">
        <v>29.7257</v>
      </c>
      <c r="M48" s="9">
        <v>11.6745</v>
      </c>
      <c r="N48" s="9">
        <v>4.7850000000000001</v>
      </c>
      <c r="O48" s="9">
        <v>0.36199999999999999</v>
      </c>
      <c r="P48" s="9">
        <v>2.0339999999999998</v>
      </c>
      <c r="Q48" s="9"/>
      <c r="R48" s="9">
        <f t="shared" si="0"/>
        <v>0.3</v>
      </c>
      <c r="S48" s="11"/>
    </row>
    <row r="49" spans="1:19" ht="15" customHeight="1">
      <c r="A49" s="13">
        <v>42644</v>
      </c>
      <c r="B49" s="8">
        <f>CHOOSE( CONTROL!$C$33, 4.2475, 4.2463) * CHOOSE(CONTROL!$C$16, $D$10, 100%, $F$10)</f>
        <v>4.2474999999999996</v>
      </c>
      <c r="C49" s="8">
        <f>CHOOSE( CONTROL!$C$33, 4.2528, 4.2517) * CHOOSE(CONTROL!$C$16, $D$10, 100%, $F$10)</f>
        <v>4.2527999999999997</v>
      </c>
      <c r="D49" s="8">
        <f>CHOOSE( CONTROL!$C$33, 4.2491, 4.248) * CHOOSE( CONTROL!$C$16, $D$10, 100%, $F$10)</f>
        <v>4.2491000000000003</v>
      </c>
      <c r="E49" s="12">
        <f>CHOOSE( CONTROL!$C$33, 4.2498, 4.2486) * CHOOSE( CONTROL!$C$16, $D$10, 100%, $F$10)</f>
        <v>4.2497999999999996</v>
      </c>
      <c r="F49" s="4">
        <f>CHOOSE( CONTROL!$C$33, 5.0261, 5.025) * CHOOSE(CONTROL!$C$16, $D$10, 100%, $F$10)</f>
        <v>5.0260999999999996</v>
      </c>
      <c r="G49" s="8">
        <f>CHOOSE( CONTROL!$C$33, 4.2512, 4.2501) * CHOOSE( CONTROL!$C$16, $D$10, 100%, $F$10)</f>
        <v>4.2511999999999999</v>
      </c>
      <c r="H49" s="4">
        <f>CHOOSE( CONTROL!$C$33, 5.2298, 5.2287) * CHOOSE(CONTROL!$C$16, $D$10, 100%, $F$10)</f>
        <v>5.2298</v>
      </c>
      <c r="I49" s="8">
        <f>CHOOSE( CONTROL!$C$33, 4.2485, 4.2474) * CHOOSE(CONTROL!$C$16, $D$10, 100%, $F$10)</f>
        <v>4.2484999999999999</v>
      </c>
      <c r="J49" s="4">
        <f>CHOOSE( CONTROL!$C$33, 4.1291, 4.128) * CHOOSE(CONTROL!$C$16, $D$10, 100%, $F$10)</f>
        <v>4.1291000000000002</v>
      </c>
      <c r="K49" s="4"/>
      <c r="L49" s="9">
        <v>31.095300000000002</v>
      </c>
      <c r="M49" s="9">
        <v>12.063700000000001</v>
      </c>
      <c r="N49" s="9">
        <v>4.9444999999999997</v>
      </c>
      <c r="O49" s="9">
        <v>0.37409999999999999</v>
      </c>
      <c r="P49" s="9">
        <v>2.1017999999999999</v>
      </c>
      <c r="Q49" s="9"/>
      <c r="R49" s="9">
        <f t="shared" si="0"/>
        <v>0.3</v>
      </c>
      <c r="S49" s="11"/>
    </row>
    <row r="50" spans="1:19" ht="15" customHeight="1">
      <c r="A50" s="13">
        <v>42675</v>
      </c>
      <c r="B50" s="8">
        <f>CHOOSE( CONTROL!$C$33, 4.3255, 4.3244) * CHOOSE(CONTROL!$C$16, $D$10, 100%, $F$10)</f>
        <v>4.3254999999999999</v>
      </c>
      <c r="C50" s="8">
        <f>CHOOSE( CONTROL!$C$33, 4.3306, 4.3295) * CHOOSE(CONTROL!$C$16, $D$10, 100%, $F$10)</f>
        <v>4.3305999999999996</v>
      </c>
      <c r="D50" s="8">
        <f>CHOOSE( CONTROL!$C$33, 4.3103, 4.3092) * CHOOSE( CONTROL!$C$16, $D$10, 100%, $F$10)</f>
        <v>4.3102999999999998</v>
      </c>
      <c r="E50" s="12">
        <f>CHOOSE( CONTROL!$C$33, 4.3172, 4.3161) * CHOOSE( CONTROL!$C$16, $D$10, 100%, $F$10)</f>
        <v>4.3171999999999997</v>
      </c>
      <c r="F50" s="4">
        <f>CHOOSE( CONTROL!$C$33, 4.9884, 4.9873) * CHOOSE(CONTROL!$C$16, $D$10, 100%, $F$10)</f>
        <v>4.9884000000000004</v>
      </c>
      <c r="G50" s="8">
        <f>CHOOSE( CONTROL!$C$33, 4.3012, 4.3) * CHOOSE( CONTROL!$C$16, $D$10, 100%, $F$10)</f>
        <v>4.3011999999999997</v>
      </c>
      <c r="H50" s="4">
        <f>CHOOSE( CONTROL!$C$33, 5.1927, 5.1916) * CHOOSE(CONTROL!$C$16, $D$10, 100%, $F$10)</f>
        <v>5.1927000000000003</v>
      </c>
      <c r="I50" s="8">
        <f>CHOOSE( CONTROL!$C$33, 4.3724, 4.3713) * CHOOSE(CONTROL!$C$16, $D$10, 100%, $F$10)</f>
        <v>4.3723999999999998</v>
      </c>
      <c r="J50" s="4">
        <f>CHOOSE( CONTROL!$C$33, 4.2051, 4.204) * CHOOSE(CONTROL!$C$16, $D$10, 100%, $F$10)</f>
        <v>4.2050999999999998</v>
      </c>
      <c r="K50" s="4"/>
      <c r="L50" s="9">
        <v>28.360600000000002</v>
      </c>
      <c r="M50" s="9">
        <v>11.6745</v>
      </c>
      <c r="N50" s="9">
        <v>4.7850000000000001</v>
      </c>
      <c r="O50" s="9">
        <v>0.36199999999999999</v>
      </c>
      <c r="P50" s="9">
        <v>1.1791</v>
      </c>
      <c r="Q50" s="9"/>
      <c r="R50" s="9">
        <f t="shared" si="0"/>
        <v>0.3</v>
      </c>
      <c r="S50" s="11"/>
    </row>
    <row r="51" spans="1:19" ht="15" customHeight="1">
      <c r="A51" s="13">
        <v>42705</v>
      </c>
      <c r="B51" s="8">
        <f>CHOOSE( CONTROL!$C$33, 4.5011, 4.5) * CHOOSE(CONTROL!$C$16, $D$10, 100%, $F$10)</f>
        <v>4.5011000000000001</v>
      </c>
      <c r="C51" s="8">
        <f>CHOOSE( CONTROL!$C$33, 4.5062, 4.5051) * CHOOSE(CONTROL!$C$16, $D$10, 100%, $F$10)</f>
        <v>4.5061999999999998</v>
      </c>
      <c r="D51" s="8">
        <f>CHOOSE( CONTROL!$C$33, 4.4873, 4.4862) * CHOOSE( CONTROL!$C$16, $D$10, 100%, $F$10)</f>
        <v>4.4873000000000003</v>
      </c>
      <c r="E51" s="12">
        <f>CHOOSE( CONTROL!$C$33, 4.4937, 4.4926) * CHOOSE( CONTROL!$C$16, $D$10, 100%, $F$10)</f>
        <v>4.4936999999999996</v>
      </c>
      <c r="F51" s="4">
        <f>CHOOSE( CONTROL!$C$33, 5.164, 5.1629) * CHOOSE(CONTROL!$C$16, $D$10, 100%, $F$10)</f>
        <v>5.1639999999999997</v>
      </c>
      <c r="G51" s="8">
        <f>CHOOSE( CONTROL!$C$33, 4.4753, 4.4742) * CHOOSE( CONTROL!$C$16, $D$10, 100%, $F$10)</f>
        <v>4.4752999999999998</v>
      </c>
      <c r="H51" s="4">
        <f>CHOOSE( CONTROL!$C$33, 5.3658, 5.3647) * CHOOSE(CONTROL!$C$16, $D$10, 100%, $F$10)</f>
        <v>5.3658000000000001</v>
      </c>
      <c r="I51" s="8">
        <f>CHOOSE( CONTROL!$C$33, 4.547, 4.5459) * CHOOSE(CONTROL!$C$16, $D$10, 100%, $F$10)</f>
        <v>4.5469999999999997</v>
      </c>
      <c r="J51" s="4">
        <f>CHOOSE( CONTROL!$C$33, 4.3751, 4.374) * CHOOSE(CONTROL!$C$16, $D$10, 100%, $F$10)</f>
        <v>4.3750999999999998</v>
      </c>
      <c r="K51" s="4"/>
      <c r="L51" s="9">
        <v>29.306000000000001</v>
      </c>
      <c r="M51" s="9">
        <v>12.063700000000001</v>
      </c>
      <c r="N51" s="9">
        <v>4.9444999999999997</v>
      </c>
      <c r="O51" s="9">
        <v>0.37409999999999999</v>
      </c>
      <c r="P51" s="9">
        <v>1.2183999999999999</v>
      </c>
      <c r="Q51" s="9"/>
      <c r="R51" s="9">
        <f t="shared" si="0"/>
        <v>0.3</v>
      </c>
      <c r="S51" s="11"/>
    </row>
    <row r="52" spans="1:19" ht="15" customHeight="1">
      <c r="A52" s="13">
        <v>42736</v>
      </c>
      <c r="B52" s="8">
        <f>CHOOSE( CONTROL!$C$33, 4.9719, 4.9708) * CHOOSE(CONTROL!$C$16, $D$10, 100%, $F$10)</f>
        <v>4.9718999999999998</v>
      </c>
      <c r="C52" s="8">
        <f>CHOOSE( CONTROL!$C$33, 4.977, 4.9759) * CHOOSE(CONTROL!$C$16, $D$10, 100%, $F$10)</f>
        <v>4.9770000000000003</v>
      </c>
      <c r="D52" s="8">
        <f>CHOOSE( CONTROL!$C$33, 4.9694, 4.9682) * CHOOSE( CONTROL!$C$16, $D$10, 100%, $F$10)</f>
        <v>4.9694000000000003</v>
      </c>
      <c r="E52" s="12">
        <f>CHOOSE( CONTROL!$C$33, 4.9716, 4.9705) * CHOOSE( CONTROL!$C$16, $D$10, 100%, $F$10)</f>
        <v>4.9715999999999996</v>
      </c>
      <c r="F52" s="4">
        <f>CHOOSE( CONTROL!$C$33, 5.6348, 5.6337) * CHOOSE(CONTROL!$C$16, $D$10, 100%, $F$10)</f>
        <v>5.6348000000000003</v>
      </c>
      <c r="G52" s="8">
        <f>CHOOSE( CONTROL!$C$33, 4.9454, 4.9443) * CHOOSE( CONTROL!$C$16, $D$10, 100%, $F$10)</f>
        <v>4.9454000000000002</v>
      </c>
      <c r="H52" s="4">
        <f>CHOOSE( CONTROL!$C$33, 5.83, 5.8289) * CHOOSE(CONTROL!$C$16, $D$10, 100%, $F$10)</f>
        <v>5.83</v>
      </c>
      <c r="I52" s="8">
        <f>CHOOSE( CONTROL!$C$33, 4.9943, 4.9932) * CHOOSE(CONTROL!$C$16, $D$10, 100%, $F$10)</f>
        <v>4.9943</v>
      </c>
      <c r="J52" s="4">
        <f>CHOOSE( CONTROL!$C$33, 4.831, 4.8299) * CHOOSE(CONTROL!$C$16, $D$10, 100%, $F$10)</f>
        <v>4.8310000000000004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1.2183999999999999</v>
      </c>
      <c r="Q52" s="9"/>
      <c r="R52" s="9">
        <f t="shared" si="0"/>
        <v>0.3</v>
      </c>
      <c r="S52" s="11"/>
    </row>
    <row r="53" spans="1:19" ht="15" customHeight="1">
      <c r="A53" s="13">
        <v>42767</v>
      </c>
      <c r="B53" s="8">
        <f>CHOOSE( CONTROL!$C$33, 4.6494, 4.6483) * CHOOSE(CONTROL!$C$16, $D$10, 100%, $F$10)</f>
        <v>4.6494</v>
      </c>
      <c r="C53" s="8">
        <f>CHOOSE( CONTROL!$C$33, 4.6545, 4.6534) * CHOOSE(CONTROL!$C$16, $D$10, 100%, $F$10)</f>
        <v>4.6544999999999996</v>
      </c>
      <c r="D53" s="8">
        <f>CHOOSE( CONTROL!$C$33, 4.6467, 4.6456) * CHOOSE( CONTROL!$C$16, $D$10, 100%, $F$10)</f>
        <v>4.6467000000000001</v>
      </c>
      <c r="E53" s="12">
        <f>CHOOSE( CONTROL!$C$33, 4.649, 4.6479) * CHOOSE( CONTROL!$C$16, $D$10, 100%, $F$10)</f>
        <v>4.649</v>
      </c>
      <c r="F53" s="4">
        <f>CHOOSE( CONTROL!$C$33, 5.3123, 5.3112) * CHOOSE(CONTROL!$C$16, $D$10, 100%, $F$10)</f>
        <v>5.3122999999999996</v>
      </c>
      <c r="G53" s="8">
        <f>CHOOSE( CONTROL!$C$33, 4.6273, 4.6262) * CHOOSE( CONTROL!$C$16, $D$10, 100%, $F$10)</f>
        <v>4.6273</v>
      </c>
      <c r="H53" s="4">
        <f>CHOOSE( CONTROL!$C$33, 5.512, 5.5109) * CHOOSE(CONTROL!$C$16, $D$10, 100%, $F$10)</f>
        <v>5.5119999999999996</v>
      </c>
      <c r="I53" s="8">
        <f>CHOOSE( CONTROL!$C$33, 4.6813, 4.6802) * CHOOSE(CONTROL!$C$16, $D$10, 100%, $F$10)</f>
        <v>4.6813000000000002</v>
      </c>
      <c r="J53" s="4">
        <f>CHOOSE( CONTROL!$C$33, 4.5187, 4.5176) * CHOOSE(CONTROL!$C$16, $D$10, 100%, $F$10)</f>
        <v>4.5186999999999999</v>
      </c>
      <c r="K53" s="4"/>
      <c r="L53" s="9">
        <v>26.469899999999999</v>
      </c>
      <c r="M53" s="9">
        <v>10.8962</v>
      </c>
      <c r="N53" s="9">
        <v>4.4660000000000002</v>
      </c>
      <c r="O53" s="9">
        <v>0.33789999999999998</v>
      </c>
      <c r="P53" s="9">
        <v>1.1005</v>
      </c>
      <c r="Q53" s="9"/>
      <c r="R53" s="9">
        <f t="shared" si="0"/>
        <v>0.3</v>
      </c>
      <c r="S53" s="11"/>
    </row>
    <row r="54" spans="1:19" ht="15" customHeight="1">
      <c r="A54" s="13">
        <v>42795</v>
      </c>
      <c r="B54" s="8">
        <f>CHOOSE( CONTROL!$C$33, 4.5501, 4.549) * CHOOSE(CONTROL!$C$16, $D$10, 100%, $F$10)</f>
        <v>4.5500999999999996</v>
      </c>
      <c r="C54" s="8">
        <f>CHOOSE( CONTROL!$C$33, 4.5552, 4.5541) * CHOOSE(CONTROL!$C$16, $D$10, 100%, $F$10)</f>
        <v>4.5552000000000001</v>
      </c>
      <c r="D54" s="8">
        <f>CHOOSE( CONTROL!$C$33, 4.5467, 4.5455) * CHOOSE( CONTROL!$C$16, $D$10, 100%, $F$10)</f>
        <v>4.5467000000000004</v>
      </c>
      <c r="E54" s="12">
        <f>CHOOSE( CONTROL!$C$33, 4.5493, 4.5481) * CHOOSE( CONTROL!$C$16, $D$10, 100%, $F$10)</f>
        <v>4.5492999999999997</v>
      </c>
      <c r="F54" s="4">
        <f>CHOOSE( CONTROL!$C$33, 5.213, 5.2119) * CHOOSE(CONTROL!$C$16, $D$10, 100%, $F$10)</f>
        <v>5.2130000000000001</v>
      </c>
      <c r="G54" s="8">
        <f>CHOOSE( CONTROL!$C$33, 4.5288, 4.5277) * CHOOSE( CONTROL!$C$16, $D$10, 100%, $F$10)</f>
        <v>4.5288000000000004</v>
      </c>
      <c r="H54" s="4">
        <f>CHOOSE( CONTROL!$C$33, 5.4141, 5.413) * CHOOSE(CONTROL!$C$16, $D$10, 100%, $F$10)</f>
        <v>5.4141000000000004</v>
      </c>
      <c r="I54" s="8">
        <f>CHOOSE( CONTROL!$C$33, 4.5828, 4.5818) * CHOOSE(CONTROL!$C$16, $D$10, 100%, $F$10)</f>
        <v>4.5827999999999998</v>
      </c>
      <c r="J54" s="4">
        <f>CHOOSE( CONTROL!$C$33, 4.4225, 4.4215) * CHOOSE(CONTROL!$C$16, $D$10, 100%, $F$10)</f>
        <v>4.4225000000000003</v>
      </c>
      <c r="K54" s="4"/>
      <c r="L54" s="9">
        <v>29.306000000000001</v>
      </c>
      <c r="M54" s="9">
        <v>12.063700000000001</v>
      </c>
      <c r="N54" s="9">
        <v>4.9444999999999997</v>
      </c>
      <c r="O54" s="9">
        <v>0.37409999999999999</v>
      </c>
      <c r="P54" s="9">
        <v>1.2183999999999999</v>
      </c>
      <c r="Q54" s="9"/>
      <c r="R54" s="9">
        <f t="shared" si="0"/>
        <v>0.3</v>
      </c>
      <c r="S54" s="11"/>
    </row>
    <row r="55" spans="1:19" ht="15" customHeight="1">
      <c r="A55" s="13">
        <v>42826</v>
      </c>
      <c r="B55" s="8">
        <f>CHOOSE( CONTROL!$C$33, 4.6203, 4.6192) * CHOOSE(CONTROL!$C$16, $D$10, 100%, $F$10)</f>
        <v>4.6203000000000003</v>
      </c>
      <c r="C55" s="8">
        <f>CHOOSE( CONTROL!$C$33, 4.6248, 4.6237) * CHOOSE(CONTROL!$C$16, $D$10, 100%, $F$10)</f>
        <v>4.6247999999999996</v>
      </c>
      <c r="D55" s="8">
        <f>CHOOSE( CONTROL!$C$33, 4.6447, 4.6436) * CHOOSE( CONTROL!$C$16, $D$10, 100%, $F$10)</f>
        <v>4.6447000000000003</v>
      </c>
      <c r="E55" s="12">
        <f>CHOOSE( CONTROL!$C$33, 4.6376, 4.6365) * CHOOSE( CONTROL!$C$16, $D$10, 100%, $F$10)</f>
        <v>4.6375999999999999</v>
      </c>
      <c r="F55" s="4">
        <f>CHOOSE( CONTROL!$C$33, 5.3986, 5.3975) * CHOOSE(CONTROL!$C$16, $D$10, 100%, $F$10)</f>
        <v>5.3986000000000001</v>
      </c>
      <c r="G55" s="8">
        <f>CHOOSE( CONTROL!$C$33, 4.5858, 4.5847) * CHOOSE( CONTROL!$C$16, $D$10, 100%, $F$10)</f>
        <v>4.5857999999999999</v>
      </c>
      <c r="H55" s="4">
        <f>CHOOSE( CONTROL!$C$33, 5.5971, 5.596) * CHOOSE(CONTROL!$C$16, $D$10, 100%, $F$10)</f>
        <v>5.5971000000000002</v>
      </c>
      <c r="I55" s="8">
        <f>CHOOSE( CONTROL!$C$33, 4.6081, 4.607) * CHOOSE(CONTROL!$C$16, $D$10, 100%, $F$10)</f>
        <v>4.6081000000000003</v>
      </c>
      <c r="J55" s="4">
        <f>CHOOSE( CONTROL!$C$33, 4.4897, 4.4887) * CHOOSE(CONTROL!$C$16, $D$10, 100%, $F$10)</f>
        <v>4.4897</v>
      </c>
      <c r="K55" s="4"/>
      <c r="L55" s="9">
        <v>30.092199999999998</v>
      </c>
      <c r="M55" s="9">
        <v>11.6745</v>
      </c>
      <c r="N55" s="9">
        <v>4.7850000000000001</v>
      </c>
      <c r="O55" s="9">
        <v>0.36199999999999999</v>
      </c>
      <c r="P55" s="9">
        <v>2.0339999999999998</v>
      </c>
      <c r="Q55" s="9"/>
      <c r="R55" s="9">
        <f t="shared" si="0"/>
        <v>0.3</v>
      </c>
      <c r="S55" s="11"/>
    </row>
    <row r="56" spans="1:19" ht="15" customHeight="1">
      <c r="A56" s="13">
        <v>42856</v>
      </c>
      <c r="B56" s="8">
        <f>CHOOSE( CONTROL!$C$33, 4.7456, 4.744) * CHOOSE(CONTROL!$C$16, $D$10, 100%, $F$10)</f>
        <v>4.7455999999999996</v>
      </c>
      <c r="C56" s="8">
        <f>CHOOSE( CONTROL!$C$33, 4.7536, 4.752) * CHOOSE(CONTROL!$C$16, $D$10, 100%, $F$10)</f>
        <v>4.7535999999999996</v>
      </c>
      <c r="D56" s="8">
        <f>CHOOSE( CONTROL!$C$33, 4.7667, 4.7651) * CHOOSE( CONTROL!$C$16, $D$10, 100%, $F$10)</f>
        <v>4.7667000000000002</v>
      </c>
      <c r="E56" s="12">
        <f>CHOOSE( CONTROL!$C$33, 4.7607, 4.7591) * CHOOSE( CONTROL!$C$16, $D$10, 100%, $F$10)</f>
        <v>4.7606999999999999</v>
      </c>
      <c r="F56" s="4">
        <f>CHOOSE( CONTROL!$C$33, 5.5225, 5.521) * CHOOSE(CONTROL!$C$16, $D$10, 100%, $F$10)</f>
        <v>5.5225</v>
      </c>
      <c r="G56" s="8">
        <f>CHOOSE( CONTROL!$C$33, 4.708, 4.7065) * CHOOSE( CONTROL!$C$16, $D$10, 100%, $F$10)</f>
        <v>4.7080000000000002</v>
      </c>
      <c r="H56" s="4">
        <f>CHOOSE( CONTROL!$C$33, 5.7193, 5.7178) * CHOOSE(CONTROL!$C$16, $D$10, 100%, $F$10)</f>
        <v>5.7192999999999996</v>
      </c>
      <c r="I56" s="8">
        <f>CHOOSE( CONTROL!$C$33, 4.7278, 4.7263) * CHOOSE(CONTROL!$C$16, $D$10, 100%, $F$10)</f>
        <v>4.7278000000000002</v>
      </c>
      <c r="J56" s="4">
        <f>CHOOSE( CONTROL!$C$33, 4.6098, 4.6083) * CHOOSE(CONTROL!$C$16, $D$10, 100%, $F$10)</f>
        <v>4.6097999999999999</v>
      </c>
      <c r="K56" s="4"/>
      <c r="L56" s="9">
        <v>30.7165</v>
      </c>
      <c r="M56" s="9">
        <v>12.063700000000001</v>
      </c>
      <c r="N56" s="9">
        <v>4.9444999999999997</v>
      </c>
      <c r="O56" s="9">
        <v>0.37409999999999999</v>
      </c>
      <c r="P56" s="9">
        <v>2.1017999999999999</v>
      </c>
      <c r="Q56" s="9">
        <v>25.076499999999999</v>
      </c>
      <c r="R56" s="9"/>
      <c r="S56" s="11"/>
    </row>
    <row r="57" spans="1:19" ht="15" customHeight="1">
      <c r="A57" s="13">
        <v>42887</v>
      </c>
      <c r="B57" s="8">
        <f>CHOOSE( CONTROL!$C$33, 4.6691, 4.6675) * CHOOSE(CONTROL!$C$16, $D$10, 100%, $F$10)</f>
        <v>4.6691000000000003</v>
      </c>
      <c r="C57" s="8">
        <f>CHOOSE( CONTROL!$C$33, 4.6771, 4.6755) * CHOOSE(CONTROL!$C$16, $D$10, 100%, $F$10)</f>
        <v>4.6771000000000003</v>
      </c>
      <c r="D57" s="8">
        <f>CHOOSE( CONTROL!$C$33, 4.6903, 4.6888) * CHOOSE( CONTROL!$C$16, $D$10, 100%, $F$10)</f>
        <v>4.6902999999999997</v>
      </c>
      <c r="E57" s="12">
        <f>CHOOSE( CONTROL!$C$33, 4.6843, 4.6828) * CHOOSE( CONTROL!$C$16, $D$10, 100%, $F$10)</f>
        <v>4.6843000000000004</v>
      </c>
      <c r="F57" s="4">
        <f>CHOOSE( CONTROL!$C$33, 5.446, 5.4445) * CHOOSE(CONTROL!$C$16, $D$10, 100%, $F$10)</f>
        <v>5.4459999999999997</v>
      </c>
      <c r="G57" s="8">
        <f>CHOOSE( CONTROL!$C$33, 4.6328, 4.6312) * CHOOSE( CONTROL!$C$16, $D$10, 100%, $F$10)</f>
        <v>4.6327999999999996</v>
      </c>
      <c r="H57" s="4">
        <f>CHOOSE( CONTROL!$C$33, 5.6439, 5.6423) * CHOOSE(CONTROL!$C$16, $D$10, 100%, $F$10)</f>
        <v>5.6439000000000004</v>
      </c>
      <c r="I57" s="8">
        <f>CHOOSE( CONTROL!$C$33, 4.6542, 4.6527) * CHOOSE(CONTROL!$C$16, $D$10, 100%, $F$10)</f>
        <v>4.6542000000000003</v>
      </c>
      <c r="J57" s="4">
        <f>CHOOSE( CONTROL!$C$33, 4.5357, 4.5342) * CHOOSE(CONTROL!$C$16, $D$10, 100%, $F$10)</f>
        <v>4.5357000000000003</v>
      </c>
      <c r="K57" s="4"/>
      <c r="L57" s="9">
        <v>29.7257</v>
      </c>
      <c r="M57" s="9">
        <v>11.6745</v>
      </c>
      <c r="N57" s="9">
        <v>4.7850000000000001</v>
      </c>
      <c r="O57" s="9">
        <v>0.36199999999999999</v>
      </c>
      <c r="P57" s="9">
        <v>2.0339999999999998</v>
      </c>
      <c r="Q57" s="9">
        <v>24.267600000000002</v>
      </c>
      <c r="R57" s="9"/>
      <c r="S57" s="11"/>
    </row>
    <row r="58" spans="1:19" ht="15" customHeight="1">
      <c r="A58" s="13">
        <v>42917</v>
      </c>
      <c r="B58" s="8">
        <f>CHOOSE( CONTROL!$C$33, 4.8706, 4.869) * CHOOSE(CONTROL!$C$16, $D$10, 100%, $F$10)</f>
        <v>4.8705999999999996</v>
      </c>
      <c r="C58" s="8">
        <f>CHOOSE( CONTROL!$C$33, 4.8786, 4.877) * CHOOSE(CONTROL!$C$16, $D$10, 100%, $F$10)</f>
        <v>4.8785999999999996</v>
      </c>
      <c r="D58" s="8">
        <f>CHOOSE( CONTROL!$C$33, 4.8921, 4.8905) * CHOOSE( CONTROL!$C$16, $D$10, 100%, $F$10)</f>
        <v>4.8921000000000001</v>
      </c>
      <c r="E58" s="12">
        <f>CHOOSE( CONTROL!$C$33, 4.886, 4.8844) * CHOOSE( CONTROL!$C$16, $D$10, 100%, $F$10)</f>
        <v>4.8860000000000001</v>
      </c>
      <c r="F58" s="4">
        <f>CHOOSE( CONTROL!$C$33, 5.6475, 5.6459) * CHOOSE(CONTROL!$C$16, $D$10, 100%, $F$10)</f>
        <v>5.6475</v>
      </c>
      <c r="G58" s="8">
        <f>CHOOSE( CONTROL!$C$33, 4.8317, 4.8301) * CHOOSE( CONTROL!$C$16, $D$10, 100%, $F$10)</f>
        <v>4.8316999999999997</v>
      </c>
      <c r="H58" s="4">
        <f>CHOOSE( CONTROL!$C$33, 5.8426, 5.841) * CHOOSE(CONTROL!$C$16, $D$10, 100%, $F$10)</f>
        <v>5.8426</v>
      </c>
      <c r="I58" s="8">
        <f>CHOOSE( CONTROL!$C$33, 4.8502, 4.8487) * CHOOSE(CONTROL!$C$16, $D$10, 100%, $F$10)</f>
        <v>4.8502000000000001</v>
      </c>
      <c r="J58" s="4">
        <f>CHOOSE( CONTROL!$C$33, 4.7308, 4.7293) * CHOOSE(CONTROL!$C$16, $D$10, 100%, $F$10)</f>
        <v>4.7308000000000003</v>
      </c>
      <c r="K58" s="4"/>
      <c r="L58" s="9">
        <v>30.7165</v>
      </c>
      <c r="M58" s="9">
        <v>12.063700000000001</v>
      </c>
      <c r="N58" s="9">
        <v>4.9444999999999997</v>
      </c>
      <c r="O58" s="9">
        <v>0.37409999999999999</v>
      </c>
      <c r="P58" s="9">
        <v>2.1017999999999999</v>
      </c>
      <c r="Q58" s="9">
        <v>25.076499999999999</v>
      </c>
      <c r="R58" s="9"/>
      <c r="S58" s="11"/>
    </row>
    <row r="59" spans="1:19" ht="15" customHeight="1">
      <c r="A59" s="13">
        <v>42948</v>
      </c>
      <c r="B59" s="8">
        <f>CHOOSE( CONTROL!$C$33, 4.4936, 4.492) * CHOOSE(CONTROL!$C$16, $D$10, 100%, $F$10)</f>
        <v>4.4935999999999998</v>
      </c>
      <c r="C59" s="8">
        <f>CHOOSE( CONTROL!$C$33, 4.5016, 4.5) * CHOOSE(CONTROL!$C$16, $D$10, 100%, $F$10)</f>
        <v>4.5015999999999998</v>
      </c>
      <c r="D59" s="8">
        <f>CHOOSE( CONTROL!$C$33, 4.5151, 4.5136) * CHOOSE( CONTROL!$C$16, $D$10, 100%, $F$10)</f>
        <v>4.5151000000000003</v>
      </c>
      <c r="E59" s="12">
        <f>CHOOSE( CONTROL!$C$33, 4.509, 4.5075) * CHOOSE( CONTROL!$C$16, $D$10, 100%, $F$10)</f>
        <v>4.5090000000000003</v>
      </c>
      <c r="F59" s="4">
        <f>CHOOSE( CONTROL!$C$33, 5.2705, 5.2689) * CHOOSE(CONTROL!$C$16, $D$10, 100%, $F$10)</f>
        <v>5.2705000000000002</v>
      </c>
      <c r="G59" s="8">
        <f>CHOOSE( CONTROL!$C$33, 4.46, 4.4584) * CHOOSE( CONTROL!$C$16, $D$10, 100%, $F$10)</f>
        <v>4.46</v>
      </c>
      <c r="H59" s="4">
        <f>CHOOSE( CONTROL!$C$33, 5.4708, 5.4693) * CHOOSE(CONTROL!$C$16, $D$10, 100%, $F$10)</f>
        <v>5.4707999999999997</v>
      </c>
      <c r="I59" s="8">
        <f>CHOOSE( CONTROL!$C$33, 4.4851, 4.4836) * CHOOSE(CONTROL!$C$16, $D$10, 100%, $F$10)</f>
        <v>4.4851000000000001</v>
      </c>
      <c r="J59" s="4">
        <f>CHOOSE( CONTROL!$C$33, 4.3657, 4.3642) * CHOOSE(CONTROL!$C$16, $D$10, 100%, $F$10)</f>
        <v>4.3657000000000004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2.1017999999999999</v>
      </c>
      <c r="Q59" s="9">
        <v>25.076499999999999</v>
      </c>
      <c r="R59" s="9"/>
      <c r="S59" s="11"/>
    </row>
    <row r="60" spans="1:19" ht="15" customHeight="1">
      <c r="A60" s="13">
        <v>42979</v>
      </c>
      <c r="B60" s="8">
        <f>CHOOSE( CONTROL!$C$33, 4.3992, 4.3976) * CHOOSE(CONTROL!$C$16, $D$10, 100%, $F$10)</f>
        <v>4.3992000000000004</v>
      </c>
      <c r="C60" s="8">
        <f>CHOOSE( CONTROL!$C$33, 4.4072, 4.4056) * CHOOSE(CONTROL!$C$16, $D$10, 100%, $F$10)</f>
        <v>4.4071999999999996</v>
      </c>
      <c r="D60" s="8">
        <f>CHOOSE( CONTROL!$C$33, 4.4206, 4.419) * CHOOSE( CONTROL!$C$16, $D$10, 100%, $F$10)</f>
        <v>4.4206000000000003</v>
      </c>
      <c r="E60" s="12">
        <f>CHOOSE( CONTROL!$C$33, 4.4145, 4.4129) * CHOOSE( CONTROL!$C$16, $D$10, 100%, $F$10)</f>
        <v>4.4145000000000003</v>
      </c>
      <c r="F60" s="4">
        <f>CHOOSE( CONTROL!$C$33, 5.1761, 5.1745) * CHOOSE(CONTROL!$C$16, $D$10, 100%, $F$10)</f>
        <v>5.1760999999999999</v>
      </c>
      <c r="G60" s="8">
        <f>CHOOSE( CONTROL!$C$33, 4.3668, 4.3652) * CHOOSE( CONTROL!$C$16, $D$10, 100%, $F$10)</f>
        <v>4.3667999999999996</v>
      </c>
      <c r="H60" s="4">
        <f>CHOOSE( CONTROL!$C$33, 5.3777, 5.3762) * CHOOSE(CONTROL!$C$16, $D$10, 100%, $F$10)</f>
        <v>5.3776999999999999</v>
      </c>
      <c r="I60" s="8">
        <f>CHOOSE( CONTROL!$C$33, 4.3932, 4.3917) * CHOOSE(CONTROL!$C$16, $D$10, 100%, $F$10)</f>
        <v>4.3932000000000002</v>
      </c>
      <c r="J60" s="4">
        <f>CHOOSE( CONTROL!$C$33, 4.2743, 4.2728) * CHOOSE(CONTROL!$C$16, $D$10, 100%, $F$10)</f>
        <v>4.2743000000000002</v>
      </c>
      <c r="K60" s="4"/>
      <c r="L60" s="9">
        <v>29.7257</v>
      </c>
      <c r="M60" s="9">
        <v>11.6745</v>
      </c>
      <c r="N60" s="9">
        <v>4.7850000000000001</v>
      </c>
      <c r="O60" s="9">
        <v>0.36199999999999999</v>
      </c>
      <c r="P60" s="9">
        <v>2.0339999999999998</v>
      </c>
      <c r="Q60" s="9">
        <v>24.267600000000002</v>
      </c>
      <c r="R60" s="9"/>
      <c r="S60" s="11"/>
    </row>
    <row r="61" spans="1:19" ht="15" customHeight="1">
      <c r="A61" s="13">
        <v>43009</v>
      </c>
      <c r="B61" s="8">
        <f>CHOOSE( CONTROL!$C$33, 4.593, 4.5919) * CHOOSE(CONTROL!$C$16, $D$10, 100%, $F$10)</f>
        <v>4.593</v>
      </c>
      <c r="C61" s="8">
        <f>CHOOSE( CONTROL!$C$33, 4.5984, 4.5973) * CHOOSE(CONTROL!$C$16, $D$10, 100%, $F$10)</f>
        <v>4.5983999999999998</v>
      </c>
      <c r="D61" s="8">
        <f>CHOOSE( CONTROL!$C$33, 4.5947, 4.5936) * CHOOSE( CONTROL!$C$16, $D$10, 100%, $F$10)</f>
        <v>4.5946999999999996</v>
      </c>
      <c r="E61" s="12">
        <f>CHOOSE( CONTROL!$C$33, 4.5953, 4.5942) * CHOOSE( CONTROL!$C$16, $D$10, 100%, $F$10)</f>
        <v>4.5952999999999999</v>
      </c>
      <c r="F61" s="4">
        <f>CHOOSE( CONTROL!$C$33, 5.3717, 5.3705) * CHOOSE(CONTROL!$C$16, $D$10, 100%, $F$10)</f>
        <v>5.3716999999999997</v>
      </c>
      <c r="G61" s="8">
        <f>CHOOSE( CONTROL!$C$33, 4.592, 4.5909) * CHOOSE( CONTROL!$C$16, $D$10, 100%, $F$10)</f>
        <v>4.5919999999999996</v>
      </c>
      <c r="H61" s="4">
        <f>CHOOSE( CONTROL!$C$33, 5.5706, 5.5695) * CHOOSE(CONTROL!$C$16, $D$10, 100%, $F$10)</f>
        <v>5.5705999999999998</v>
      </c>
      <c r="I61" s="8">
        <f>CHOOSE( CONTROL!$C$33, 4.5833, 4.5822) * CHOOSE(CONTROL!$C$16, $D$10, 100%, $F$10)</f>
        <v>4.5833000000000004</v>
      </c>
      <c r="J61" s="4">
        <f>CHOOSE( CONTROL!$C$33, 4.4637, 4.4626) * CHOOSE(CONTROL!$C$16, $D$10, 100%, $F$10)</f>
        <v>4.4637000000000002</v>
      </c>
      <c r="K61" s="4"/>
      <c r="L61" s="9">
        <v>31.095300000000002</v>
      </c>
      <c r="M61" s="9">
        <v>12.063700000000001</v>
      </c>
      <c r="N61" s="9">
        <v>4.9444999999999997</v>
      </c>
      <c r="O61" s="9">
        <v>0.37409999999999999</v>
      </c>
      <c r="P61" s="9">
        <v>2.1017999999999999</v>
      </c>
      <c r="Q61" s="9">
        <v>25.076499999999999</v>
      </c>
      <c r="R61" s="9"/>
      <c r="S61" s="11"/>
    </row>
    <row r="62" spans="1:19" ht="15" customHeight="1">
      <c r="A62" s="13">
        <v>43040</v>
      </c>
      <c r="B62" s="8">
        <f>CHOOSE( CONTROL!$C$33, 4.9544, 4.9533) * CHOOSE(CONTROL!$C$16, $D$10, 100%, $F$10)</f>
        <v>4.9543999999999997</v>
      </c>
      <c r="C62" s="8">
        <f>CHOOSE( CONTROL!$C$33, 4.9595, 4.9584) * CHOOSE(CONTROL!$C$16, $D$10, 100%, $F$10)</f>
        <v>4.9595000000000002</v>
      </c>
      <c r="D62" s="8">
        <f>CHOOSE( CONTROL!$C$33, 4.9392, 4.9381) * CHOOSE( CONTROL!$C$16, $D$10, 100%, $F$10)</f>
        <v>4.9391999999999996</v>
      </c>
      <c r="E62" s="12">
        <f>CHOOSE( CONTROL!$C$33, 4.9461, 4.945) * CHOOSE( CONTROL!$C$16, $D$10, 100%, $F$10)</f>
        <v>4.9461000000000004</v>
      </c>
      <c r="F62" s="4">
        <f>CHOOSE( CONTROL!$C$33, 5.6173, 5.6162) * CHOOSE(CONTROL!$C$16, $D$10, 100%, $F$10)</f>
        <v>5.6173000000000002</v>
      </c>
      <c r="G62" s="8">
        <f>CHOOSE( CONTROL!$C$33, 4.9213, 4.9202) * CHOOSE( CONTROL!$C$16, $D$10, 100%, $F$10)</f>
        <v>4.9212999999999996</v>
      </c>
      <c r="H62" s="4">
        <f>CHOOSE( CONTROL!$C$33, 5.8128, 5.8117) * CHOOSE(CONTROL!$C$16, $D$10, 100%, $F$10)</f>
        <v>5.8128000000000002</v>
      </c>
      <c r="I62" s="8">
        <f>CHOOSE( CONTROL!$C$33, 4.9816, 4.9805) * CHOOSE(CONTROL!$C$16, $D$10, 100%, $F$10)</f>
        <v>4.9816000000000003</v>
      </c>
      <c r="J62" s="4">
        <f>CHOOSE( CONTROL!$C$33, 4.814, 4.813) * CHOOSE(CONTROL!$C$16, $D$10, 100%, $F$10)</f>
        <v>4.8140000000000001</v>
      </c>
      <c r="K62" s="4"/>
      <c r="L62" s="9">
        <v>28.360600000000002</v>
      </c>
      <c r="M62" s="9">
        <v>11.6745</v>
      </c>
      <c r="N62" s="9">
        <v>4.7850000000000001</v>
      </c>
      <c r="O62" s="9">
        <v>0.36199999999999999</v>
      </c>
      <c r="P62" s="9">
        <v>1.2509999999999999</v>
      </c>
      <c r="Q62" s="9">
        <v>24.267600000000002</v>
      </c>
      <c r="R62" s="9"/>
      <c r="S62" s="11"/>
    </row>
    <row r="63" spans="1:19" ht="15" customHeight="1">
      <c r="A63" s="13">
        <v>43070</v>
      </c>
      <c r="B63" s="8">
        <f>CHOOSE( CONTROL!$C$33, 4.9454, 4.9443) * CHOOSE(CONTROL!$C$16, $D$10, 100%, $F$10)</f>
        <v>4.9454000000000002</v>
      </c>
      <c r="C63" s="8">
        <f>CHOOSE( CONTROL!$C$33, 4.9505, 4.9494) * CHOOSE(CONTROL!$C$16, $D$10, 100%, $F$10)</f>
        <v>4.9504999999999999</v>
      </c>
      <c r="D63" s="8">
        <f>CHOOSE( CONTROL!$C$33, 4.9316, 4.9305) * CHOOSE( CONTROL!$C$16, $D$10, 100%, $F$10)</f>
        <v>4.9316000000000004</v>
      </c>
      <c r="E63" s="12">
        <f>CHOOSE( CONTROL!$C$33, 4.938, 4.9369) * CHOOSE( CONTROL!$C$16, $D$10, 100%, $F$10)</f>
        <v>4.9379999999999997</v>
      </c>
      <c r="F63" s="4">
        <f>CHOOSE( CONTROL!$C$33, 5.6083, 5.6072) * CHOOSE(CONTROL!$C$16, $D$10, 100%, $F$10)</f>
        <v>5.6082999999999998</v>
      </c>
      <c r="G63" s="8">
        <f>CHOOSE( CONTROL!$C$33, 4.9134, 4.9123) * CHOOSE( CONTROL!$C$16, $D$10, 100%, $F$10)</f>
        <v>4.9134000000000002</v>
      </c>
      <c r="H63" s="4">
        <f>CHOOSE( CONTROL!$C$33, 5.8039, 5.8028) * CHOOSE(CONTROL!$C$16, $D$10, 100%, $F$10)</f>
        <v>5.8038999999999996</v>
      </c>
      <c r="I63" s="8">
        <f>CHOOSE( CONTROL!$C$33, 4.9774, 4.9763) * CHOOSE(CONTROL!$C$16, $D$10, 100%, $F$10)</f>
        <v>4.9774000000000003</v>
      </c>
      <c r="J63" s="4">
        <f>CHOOSE( CONTROL!$C$33, 4.8053, 4.8042) * CHOOSE(CONTROL!$C$16, $D$10, 100%, $F$10)</f>
        <v>4.8052999999999999</v>
      </c>
      <c r="K63" s="4"/>
      <c r="L63" s="9">
        <v>29.306000000000001</v>
      </c>
      <c r="M63" s="9">
        <v>12.063700000000001</v>
      </c>
      <c r="N63" s="9">
        <v>4.9444999999999997</v>
      </c>
      <c r="O63" s="9">
        <v>0.37409999999999999</v>
      </c>
      <c r="P63" s="9">
        <v>1.2927</v>
      </c>
      <c r="Q63" s="9">
        <v>25.076499999999999</v>
      </c>
      <c r="R63" s="9"/>
      <c r="S63" s="11"/>
    </row>
    <row r="64" spans="1:19" ht="15" customHeight="1">
      <c r="A64" s="13">
        <v>43101</v>
      </c>
      <c r="B64" s="8">
        <f>CHOOSE( CONTROL!$C$33, 5.2407, 5.2396) * CHOOSE(CONTROL!$C$16, $D$10, 100%, $F$10)</f>
        <v>5.2407000000000004</v>
      </c>
      <c r="C64" s="8">
        <f>CHOOSE( CONTROL!$C$33, 5.2458, 5.2447) * CHOOSE(CONTROL!$C$16, $D$10, 100%, $F$10)</f>
        <v>5.2458</v>
      </c>
      <c r="D64" s="8">
        <f>CHOOSE( CONTROL!$C$33, 5.2382, 5.237) * CHOOSE( CONTROL!$C$16, $D$10, 100%, $F$10)</f>
        <v>5.2382</v>
      </c>
      <c r="E64" s="12">
        <f>CHOOSE( CONTROL!$C$33, 5.2404, 5.2393) * CHOOSE( CONTROL!$C$16, $D$10, 100%, $F$10)</f>
        <v>5.2404000000000002</v>
      </c>
      <c r="F64" s="4">
        <f>CHOOSE( CONTROL!$C$33, 5.9036, 5.9024) * CHOOSE(CONTROL!$C$16, $D$10, 100%, $F$10)</f>
        <v>5.9036</v>
      </c>
      <c r="G64" s="8">
        <f>CHOOSE( CONTROL!$C$33, 5.2104, 5.2093) * CHOOSE( CONTROL!$C$16, $D$10, 100%, $F$10)</f>
        <v>5.2103999999999999</v>
      </c>
      <c r="H64" s="4">
        <f>CHOOSE( CONTROL!$C$33, 6.095, 6.0939) * CHOOSE(CONTROL!$C$16, $D$10, 100%, $F$10)</f>
        <v>6.0949999999999998</v>
      </c>
      <c r="I64" s="8">
        <f>CHOOSE( CONTROL!$C$33, 5.2547, 5.2536) * CHOOSE(CONTROL!$C$16, $D$10, 100%, $F$10)</f>
        <v>5.2546999999999997</v>
      </c>
      <c r="J64" s="4">
        <f>CHOOSE( CONTROL!$C$33, 5.0912, 5.0901) * CHOOSE(CONTROL!$C$16, $D$10, 100%, $F$10)</f>
        <v>5.0911999999999997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24.901700000000002</v>
      </c>
      <c r="R64" s="9"/>
      <c r="S64" s="11"/>
    </row>
    <row r="65" spans="1:19" ht="15" customHeight="1">
      <c r="A65" s="13">
        <v>43132</v>
      </c>
      <c r="B65" s="8">
        <f>CHOOSE( CONTROL!$C$33, 4.9009, 4.8997) * CHOOSE(CONTROL!$C$16, $D$10, 100%, $F$10)</f>
        <v>4.9009</v>
      </c>
      <c r="C65" s="8">
        <f>CHOOSE( CONTROL!$C$33, 4.906, 4.9048) * CHOOSE(CONTROL!$C$16, $D$10, 100%, $F$10)</f>
        <v>4.9059999999999997</v>
      </c>
      <c r="D65" s="8">
        <f>CHOOSE( CONTROL!$C$33, 4.8981, 4.897) * CHOOSE( CONTROL!$C$16, $D$10, 100%, $F$10)</f>
        <v>4.8981000000000003</v>
      </c>
      <c r="E65" s="12">
        <f>CHOOSE( CONTROL!$C$33, 4.9004, 4.8993) * CHOOSE( CONTROL!$C$16, $D$10, 100%, $F$10)</f>
        <v>4.9004000000000003</v>
      </c>
      <c r="F65" s="4">
        <f>CHOOSE( CONTROL!$C$33, 5.5637, 5.5626) * CHOOSE(CONTROL!$C$16, $D$10, 100%, $F$10)</f>
        <v>5.5636999999999999</v>
      </c>
      <c r="G65" s="8">
        <f>CHOOSE( CONTROL!$C$33, 4.8752, 4.8741) * CHOOSE( CONTROL!$C$16, $D$10, 100%, $F$10)</f>
        <v>4.8752000000000004</v>
      </c>
      <c r="H65" s="4">
        <f>CHOOSE( CONTROL!$C$33, 5.7599, 5.7588) * CHOOSE(CONTROL!$C$16, $D$10, 100%, $F$10)</f>
        <v>5.7599</v>
      </c>
      <c r="I65" s="8">
        <f>CHOOSE( CONTROL!$C$33, 4.9249, 4.9238) * CHOOSE(CONTROL!$C$16, $D$10, 100%, $F$10)</f>
        <v>4.9249000000000001</v>
      </c>
      <c r="J65" s="4">
        <f>CHOOSE( CONTROL!$C$33, 4.7622, 4.7611) * CHOOSE(CONTROL!$C$16, $D$10, 100%, $F$10)</f>
        <v>4.7622</v>
      </c>
      <c r="K65" s="4"/>
      <c r="L65" s="9">
        <v>26.469899999999999</v>
      </c>
      <c r="M65" s="9">
        <v>10.8962</v>
      </c>
      <c r="N65" s="9">
        <v>4.4660000000000002</v>
      </c>
      <c r="O65" s="9">
        <v>0.33789999999999998</v>
      </c>
      <c r="P65" s="9">
        <v>1.1676</v>
      </c>
      <c r="Q65" s="9">
        <v>22.491800000000001</v>
      </c>
      <c r="R65" s="9"/>
      <c r="S65" s="11"/>
    </row>
    <row r="66" spans="1:19" ht="15" customHeight="1">
      <c r="A66" s="13">
        <v>43160</v>
      </c>
      <c r="B66" s="8">
        <f>CHOOSE( CONTROL!$C$33, 4.7962, 4.7951) * CHOOSE(CONTROL!$C$16, $D$10, 100%, $F$10)</f>
        <v>4.7961999999999998</v>
      </c>
      <c r="C66" s="8">
        <f>CHOOSE( CONTROL!$C$33, 4.8013, 4.8002) * CHOOSE(CONTROL!$C$16, $D$10, 100%, $F$10)</f>
        <v>4.8013000000000003</v>
      </c>
      <c r="D66" s="8">
        <f>CHOOSE( CONTROL!$C$33, 4.7927, 4.7916) * CHOOSE( CONTROL!$C$16, $D$10, 100%, $F$10)</f>
        <v>4.7927</v>
      </c>
      <c r="E66" s="12">
        <f>CHOOSE( CONTROL!$C$33, 4.7953, 4.7942) * CHOOSE( CONTROL!$C$16, $D$10, 100%, $F$10)</f>
        <v>4.7953000000000001</v>
      </c>
      <c r="F66" s="4">
        <f>CHOOSE( CONTROL!$C$33, 5.4591, 5.4579) * CHOOSE(CONTROL!$C$16, $D$10, 100%, $F$10)</f>
        <v>5.4591000000000003</v>
      </c>
      <c r="G66" s="8">
        <f>CHOOSE( CONTROL!$C$33, 4.7715, 4.7704) * CHOOSE( CONTROL!$C$16, $D$10, 100%, $F$10)</f>
        <v>4.7714999999999996</v>
      </c>
      <c r="H66" s="4">
        <f>CHOOSE( CONTROL!$C$33, 5.6567, 5.6556) * CHOOSE(CONTROL!$C$16, $D$10, 100%, $F$10)</f>
        <v>5.6566999999999998</v>
      </c>
      <c r="I66" s="8">
        <f>CHOOSE( CONTROL!$C$33, 4.8212, 4.8201) * CHOOSE(CONTROL!$C$16, $D$10, 100%, $F$10)</f>
        <v>4.8212000000000002</v>
      </c>
      <c r="J66" s="4">
        <f>CHOOSE( CONTROL!$C$33, 4.6608, 4.6597) * CHOOSE(CONTROL!$C$16, $D$10, 100%, $F$10)</f>
        <v>4.6608000000000001</v>
      </c>
      <c r="K66" s="4"/>
      <c r="L66" s="9">
        <v>29.306000000000001</v>
      </c>
      <c r="M66" s="9">
        <v>12.063700000000001</v>
      </c>
      <c r="N66" s="9">
        <v>4.9444999999999997</v>
      </c>
      <c r="O66" s="9">
        <v>0.37409999999999999</v>
      </c>
      <c r="P66" s="9">
        <v>1.2927</v>
      </c>
      <c r="Q66" s="9">
        <v>24.901700000000002</v>
      </c>
      <c r="R66" s="9"/>
      <c r="S66" s="11"/>
    </row>
    <row r="67" spans="1:19" ht="15" customHeight="1">
      <c r="A67" s="13">
        <v>43191</v>
      </c>
      <c r="B67" s="8">
        <f>CHOOSE( CONTROL!$C$33, 4.8701, 4.869) * CHOOSE(CONTROL!$C$16, $D$10, 100%, $F$10)</f>
        <v>4.8700999999999999</v>
      </c>
      <c r="C67" s="8">
        <f>CHOOSE( CONTROL!$C$33, 4.8746, 4.8735) * CHOOSE(CONTROL!$C$16, $D$10, 100%, $F$10)</f>
        <v>4.8746</v>
      </c>
      <c r="D67" s="8">
        <f>CHOOSE( CONTROL!$C$33, 4.9035, 4.9024) * CHOOSE( CONTROL!$C$16, $D$10, 100%, $F$10)</f>
        <v>4.9035000000000002</v>
      </c>
      <c r="E67" s="12">
        <f>CHOOSE( CONTROL!$C$33, 4.8934, 4.8923) * CHOOSE( CONTROL!$C$16, $D$10, 100%, $F$10)</f>
        <v>4.8933999999999997</v>
      </c>
      <c r="F67" s="4">
        <f>CHOOSE( CONTROL!$C$33, 5.6484, 5.6473) * CHOOSE(CONTROL!$C$16, $D$10, 100%, $F$10)</f>
        <v>5.6483999999999996</v>
      </c>
      <c r="G67" s="8">
        <f>CHOOSE( CONTROL!$C$33, 4.8645, 4.8634) * CHOOSE( CONTROL!$C$16, $D$10, 100%, $F$10)</f>
        <v>4.8644999999999996</v>
      </c>
      <c r="H67" s="4">
        <f>CHOOSE( CONTROL!$C$33, 5.8434, 5.8423) * CHOOSE(CONTROL!$C$16, $D$10, 100%, $F$10)</f>
        <v>5.8433999999999999</v>
      </c>
      <c r="I67" s="8">
        <f>CHOOSE( CONTROL!$C$33, 4.8501, 4.849) * CHOOSE(CONTROL!$C$16, $D$10, 100%, $F$10)</f>
        <v>4.8501000000000003</v>
      </c>
      <c r="J67" s="4">
        <f>CHOOSE( CONTROL!$C$33, 4.7316, 4.7305) * CHOOSE(CONTROL!$C$16, $D$10, 100%, $F$10)</f>
        <v>4.7316000000000003</v>
      </c>
      <c r="K67" s="4"/>
      <c r="L67" s="9">
        <v>30.092199999999998</v>
      </c>
      <c r="M67" s="9">
        <v>11.6745</v>
      </c>
      <c r="N67" s="9">
        <v>4.7850000000000001</v>
      </c>
      <c r="O67" s="9">
        <v>0.36199999999999999</v>
      </c>
      <c r="P67" s="9">
        <v>1.2509999999999999</v>
      </c>
      <c r="Q67" s="9">
        <v>24.098400000000002</v>
      </c>
      <c r="R67" s="9"/>
      <c r="S67" s="11"/>
    </row>
    <row r="68" spans="1:19" ht="15" customHeight="1">
      <c r="A68" s="13">
        <v>43221</v>
      </c>
      <c r="B68" s="8">
        <f>CHOOSE( CONTROL!$C$33, 5.0021, 5.0005) * CHOOSE(CONTROL!$C$16, $D$10, 100%, $F$10)</f>
        <v>5.0021000000000004</v>
      </c>
      <c r="C68" s="8">
        <f>CHOOSE( CONTROL!$C$33, 5.0101, 5.0085) * CHOOSE(CONTROL!$C$16, $D$10, 100%, $F$10)</f>
        <v>5.0101000000000004</v>
      </c>
      <c r="D68" s="8">
        <f>CHOOSE( CONTROL!$C$33, 5.0323, 5.0307) * CHOOSE( CONTROL!$C$16, $D$10, 100%, $F$10)</f>
        <v>5.0323000000000002</v>
      </c>
      <c r="E68" s="12">
        <f>CHOOSE( CONTROL!$C$33, 5.023, 5.0214) * CHOOSE( CONTROL!$C$16, $D$10, 100%, $F$10)</f>
        <v>5.0229999999999997</v>
      </c>
      <c r="F68" s="4">
        <f>CHOOSE( CONTROL!$C$33, 5.779, 5.7774) * CHOOSE(CONTROL!$C$16, $D$10, 100%, $F$10)</f>
        <v>5.7789999999999999</v>
      </c>
      <c r="G68" s="8">
        <f>CHOOSE( CONTROL!$C$33, 4.9933, 4.9917) * CHOOSE( CONTROL!$C$16, $D$10, 100%, $F$10)</f>
        <v>4.9932999999999996</v>
      </c>
      <c r="H68" s="4">
        <f>CHOOSE( CONTROL!$C$33, 5.9722, 5.9707) * CHOOSE(CONTROL!$C$16, $D$10, 100%, $F$10)</f>
        <v>5.9722</v>
      </c>
      <c r="I68" s="8">
        <f>CHOOSE( CONTROL!$C$33, 4.9762, 4.9747) * CHOOSE(CONTROL!$C$16, $D$10, 100%, $F$10)</f>
        <v>4.9762000000000004</v>
      </c>
      <c r="J68" s="4">
        <f>CHOOSE( CONTROL!$C$33, 4.8581, 4.8566) * CHOOSE(CONTROL!$C$16, $D$10, 100%, $F$10)</f>
        <v>4.8581000000000003</v>
      </c>
      <c r="K68" s="4"/>
      <c r="L68" s="9">
        <v>30.7165</v>
      </c>
      <c r="M68" s="9">
        <v>12.063700000000001</v>
      </c>
      <c r="N68" s="9">
        <v>4.9444999999999997</v>
      </c>
      <c r="O68" s="9">
        <v>0.37409999999999999</v>
      </c>
      <c r="P68" s="9">
        <v>1.2927</v>
      </c>
      <c r="Q68" s="9">
        <v>24.901700000000002</v>
      </c>
      <c r="R68" s="9"/>
      <c r="S68" s="11"/>
    </row>
    <row r="69" spans="1:19" ht="15" customHeight="1">
      <c r="A69" s="13">
        <v>43252</v>
      </c>
      <c r="B69" s="8">
        <f>CHOOSE( CONTROL!$C$33, 4.9214, 4.9199) * CHOOSE(CONTROL!$C$16, $D$10, 100%, $F$10)</f>
        <v>4.9214000000000002</v>
      </c>
      <c r="C69" s="8">
        <f>CHOOSE( CONTROL!$C$33, 4.9294, 4.9279) * CHOOSE(CONTROL!$C$16, $D$10, 100%, $F$10)</f>
        <v>4.9294000000000002</v>
      </c>
      <c r="D69" s="8">
        <f>CHOOSE( CONTROL!$C$33, 4.9518, 4.9503) * CHOOSE( CONTROL!$C$16, $D$10, 100%, $F$10)</f>
        <v>4.9518000000000004</v>
      </c>
      <c r="E69" s="12">
        <f>CHOOSE( CONTROL!$C$33, 4.9425, 4.941) * CHOOSE( CONTROL!$C$16, $D$10, 100%, $F$10)</f>
        <v>4.9424999999999999</v>
      </c>
      <c r="F69" s="4">
        <f>CHOOSE( CONTROL!$C$33, 5.6984, 5.6968) * CHOOSE(CONTROL!$C$16, $D$10, 100%, $F$10)</f>
        <v>5.6984000000000004</v>
      </c>
      <c r="G69" s="8">
        <f>CHOOSE( CONTROL!$C$33, 4.9139, 4.9123) * CHOOSE( CONTROL!$C$16, $D$10, 100%, $F$10)</f>
        <v>4.9138999999999999</v>
      </c>
      <c r="H69" s="4">
        <f>CHOOSE( CONTROL!$C$33, 5.8927, 5.8912) * CHOOSE(CONTROL!$C$16, $D$10, 100%, $F$10)</f>
        <v>5.8926999999999996</v>
      </c>
      <c r="I69" s="8">
        <f>CHOOSE( CONTROL!$C$33, 4.8987, 4.8972) * CHOOSE(CONTROL!$C$16, $D$10, 100%, $F$10)</f>
        <v>4.8986999999999998</v>
      </c>
      <c r="J69" s="4">
        <f>CHOOSE( CONTROL!$C$33, 4.78, 4.7785) * CHOOSE(CONTROL!$C$16, $D$10, 100%, $F$10)</f>
        <v>4.78</v>
      </c>
      <c r="K69" s="4"/>
      <c r="L69" s="9">
        <v>29.7257</v>
      </c>
      <c r="M69" s="9">
        <v>11.6745</v>
      </c>
      <c r="N69" s="9">
        <v>4.7850000000000001</v>
      </c>
      <c r="O69" s="9">
        <v>0.36199999999999999</v>
      </c>
      <c r="P69" s="9">
        <v>1.2509999999999999</v>
      </c>
      <c r="Q69" s="9">
        <v>24.098400000000002</v>
      </c>
      <c r="R69" s="9"/>
      <c r="S69" s="11"/>
    </row>
    <row r="70" spans="1:19" ht="15" customHeight="1">
      <c r="A70" s="13">
        <v>43282</v>
      </c>
      <c r="B70" s="8">
        <f>CHOOSE( CONTROL!$C$33, 5.1338, 5.1322) * CHOOSE(CONTROL!$C$16, $D$10, 100%, $F$10)</f>
        <v>5.1337999999999999</v>
      </c>
      <c r="C70" s="8">
        <f>CHOOSE( CONTROL!$C$33, 5.1418, 5.1402) * CHOOSE(CONTROL!$C$16, $D$10, 100%, $F$10)</f>
        <v>5.1417999999999999</v>
      </c>
      <c r="D70" s="8">
        <f>CHOOSE( CONTROL!$C$33, 5.1644, 5.1628) * CHOOSE( CONTROL!$C$16, $D$10, 100%, $F$10)</f>
        <v>5.1643999999999997</v>
      </c>
      <c r="E70" s="12">
        <f>CHOOSE( CONTROL!$C$33, 5.155, 5.1534) * CHOOSE( CONTROL!$C$16, $D$10, 100%, $F$10)</f>
        <v>5.1550000000000002</v>
      </c>
      <c r="F70" s="4">
        <f>CHOOSE( CONTROL!$C$33, 5.9107, 5.9091) * CHOOSE(CONTROL!$C$16, $D$10, 100%, $F$10)</f>
        <v>5.9107000000000003</v>
      </c>
      <c r="G70" s="8">
        <f>CHOOSE( CONTROL!$C$33, 5.1235, 5.1219) * CHOOSE( CONTROL!$C$16, $D$10, 100%, $F$10)</f>
        <v>5.1234999999999999</v>
      </c>
      <c r="H70" s="4">
        <f>CHOOSE( CONTROL!$C$33, 6.1021, 6.1005) * CHOOSE(CONTROL!$C$16, $D$10, 100%, $F$10)</f>
        <v>6.1021000000000001</v>
      </c>
      <c r="I70" s="8">
        <f>CHOOSE( CONTROL!$C$33, 5.1052, 5.1037) * CHOOSE(CONTROL!$C$16, $D$10, 100%, $F$10)</f>
        <v>5.1052</v>
      </c>
      <c r="J70" s="4">
        <f>CHOOSE( CONTROL!$C$33, 4.9856, 4.9841) * CHOOSE(CONTROL!$C$16, $D$10, 100%, $F$10)</f>
        <v>4.9855999999999998</v>
      </c>
      <c r="K70" s="4"/>
      <c r="L70" s="9">
        <v>30.7165</v>
      </c>
      <c r="M70" s="9">
        <v>12.063700000000001</v>
      </c>
      <c r="N70" s="9">
        <v>4.9444999999999997</v>
      </c>
      <c r="O70" s="9">
        <v>0.37409999999999999</v>
      </c>
      <c r="P70" s="9">
        <v>1.2927</v>
      </c>
      <c r="Q70" s="9">
        <v>24.901700000000002</v>
      </c>
      <c r="R70" s="9"/>
      <c r="S70" s="11"/>
    </row>
    <row r="71" spans="1:19" ht="15" customHeight="1">
      <c r="A71" s="13">
        <v>43313</v>
      </c>
      <c r="B71" s="8">
        <f>CHOOSE( CONTROL!$C$33, 4.7365, 4.7349) * CHOOSE(CONTROL!$C$16, $D$10, 100%, $F$10)</f>
        <v>4.7365000000000004</v>
      </c>
      <c r="C71" s="8">
        <f>CHOOSE( CONTROL!$C$33, 4.7445, 4.7429) * CHOOSE(CONTROL!$C$16, $D$10, 100%, $F$10)</f>
        <v>4.7445000000000004</v>
      </c>
      <c r="D71" s="8">
        <f>CHOOSE( CONTROL!$C$33, 4.7671, 4.7656) * CHOOSE( CONTROL!$C$16, $D$10, 100%, $F$10)</f>
        <v>4.7671000000000001</v>
      </c>
      <c r="E71" s="12">
        <f>CHOOSE( CONTROL!$C$33, 4.7577, 4.7562) * CHOOSE( CONTROL!$C$16, $D$10, 100%, $F$10)</f>
        <v>4.7576999999999998</v>
      </c>
      <c r="F71" s="4">
        <f>CHOOSE( CONTROL!$C$33, 5.5134, 5.5118) * CHOOSE(CONTROL!$C$16, $D$10, 100%, $F$10)</f>
        <v>5.5133999999999999</v>
      </c>
      <c r="G71" s="8">
        <f>CHOOSE( CONTROL!$C$33, 4.7317, 4.7302) * CHOOSE( CONTROL!$C$16, $D$10, 100%, $F$10)</f>
        <v>4.7317</v>
      </c>
      <c r="H71" s="4">
        <f>CHOOSE( CONTROL!$C$33, 5.7103, 5.7088) * CHOOSE(CONTROL!$C$16, $D$10, 100%, $F$10)</f>
        <v>5.7103000000000002</v>
      </c>
      <c r="I71" s="8">
        <f>CHOOSE( CONTROL!$C$33, 4.7204, 4.7189) * CHOOSE(CONTROL!$C$16, $D$10, 100%, $F$10)</f>
        <v>4.7203999999999997</v>
      </c>
      <c r="J71" s="4">
        <f>CHOOSE( CONTROL!$C$33, 4.6009, 4.5994) * CHOOSE(CONTROL!$C$16, $D$10, 100%, $F$10)</f>
        <v>4.6009000000000002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1.2927</v>
      </c>
      <c r="Q71" s="9">
        <v>24.901700000000002</v>
      </c>
      <c r="R71" s="9"/>
      <c r="S71" s="11"/>
    </row>
    <row r="72" spans="1:19" ht="15" customHeight="1">
      <c r="A72" s="13">
        <v>43344</v>
      </c>
      <c r="B72" s="8">
        <f>CHOOSE( CONTROL!$C$33, 4.637, 4.6354) * CHOOSE(CONTROL!$C$16, $D$10, 100%, $F$10)</f>
        <v>4.6369999999999996</v>
      </c>
      <c r="C72" s="8">
        <f>CHOOSE( CONTROL!$C$33, 4.645, 4.6434) * CHOOSE(CONTROL!$C$16, $D$10, 100%, $F$10)</f>
        <v>4.6449999999999996</v>
      </c>
      <c r="D72" s="8">
        <f>CHOOSE( CONTROL!$C$33, 4.6675, 4.6659) * CHOOSE( CONTROL!$C$16, $D$10, 100%, $F$10)</f>
        <v>4.6675000000000004</v>
      </c>
      <c r="E72" s="12">
        <f>CHOOSE( CONTROL!$C$33, 4.6581, 4.6565) * CHOOSE( CONTROL!$C$16, $D$10, 100%, $F$10)</f>
        <v>4.6581000000000001</v>
      </c>
      <c r="F72" s="4">
        <f>CHOOSE( CONTROL!$C$33, 5.4139, 5.4123) * CHOOSE(CONTROL!$C$16, $D$10, 100%, $F$10)</f>
        <v>5.4138999999999999</v>
      </c>
      <c r="G72" s="8">
        <f>CHOOSE( CONTROL!$C$33, 4.6335, 4.6319) * CHOOSE( CONTROL!$C$16, $D$10, 100%, $F$10)</f>
        <v>4.6334999999999997</v>
      </c>
      <c r="H72" s="4">
        <f>CHOOSE( CONTROL!$C$33, 5.6122, 5.6106) * CHOOSE(CONTROL!$C$16, $D$10, 100%, $F$10)</f>
        <v>5.6121999999999996</v>
      </c>
      <c r="I72" s="8">
        <f>CHOOSE( CONTROL!$C$33, 4.6236, 4.6221) * CHOOSE(CONTROL!$C$16, $D$10, 100%, $F$10)</f>
        <v>4.6235999999999997</v>
      </c>
      <c r="J72" s="4">
        <f>CHOOSE( CONTROL!$C$33, 4.5046, 4.503) * CHOOSE(CONTROL!$C$16, $D$10, 100%, $F$10)</f>
        <v>4.5045999999999999</v>
      </c>
      <c r="K72" s="4"/>
      <c r="L72" s="9">
        <v>29.7257</v>
      </c>
      <c r="M72" s="9">
        <v>11.6745</v>
      </c>
      <c r="N72" s="9">
        <v>4.7850000000000001</v>
      </c>
      <c r="O72" s="9">
        <v>0.36199999999999999</v>
      </c>
      <c r="P72" s="9">
        <v>1.2509999999999999</v>
      </c>
      <c r="Q72" s="9">
        <v>24.098400000000002</v>
      </c>
      <c r="R72" s="9"/>
      <c r="S72" s="11"/>
    </row>
    <row r="73" spans="1:19" ht="15" customHeight="1">
      <c r="A73" s="13">
        <v>43374</v>
      </c>
      <c r="B73" s="8">
        <f>CHOOSE( CONTROL!$C$33, 4.8414, 4.8403) * CHOOSE(CONTROL!$C$16, $D$10, 100%, $F$10)</f>
        <v>4.8414000000000001</v>
      </c>
      <c r="C73" s="8">
        <f>CHOOSE( CONTROL!$C$33, 4.8467, 4.8456) * CHOOSE(CONTROL!$C$16, $D$10, 100%, $F$10)</f>
        <v>4.8467000000000002</v>
      </c>
      <c r="D73" s="8">
        <f>CHOOSE( CONTROL!$C$33, 4.8755, 4.8744) * CHOOSE( CONTROL!$C$16, $D$10, 100%, $F$10)</f>
        <v>4.8754999999999997</v>
      </c>
      <c r="E73" s="12">
        <f>CHOOSE( CONTROL!$C$33, 4.8654, 4.8643) * CHOOSE( CONTROL!$C$16, $D$10, 100%, $F$10)</f>
        <v>4.8654000000000002</v>
      </c>
      <c r="F73" s="4">
        <f>CHOOSE( CONTROL!$C$33, 5.62, 5.6189) * CHOOSE(CONTROL!$C$16, $D$10, 100%, $F$10)</f>
        <v>5.62</v>
      </c>
      <c r="G73" s="8">
        <f>CHOOSE( CONTROL!$C$33, 4.8369, 4.8358) * CHOOSE( CONTROL!$C$16, $D$10, 100%, $F$10)</f>
        <v>4.8369</v>
      </c>
      <c r="H73" s="4">
        <f>CHOOSE( CONTROL!$C$33, 5.8155, 5.8144) * CHOOSE(CONTROL!$C$16, $D$10, 100%, $F$10)</f>
        <v>5.8155000000000001</v>
      </c>
      <c r="I73" s="8">
        <f>CHOOSE( CONTROL!$C$33, 4.8239, 4.8228) * CHOOSE(CONTROL!$C$16, $D$10, 100%, $F$10)</f>
        <v>4.8239000000000001</v>
      </c>
      <c r="J73" s="4">
        <f>CHOOSE( CONTROL!$C$33, 4.7042, 4.7031) * CHOOSE(CONTROL!$C$16, $D$10, 100%, $F$10)</f>
        <v>4.7042000000000002</v>
      </c>
      <c r="K73" s="4"/>
      <c r="L73" s="9">
        <v>31.095300000000002</v>
      </c>
      <c r="M73" s="9">
        <v>12.063700000000001</v>
      </c>
      <c r="N73" s="9">
        <v>4.9444999999999997</v>
      </c>
      <c r="O73" s="9">
        <v>0.37409999999999999</v>
      </c>
      <c r="P73" s="9">
        <v>1.2927</v>
      </c>
      <c r="Q73" s="9">
        <v>24.901700000000002</v>
      </c>
      <c r="R73" s="9"/>
      <c r="S73" s="11"/>
    </row>
    <row r="74" spans="1:19" ht="15" customHeight="1">
      <c r="A74" s="13">
        <v>43405</v>
      </c>
      <c r="B74" s="8">
        <f>CHOOSE( CONTROL!$C$33, 5.2223, 5.2212) * CHOOSE(CONTROL!$C$16, $D$10, 100%, $F$10)</f>
        <v>5.2222999999999997</v>
      </c>
      <c r="C74" s="8">
        <f>CHOOSE( CONTROL!$C$33, 5.2274, 5.2263) * CHOOSE(CONTROL!$C$16, $D$10, 100%, $F$10)</f>
        <v>5.2274000000000003</v>
      </c>
      <c r="D74" s="8">
        <f>CHOOSE( CONTROL!$C$33, 5.2071, 5.2059) * CHOOSE( CONTROL!$C$16, $D$10, 100%, $F$10)</f>
        <v>5.2070999999999996</v>
      </c>
      <c r="E74" s="12">
        <f>CHOOSE( CONTROL!$C$33, 5.214, 5.2128) * CHOOSE( CONTROL!$C$16, $D$10, 100%, $F$10)</f>
        <v>5.2140000000000004</v>
      </c>
      <c r="F74" s="4">
        <f>CHOOSE( CONTROL!$C$33, 5.8852, 5.884) * CHOOSE(CONTROL!$C$16, $D$10, 100%, $F$10)</f>
        <v>5.8852000000000002</v>
      </c>
      <c r="G74" s="8">
        <f>CHOOSE( CONTROL!$C$33, 5.1854, 5.1843) * CHOOSE( CONTROL!$C$16, $D$10, 100%, $F$10)</f>
        <v>5.1853999999999996</v>
      </c>
      <c r="H74" s="4">
        <f>CHOOSE( CONTROL!$C$33, 6.0769, 6.0758) * CHOOSE(CONTROL!$C$16, $D$10, 100%, $F$10)</f>
        <v>6.0769000000000002</v>
      </c>
      <c r="I74" s="8">
        <f>CHOOSE( CONTROL!$C$33, 5.2411, 5.24) * CHOOSE(CONTROL!$C$16, $D$10, 100%, $F$10)</f>
        <v>5.2411000000000003</v>
      </c>
      <c r="J74" s="4">
        <f>CHOOSE( CONTROL!$C$33, 5.0734, 5.0723) * CHOOSE(CONTROL!$C$16, $D$10, 100%, $F$10)</f>
        <v>5.0734000000000004</v>
      </c>
      <c r="K74" s="4"/>
      <c r="L74" s="9">
        <v>28.360600000000002</v>
      </c>
      <c r="M74" s="9">
        <v>11.6745</v>
      </c>
      <c r="N74" s="9">
        <v>4.7850000000000001</v>
      </c>
      <c r="O74" s="9">
        <v>0.36199999999999999</v>
      </c>
      <c r="P74" s="9">
        <v>1.2509999999999999</v>
      </c>
      <c r="Q74" s="9">
        <v>24.098400000000002</v>
      </c>
      <c r="R74" s="9"/>
      <c r="S74" s="11"/>
    </row>
    <row r="75" spans="1:19" ht="15" customHeight="1">
      <c r="A75" s="13">
        <v>43435</v>
      </c>
      <c r="B75" s="8">
        <f>CHOOSE( CONTROL!$C$33, 5.2128, 5.2116) * CHOOSE(CONTROL!$C$16, $D$10, 100%, $F$10)</f>
        <v>5.2127999999999997</v>
      </c>
      <c r="C75" s="8">
        <f>CHOOSE( CONTROL!$C$33, 5.2179, 5.2167) * CHOOSE(CONTROL!$C$16, $D$10, 100%, $F$10)</f>
        <v>5.2179000000000002</v>
      </c>
      <c r="D75" s="8">
        <f>CHOOSE( CONTROL!$C$33, 5.199, 5.1979) * CHOOSE( CONTROL!$C$16, $D$10, 100%, $F$10)</f>
        <v>5.1989999999999998</v>
      </c>
      <c r="E75" s="12">
        <f>CHOOSE( CONTROL!$C$33, 5.2054, 5.2042) * CHOOSE( CONTROL!$C$16, $D$10, 100%, $F$10)</f>
        <v>5.2054</v>
      </c>
      <c r="F75" s="4">
        <f>CHOOSE( CONTROL!$C$33, 5.8756, 5.8745) * CHOOSE(CONTROL!$C$16, $D$10, 100%, $F$10)</f>
        <v>5.8756000000000004</v>
      </c>
      <c r="G75" s="8">
        <f>CHOOSE( CONTROL!$C$33, 5.177, 5.1759) * CHOOSE( CONTROL!$C$16, $D$10, 100%, $F$10)</f>
        <v>5.1769999999999996</v>
      </c>
      <c r="H75" s="4">
        <f>CHOOSE( CONTROL!$C$33, 6.0675, 6.0664) * CHOOSE(CONTROL!$C$16, $D$10, 100%, $F$10)</f>
        <v>6.0674999999999999</v>
      </c>
      <c r="I75" s="8">
        <f>CHOOSE( CONTROL!$C$33, 5.2364, 5.2353) * CHOOSE(CONTROL!$C$16, $D$10, 100%, $F$10)</f>
        <v>5.2363999999999997</v>
      </c>
      <c r="J75" s="4">
        <f>CHOOSE( CONTROL!$C$33, 5.0642, 5.0631) * CHOOSE(CONTROL!$C$16, $D$10, 100%, $F$10)</f>
        <v>5.0641999999999996</v>
      </c>
      <c r="K75" s="4"/>
      <c r="L75" s="9">
        <v>29.306000000000001</v>
      </c>
      <c r="M75" s="9">
        <v>12.063700000000001</v>
      </c>
      <c r="N75" s="9">
        <v>4.9444999999999997</v>
      </c>
      <c r="O75" s="9">
        <v>0.37409999999999999</v>
      </c>
      <c r="P75" s="9">
        <v>1.2927</v>
      </c>
      <c r="Q75" s="9">
        <v>24.901700000000002</v>
      </c>
      <c r="R75" s="9"/>
      <c r="S75" s="11"/>
    </row>
    <row r="76" spans="1:19" ht="15" customHeight="1">
      <c r="A76" s="13">
        <v>43466</v>
      </c>
      <c r="B76" s="8">
        <f>CHOOSE( CONTROL!$C$33, 5.768, 5.7669) * CHOOSE(CONTROL!$C$16, $D$10, 100%, $F$10)</f>
        <v>5.7679999999999998</v>
      </c>
      <c r="C76" s="8">
        <f>CHOOSE( CONTROL!$C$33, 5.7731, 5.772) * CHOOSE(CONTROL!$C$16, $D$10, 100%, $F$10)</f>
        <v>5.7731000000000003</v>
      </c>
      <c r="D76" s="8">
        <f>CHOOSE( CONTROL!$C$33, 5.7655, 5.7644) * CHOOSE( CONTROL!$C$16, $D$10, 100%, $F$10)</f>
        <v>5.7655000000000003</v>
      </c>
      <c r="E76" s="12">
        <f>CHOOSE( CONTROL!$C$33, 5.7677, 5.7666) * CHOOSE( CONTROL!$C$16, $D$10, 100%, $F$10)</f>
        <v>5.7676999999999996</v>
      </c>
      <c r="F76" s="4">
        <f>CHOOSE( CONTROL!$C$33, 6.4309, 6.4298) * CHOOSE(CONTROL!$C$16, $D$10, 100%, $F$10)</f>
        <v>6.4309000000000003</v>
      </c>
      <c r="G76" s="8">
        <f>CHOOSE( CONTROL!$C$33, 5.7304, 5.7293) * CHOOSE( CONTROL!$C$16, $D$10, 100%, $F$10)</f>
        <v>5.7304000000000004</v>
      </c>
      <c r="H76" s="4">
        <f>CHOOSE( CONTROL!$C$33, 6.615, 6.6139) * CHOOSE(CONTROL!$C$16, $D$10, 100%, $F$10)</f>
        <v>6.6150000000000002</v>
      </c>
      <c r="I76" s="8">
        <f>CHOOSE( CONTROL!$C$33, 5.7656, 5.7645) * CHOOSE(CONTROL!$C$16, $D$10, 100%, $F$10)</f>
        <v>5.7656000000000001</v>
      </c>
      <c r="J76" s="4">
        <f>CHOOSE( CONTROL!$C$33, 5.6019, 5.6008) * CHOOSE(CONTROL!$C$16, $D$10, 100%, $F$10)</f>
        <v>5.6018999999999997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24.651199999999999</v>
      </c>
      <c r="R76" s="9"/>
      <c r="S76" s="11"/>
    </row>
    <row r="77" spans="1:19" ht="15" customHeight="1">
      <c r="A77" s="13">
        <v>43497</v>
      </c>
      <c r="B77" s="8">
        <f>CHOOSE( CONTROL!$C$33, 5.3941, 5.393) * CHOOSE(CONTROL!$C$16, $D$10, 100%, $F$10)</f>
        <v>5.3940999999999999</v>
      </c>
      <c r="C77" s="8">
        <f>CHOOSE( CONTROL!$C$33, 5.3992, 5.3981) * CHOOSE(CONTROL!$C$16, $D$10, 100%, $F$10)</f>
        <v>5.3992000000000004</v>
      </c>
      <c r="D77" s="8">
        <f>CHOOSE( CONTROL!$C$33, 5.3914, 5.3903) * CHOOSE( CONTROL!$C$16, $D$10, 100%, $F$10)</f>
        <v>5.3914</v>
      </c>
      <c r="E77" s="12">
        <f>CHOOSE( CONTROL!$C$33, 5.3937, 5.3926) * CHOOSE( CONTROL!$C$16, $D$10, 100%, $F$10)</f>
        <v>5.3936999999999999</v>
      </c>
      <c r="F77" s="4">
        <f>CHOOSE( CONTROL!$C$33, 6.057, 6.0559) * CHOOSE(CONTROL!$C$16, $D$10, 100%, $F$10)</f>
        <v>6.0570000000000004</v>
      </c>
      <c r="G77" s="8">
        <f>CHOOSE( CONTROL!$C$33, 5.3616, 5.3605) * CHOOSE( CONTROL!$C$16, $D$10, 100%, $F$10)</f>
        <v>5.3616000000000001</v>
      </c>
      <c r="H77" s="4">
        <f>CHOOSE( CONTROL!$C$33, 6.2463, 6.2452) * CHOOSE(CONTROL!$C$16, $D$10, 100%, $F$10)</f>
        <v>6.2462999999999997</v>
      </c>
      <c r="I77" s="8">
        <f>CHOOSE( CONTROL!$C$33, 5.4028, 5.4017) * CHOOSE(CONTROL!$C$16, $D$10, 100%, $F$10)</f>
        <v>5.4028</v>
      </c>
      <c r="J77" s="4">
        <f>CHOOSE( CONTROL!$C$33, 5.2398, 5.2387) * CHOOSE(CONTROL!$C$16, $D$10, 100%, $F$10)</f>
        <v>5.2397999999999998</v>
      </c>
      <c r="K77" s="4"/>
      <c r="L77" s="9">
        <v>26.469899999999999</v>
      </c>
      <c r="M77" s="9">
        <v>10.8962</v>
      </c>
      <c r="N77" s="9">
        <v>4.4660000000000002</v>
      </c>
      <c r="O77" s="9">
        <v>0.33789999999999998</v>
      </c>
      <c r="P77" s="9">
        <v>1.1676</v>
      </c>
      <c r="Q77" s="9">
        <v>22.265599999999999</v>
      </c>
      <c r="R77" s="9"/>
      <c r="S77" s="11"/>
    </row>
    <row r="78" spans="1:19" ht="15" customHeight="1">
      <c r="A78" s="13">
        <v>43525</v>
      </c>
      <c r="B78" s="8">
        <f>CHOOSE( CONTROL!$C$33, 5.2789, 5.2778) * CHOOSE(CONTROL!$C$16, $D$10, 100%, $F$10)</f>
        <v>5.2789000000000001</v>
      </c>
      <c r="C78" s="8">
        <f>CHOOSE( CONTROL!$C$33, 5.284, 5.2829) * CHOOSE(CONTROL!$C$16, $D$10, 100%, $F$10)</f>
        <v>5.2839999999999998</v>
      </c>
      <c r="D78" s="8">
        <f>CHOOSE( CONTROL!$C$33, 5.2755, 5.2744) * CHOOSE( CONTROL!$C$16, $D$10, 100%, $F$10)</f>
        <v>5.2755000000000001</v>
      </c>
      <c r="E78" s="12">
        <f>CHOOSE( CONTROL!$C$33, 5.2781, 5.277) * CHOOSE( CONTROL!$C$16, $D$10, 100%, $F$10)</f>
        <v>5.2781000000000002</v>
      </c>
      <c r="F78" s="4">
        <f>CHOOSE( CONTROL!$C$33, 5.9418, 5.9407) * CHOOSE(CONTROL!$C$16, $D$10, 100%, $F$10)</f>
        <v>5.9417999999999997</v>
      </c>
      <c r="G78" s="8">
        <f>CHOOSE( CONTROL!$C$33, 5.2475, 5.2464) * CHOOSE( CONTROL!$C$16, $D$10, 100%, $F$10)</f>
        <v>5.2474999999999996</v>
      </c>
      <c r="H78" s="4">
        <f>CHOOSE( CONTROL!$C$33, 6.1328, 6.1316) * CHOOSE(CONTROL!$C$16, $D$10, 100%, $F$10)</f>
        <v>6.1327999999999996</v>
      </c>
      <c r="I78" s="8">
        <f>CHOOSE( CONTROL!$C$33, 5.2889, 5.2878) * CHOOSE(CONTROL!$C$16, $D$10, 100%, $F$10)</f>
        <v>5.2888999999999999</v>
      </c>
      <c r="J78" s="4">
        <f>CHOOSE( CONTROL!$C$33, 5.1283, 5.1272) * CHOOSE(CONTROL!$C$16, $D$10, 100%, $F$10)</f>
        <v>5.1283000000000003</v>
      </c>
      <c r="K78" s="4"/>
      <c r="L78" s="9">
        <v>29.306000000000001</v>
      </c>
      <c r="M78" s="9">
        <v>12.063700000000001</v>
      </c>
      <c r="N78" s="9">
        <v>4.9444999999999997</v>
      </c>
      <c r="O78" s="9">
        <v>0.37409999999999999</v>
      </c>
      <c r="P78" s="9">
        <v>1.2927</v>
      </c>
      <c r="Q78" s="9">
        <v>24.651199999999999</v>
      </c>
      <c r="R78" s="9"/>
      <c r="S78" s="11"/>
    </row>
    <row r="79" spans="1:19" ht="15" customHeight="1">
      <c r="A79" s="13">
        <v>43556</v>
      </c>
      <c r="B79" s="8">
        <f>CHOOSE( CONTROL!$C$33, 5.3602, 5.3591) * CHOOSE(CONTROL!$C$16, $D$10, 100%, $F$10)</f>
        <v>5.3601999999999999</v>
      </c>
      <c r="C79" s="8">
        <f>CHOOSE( CONTROL!$C$33, 5.3647, 5.3636) * CHOOSE(CONTROL!$C$16, $D$10, 100%, $F$10)</f>
        <v>5.3647</v>
      </c>
      <c r="D79" s="8">
        <f>CHOOSE( CONTROL!$C$33, 5.3936, 5.3925) * CHOOSE( CONTROL!$C$16, $D$10, 100%, $F$10)</f>
        <v>5.3936000000000002</v>
      </c>
      <c r="E79" s="12">
        <f>CHOOSE( CONTROL!$C$33, 5.3835, 5.3824) * CHOOSE( CONTROL!$C$16, $D$10, 100%, $F$10)</f>
        <v>5.3834999999999997</v>
      </c>
      <c r="F79" s="4">
        <f>CHOOSE( CONTROL!$C$33, 6.1385, 6.1373) * CHOOSE(CONTROL!$C$16, $D$10, 100%, $F$10)</f>
        <v>6.1384999999999996</v>
      </c>
      <c r="G79" s="8">
        <f>CHOOSE( CONTROL!$C$33, 5.3478, 5.3467) * CHOOSE( CONTROL!$C$16, $D$10, 100%, $F$10)</f>
        <v>5.3478000000000003</v>
      </c>
      <c r="H79" s="4">
        <f>CHOOSE( CONTROL!$C$33, 6.3267, 6.3256) * CHOOSE(CONTROL!$C$16, $D$10, 100%, $F$10)</f>
        <v>6.3266999999999998</v>
      </c>
      <c r="I79" s="8">
        <f>CHOOSE( CONTROL!$C$33, 5.3249, 5.3238) * CHOOSE(CONTROL!$C$16, $D$10, 100%, $F$10)</f>
        <v>5.3249000000000004</v>
      </c>
      <c r="J79" s="4">
        <f>CHOOSE( CONTROL!$C$33, 5.2062, 5.2051) * CHOOSE(CONTROL!$C$16, $D$10, 100%, $F$10)</f>
        <v>5.2061999999999999</v>
      </c>
      <c r="K79" s="4"/>
      <c r="L79" s="9">
        <v>30.092199999999998</v>
      </c>
      <c r="M79" s="9">
        <v>11.6745</v>
      </c>
      <c r="N79" s="9">
        <v>4.7850000000000001</v>
      </c>
      <c r="O79" s="9">
        <v>0.36199999999999999</v>
      </c>
      <c r="P79" s="9">
        <v>1.2509999999999999</v>
      </c>
      <c r="Q79" s="9">
        <v>23.856000000000002</v>
      </c>
      <c r="R79" s="9"/>
      <c r="S79" s="11"/>
    </row>
    <row r="80" spans="1:19" ht="15" customHeight="1">
      <c r="A80" s="13">
        <v>43586</v>
      </c>
      <c r="B80" s="8">
        <f>CHOOSE( CONTROL!$C$33, 5.5052, 5.5037) * CHOOSE(CONTROL!$C$16, $D$10, 100%, $F$10)</f>
        <v>5.5052000000000003</v>
      </c>
      <c r="C80" s="8">
        <f>CHOOSE( CONTROL!$C$33, 5.5132, 5.5117) * CHOOSE(CONTROL!$C$16, $D$10, 100%, $F$10)</f>
        <v>5.5132000000000003</v>
      </c>
      <c r="D80" s="8">
        <f>CHOOSE( CONTROL!$C$33, 5.5355, 5.5339) * CHOOSE( CONTROL!$C$16, $D$10, 100%, $F$10)</f>
        <v>5.5354999999999999</v>
      </c>
      <c r="E80" s="12">
        <f>CHOOSE( CONTROL!$C$33, 5.5262, 5.5246) * CHOOSE( CONTROL!$C$16, $D$10, 100%, $F$10)</f>
        <v>5.5262000000000002</v>
      </c>
      <c r="F80" s="4">
        <f>CHOOSE( CONTROL!$C$33, 6.2821, 6.2806) * CHOOSE(CONTROL!$C$16, $D$10, 100%, $F$10)</f>
        <v>6.2820999999999998</v>
      </c>
      <c r="G80" s="8">
        <f>CHOOSE( CONTROL!$C$33, 5.4894, 5.4878) * CHOOSE( CONTROL!$C$16, $D$10, 100%, $F$10)</f>
        <v>5.4893999999999998</v>
      </c>
      <c r="H80" s="4">
        <f>CHOOSE( CONTROL!$C$33, 6.4683, 6.4668) * CHOOSE(CONTROL!$C$16, $D$10, 100%, $F$10)</f>
        <v>6.4683000000000002</v>
      </c>
      <c r="I80" s="8">
        <f>CHOOSE( CONTROL!$C$33, 5.4637, 5.4622) * CHOOSE(CONTROL!$C$16, $D$10, 100%, $F$10)</f>
        <v>5.4637000000000002</v>
      </c>
      <c r="J80" s="4">
        <f>CHOOSE( CONTROL!$C$33, 5.3453, 5.3438) * CHOOSE(CONTROL!$C$16, $D$10, 100%, $F$10)</f>
        <v>5.3452999999999999</v>
      </c>
      <c r="K80" s="4"/>
      <c r="L80" s="9">
        <v>30.7165</v>
      </c>
      <c r="M80" s="9">
        <v>12.063700000000001</v>
      </c>
      <c r="N80" s="9">
        <v>4.9444999999999997</v>
      </c>
      <c r="O80" s="9">
        <v>0.37409999999999999</v>
      </c>
      <c r="P80" s="9">
        <v>1.2927</v>
      </c>
      <c r="Q80" s="9">
        <v>24.651199999999999</v>
      </c>
      <c r="R80" s="9"/>
      <c r="S80" s="11"/>
    </row>
    <row r="81" spans="1:19" ht="15" customHeight="1">
      <c r="A81" s="13">
        <v>43617</v>
      </c>
      <c r="B81" s="8">
        <f>CHOOSE( CONTROL!$C$33, 5.4165, 5.4149) * CHOOSE(CONTROL!$C$16, $D$10, 100%, $F$10)</f>
        <v>5.4165000000000001</v>
      </c>
      <c r="C81" s="8">
        <f>CHOOSE( CONTROL!$C$33, 5.4245, 5.4229) * CHOOSE(CONTROL!$C$16, $D$10, 100%, $F$10)</f>
        <v>5.4245000000000001</v>
      </c>
      <c r="D81" s="8">
        <f>CHOOSE( CONTROL!$C$33, 5.4469, 5.4453) * CHOOSE( CONTROL!$C$16, $D$10, 100%, $F$10)</f>
        <v>5.4469000000000003</v>
      </c>
      <c r="E81" s="12">
        <f>CHOOSE( CONTROL!$C$33, 5.4376, 5.436) * CHOOSE( CONTROL!$C$16, $D$10, 100%, $F$10)</f>
        <v>5.4375999999999998</v>
      </c>
      <c r="F81" s="4">
        <f>CHOOSE( CONTROL!$C$33, 6.1934, 6.1918) * CHOOSE(CONTROL!$C$16, $D$10, 100%, $F$10)</f>
        <v>6.1933999999999996</v>
      </c>
      <c r="G81" s="8">
        <f>CHOOSE( CONTROL!$C$33, 5.402, 5.4005) * CHOOSE( CONTROL!$C$16, $D$10, 100%, $F$10)</f>
        <v>5.4020000000000001</v>
      </c>
      <c r="H81" s="4">
        <f>CHOOSE( CONTROL!$C$33, 6.3809, 6.3793) * CHOOSE(CONTROL!$C$16, $D$10, 100%, $F$10)</f>
        <v>6.3808999999999996</v>
      </c>
      <c r="I81" s="8">
        <f>CHOOSE( CONTROL!$C$33, 5.3783, 5.3768) * CHOOSE(CONTROL!$C$16, $D$10, 100%, $F$10)</f>
        <v>5.3783000000000003</v>
      </c>
      <c r="J81" s="4">
        <f>CHOOSE( CONTROL!$C$33, 5.2594, 5.2579) * CHOOSE(CONTROL!$C$16, $D$10, 100%, $F$10)</f>
        <v>5.2594000000000003</v>
      </c>
      <c r="K81" s="4"/>
      <c r="L81" s="9">
        <v>29.7257</v>
      </c>
      <c r="M81" s="9">
        <v>11.6745</v>
      </c>
      <c r="N81" s="9">
        <v>4.7850000000000001</v>
      </c>
      <c r="O81" s="9">
        <v>0.36199999999999999</v>
      </c>
      <c r="P81" s="9">
        <v>1.2509999999999999</v>
      </c>
      <c r="Q81" s="9">
        <v>23.856000000000002</v>
      </c>
      <c r="R81" s="9"/>
      <c r="S81" s="11"/>
    </row>
    <row r="82" spans="1:19" ht="15" customHeight="1">
      <c r="A82" s="13">
        <v>43647</v>
      </c>
      <c r="B82" s="8">
        <f>CHOOSE( CONTROL!$C$33, 5.6502, 5.6486) * CHOOSE(CONTROL!$C$16, $D$10, 100%, $F$10)</f>
        <v>5.6501999999999999</v>
      </c>
      <c r="C82" s="8">
        <f>CHOOSE( CONTROL!$C$33, 5.6582, 5.6566) * CHOOSE(CONTROL!$C$16, $D$10, 100%, $F$10)</f>
        <v>5.6581999999999999</v>
      </c>
      <c r="D82" s="8">
        <f>CHOOSE( CONTROL!$C$33, 5.6808, 5.6792) * CHOOSE( CONTROL!$C$16, $D$10, 100%, $F$10)</f>
        <v>5.6807999999999996</v>
      </c>
      <c r="E82" s="12">
        <f>CHOOSE( CONTROL!$C$33, 5.6714, 5.6698) * CHOOSE( CONTROL!$C$16, $D$10, 100%, $F$10)</f>
        <v>5.6714000000000002</v>
      </c>
      <c r="F82" s="4">
        <f>CHOOSE( CONTROL!$C$33, 6.4271, 6.4255) * CHOOSE(CONTROL!$C$16, $D$10, 100%, $F$10)</f>
        <v>6.4271000000000003</v>
      </c>
      <c r="G82" s="8">
        <f>CHOOSE( CONTROL!$C$33, 5.6326, 5.6311) * CHOOSE( CONTROL!$C$16, $D$10, 100%, $F$10)</f>
        <v>5.6326000000000001</v>
      </c>
      <c r="H82" s="4">
        <f>CHOOSE( CONTROL!$C$33, 6.6113, 6.6097) * CHOOSE(CONTROL!$C$16, $D$10, 100%, $F$10)</f>
        <v>6.6113</v>
      </c>
      <c r="I82" s="8">
        <f>CHOOSE( CONTROL!$C$33, 5.6054, 5.6039) * CHOOSE(CONTROL!$C$16, $D$10, 100%, $F$10)</f>
        <v>5.6054000000000004</v>
      </c>
      <c r="J82" s="4">
        <f>CHOOSE( CONTROL!$C$33, 5.4856, 5.4841) * CHOOSE(CONTROL!$C$16, $D$10, 100%, $F$10)</f>
        <v>5.4855999999999998</v>
      </c>
      <c r="K82" s="4"/>
      <c r="L82" s="9">
        <v>30.7165</v>
      </c>
      <c r="M82" s="9">
        <v>12.063700000000001</v>
      </c>
      <c r="N82" s="9">
        <v>4.9444999999999997</v>
      </c>
      <c r="O82" s="9">
        <v>0.37409999999999999</v>
      </c>
      <c r="P82" s="9">
        <v>1.2927</v>
      </c>
      <c r="Q82" s="9">
        <v>24.651199999999999</v>
      </c>
      <c r="R82" s="9"/>
      <c r="S82" s="11"/>
    </row>
    <row r="83" spans="1:19" ht="15" customHeight="1">
      <c r="A83" s="13">
        <v>43678</v>
      </c>
      <c r="B83" s="8">
        <f>CHOOSE( CONTROL!$C$33, 5.213, 5.2114) * CHOOSE(CONTROL!$C$16, $D$10, 100%, $F$10)</f>
        <v>5.2130000000000001</v>
      </c>
      <c r="C83" s="8">
        <f>CHOOSE( CONTROL!$C$33, 5.221, 5.2194) * CHOOSE(CONTROL!$C$16, $D$10, 100%, $F$10)</f>
        <v>5.2210000000000001</v>
      </c>
      <c r="D83" s="8">
        <f>CHOOSE( CONTROL!$C$33, 5.2436, 5.2421) * CHOOSE( CONTROL!$C$16, $D$10, 100%, $F$10)</f>
        <v>5.2435999999999998</v>
      </c>
      <c r="E83" s="12">
        <f>CHOOSE( CONTROL!$C$33, 5.2342, 5.2327) * CHOOSE( CONTROL!$C$16, $D$10, 100%, $F$10)</f>
        <v>5.2342000000000004</v>
      </c>
      <c r="F83" s="4">
        <f>CHOOSE( CONTROL!$C$33, 5.9899, 5.9883) * CHOOSE(CONTROL!$C$16, $D$10, 100%, $F$10)</f>
        <v>5.9898999999999996</v>
      </c>
      <c r="G83" s="8">
        <f>CHOOSE( CONTROL!$C$33, 5.2016, 5.2) * CHOOSE( CONTROL!$C$16, $D$10, 100%, $F$10)</f>
        <v>5.2016</v>
      </c>
      <c r="H83" s="4">
        <f>CHOOSE( CONTROL!$C$33, 6.1802, 6.1786) * CHOOSE(CONTROL!$C$16, $D$10, 100%, $F$10)</f>
        <v>6.1802000000000001</v>
      </c>
      <c r="I83" s="8">
        <f>CHOOSE( CONTROL!$C$33, 5.1821, 5.1805) * CHOOSE(CONTROL!$C$16, $D$10, 100%, $F$10)</f>
        <v>5.1821000000000002</v>
      </c>
      <c r="J83" s="4">
        <f>CHOOSE( CONTROL!$C$33, 5.0623, 5.0608) * CHOOSE(CONTROL!$C$16, $D$10, 100%, $F$10)</f>
        <v>5.0622999999999996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1.2927</v>
      </c>
      <c r="Q83" s="9">
        <v>24.651199999999999</v>
      </c>
      <c r="R83" s="9"/>
      <c r="S83" s="11"/>
    </row>
    <row r="84" spans="1:19" ht="15" customHeight="1">
      <c r="A84" s="13">
        <v>43709</v>
      </c>
      <c r="B84" s="8">
        <f>CHOOSE( CONTROL!$C$33, 5.1035, 5.1019) * CHOOSE(CONTROL!$C$16, $D$10, 100%, $F$10)</f>
        <v>5.1035000000000004</v>
      </c>
      <c r="C84" s="8">
        <f>CHOOSE( CONTROL!$C$33, 5.1115, 5.1099) * CHOOSE(CONTROL!$C$16, $D$10, 100%, $F$10)</f>
        <v>5.1115000000000004</v>
      </c>
      <c r="D84" s="8">
        <f>CHOOSE( CONTROL!$C$33, 5.134, 5.1325) * CHOOSE( CONTROL!$C$16, $D$10, 100%, $F$10)</f>
        <v>5.1340000000000003</v>
      </c>
      <c r="E84" s="12">
        <f>CHOOSE( CONTROL!$C$33, 5.1246, 5.1231) * CHOOSE( CONTROL!$C$16, $D$10, 100%, $F$10)</f>
        <v>5.1246</v>
      </c>
      <c r="F84" s="4">
        <f>CHOOSE( CONTROL!$C$33, 5.8804, 5.8788) * CHOOSE(CONTROL!$C$16, $D$10, 100%, $F$10)</f>
        <v>5.8803999999999998</v>
      </c>
      <c r="G84" s="8">
        <f>CHOOSE( CONTROL!$C$33, 5.0935, 5.092) * CHOOSE( CONTROL!$C$16, $D$10, 100%, $F$10)</f>
        <v>5.0934999999999997</v>
      </c>
      <c r="H84" s="4">
        <f>CHOOSE( CONTROL!$C$33, 6.0722, 6.0707) * CHOOSE(CONTROL!$C$16, $D$10, 100%, $F$10)</f>
        <v>6.0721999999999996</v>
      </c>
      <c r="I84" s="8">
        <f>CHOOSE( CONTROL!$C$33, 5.0756, 5.0741) * CHOOSE(CONTROL!$C$16, $D$10, 100%, $F$10)</f>
        <v>5.0755999999999997</v>
      </c>
      <c r="J84" s="4">
        <f>CHOOSE( CONTROL!$C$33, 4.9563, 4.9548) * CHOOSE(CONTROL!$C$16, $D$10, 100%, $F$10)</f>
        <v>4.9562999999999997</v>
      </c>
      <c r="K84" s="4"/>
      <c r="L84" s="9">
        <v>29.7257</v>
      </c>
      <c r="M84" s="9">
        <v>11.6745</v>
      </c>
      <c r="N84" s="9">
        <v>4.7850000000000001</v>
      </c>
      <c r="O84" s="9">
        <v>0.36199999999999999</v>
      </c>
      <c r="P84" s="9">
        <v>1.2509999999999999</v>
      </c>
      <c r="Q84" s="9">
        <v>23.856000000000002</v>
      </c>
      <c r="R84" s="9"/>
      <c r="S84" s="11"/>
    </row>
    <row r="85" spans="1:19" ht="15" customHeight="1">
      <c r="A85" s="13">
        <v>43739</v>
      </c>
      <c r="B85" s="8">
        <f>CHOOSE( CONTROL!$C$33, 5.3286, 5.3275) * CHOOSE(CONTROL!$C$16, $D$10, 100%, $F$10)</f>
        <v>5.3285999999999998</v>
      </c>
      <c r="C85" s="8">
        <f>CHOOSE( CONTROL!$C$33, 5.334, 5.3329) * CHOOSE(CONTROL!$C$16, $D$10, 100%, $F$10)</f>
        <v>5.3339999999999996</v>
      </c>
      <c r="D85" s="8">
        <f>CHOOSE( CONTROL!$C$33, 5.3628, 5.3616) * CHOOSE( CONTROL!$C$16, $D$10, 100%, $F$10)</f>
        <v>5.3628</v>
      </c>
      <c r="E85" s="12">
        <f>CHOOSE( CONTROL!$C$33, 5.3527, 5.3516) * CHOOSE( CONTROL!$C$16, $D$10, 100%, $F$10)</f>
        <v>5.3526999999999996</v>
      </c>
      <c r="F85" s="4">
        <f>CHOOSE( CONTROL!$C$33, 6.1073, 6.1061) * CHOOSE(CONTROL!$C$16, $D$10, 100%, $F$10)</f>
        <v>6.1073000000000004</v>
      </c>
      <c r="G85" s="8">
        <f>CHOOSE( CONTROL!$C$33, 5.3173, 5.3162) * CHOOSE( CONTROL!$C$16, $D$10, 100%, $F$10)</f>
        <v>5.3173000000000004</v>
      </c>
      <c r="H85" s="4">
        <f>CHOOSE( CONTROL!$C$33, 6.2959, 6.2948) * CHOOSE(CONTROL!$C$16, $D$10, 100%, $F$10)</f>
        <v>6.2958999999999996</v>
      </c>
      <c r="I85" s="8">
        <f>CHOOSE( CONTROL!$C$33, 5.2959, 5.2948) * CHOOSE(CONTROL!$C$16, $D$10, 100%, $F$10)</f>
        <v>5.2958999999999996</v>
      </c>
      <c r="J85" s="4">
        <f>CHOOSE( CONTROL!$C$33, 5.176, 5.1749) * CHOOSE(CONTROL!$C$16, $D$10, 100%, $F$10)</f>
        <v>5.1760000000000002</v>
      </c>
      <c r="K85" s="4"/>
      <c r="L85" s="9">
        <v>31.095300000000002</v>
      </c>
      <c r="M85" s="9">
        <v>12.063700000000001</v>
      </c>
      <c r="N85" s="9">
        <v>4.9444999999999997</v>
      </c>
      <c r="O85" s="9">
        <v>0.37409999999999999</v>
      </c>
      <c r="P85" s="9">
        <v>1.2927</v>
      </c>
      <c r="Q85" s="9">
        <v>24.651199999999999</v>
      </c>
      <c r="R85" s="9"/>
      <c r="S85" s="11"/>
    </row>
    <row r="86" spans="1:19" ht="15" customHeight="1">
      <c r="A86" s="13">
        <v>43770</v>
      </c>
      <c r="B86" s="8">
        <f>CHOOSE( CONTROL!$C$33, 5.7478, 5.7467) * CHOOSE(CONTROL!$C$16, $D$10, 100%, $F$10)</f>
        <v>5.7477999999999998</v>
      </c>
      <c r="C86" s="8">
        <f>CHOOSE( CONTROL!$C$33, 5.7529, 5.7518) * CHOOSE(CONTROL!$C$16, $D$10, 100%, $F$10)</f>
        <v>5.7529000000000003</v>
      </c>
      <c r="D86" s="8">
        <f>CHOOSE( CONTROL!$C$33, 5.7326, 5.7314) * CHOOSE( CONTROL!$C$16, $D$10, 100%, $F$10)</f>
        <v>5.7325999999999997</v>
      </c>
      <c r="E86" s="12">
        <f>CHOOSE( CONTROL!$C$33, 5.7395, 5.7383) * CHOOSE( CONTROL!$C$16, $D$10, 100%, $F$10)</f>
        <v>5.7394999999999996</v>
      </c>
      <c r="F86" s="4">
        <f>CHOOSE( CONTROL!$C$33, 6.4107, 6.4095) * CHOOSE(CONTROL!$C$16, $D$10, 100%, $F$10)</f>
        <v>6.4107000000000003</v>
      </c>
      <c r="G86" s="8">
        <f>CHOOSE( CONTROL!$C$33, 5.7036, 5.7025) * CHOOSE( CONTROL!$C$16, $D$10, 100%, $F$10)</f>
        <v>5.7035999999999998</v>
      </c>
      <c r="H86" s="4">
        <f>CHOOSE( CONTROL!$C$33, 6.5951, 6.594) * CHOOSE(CONTROL!$C$16, $D$10, 100%, $F$10)</f>
        <v>6.5951000000000004</v>
      </c>
      <c r="I86" s="8">
        <f>CHOOSE( CONTROL!$C$33, 5.7502, 5.7491) * CHOOSE(CONTROL!$C$16, $D$10, 100%, $F$10)</f>
        <v>5.7502000000000004</v>
      </c>
      <c r="J86" s="4">
        <f>CHOOSE( CONTROL!$C$33, 5.5822, 5.5812) * CHOOSE(CONTROL!$C$16, $D$10, 100%, $F$10)</f>
        <v>5.5822000000000003</v>
      </c>
      <c r="K86" s="4"/>
      <c r="L86" s="9">
        <v>28.360600000000002</v>
      </c>
      <c r="M86" s="9">
        <v>11.6745</v>
      </c>
      <c r="N86" s="9">
        <v>4.7850000000000001</v>
      </c>
      <c r="O86" s="9">
        <v>0.36199999999999999</v>
      </c>
      <c r="P86" s="9">
        <v>1.2509999999999999</v>
      </c>
      <c r="Q86" s="9">
        <v>23.856000000000002</v>
      </c>
      <c r="R86" s="9"/>
      <c r="S86" s="11"/>
    </row>
    <row r="87" spans="1:19" ht="15" customHeight="1">
      <c r="A87" s="13">
        <v>43800</v>
      </c>
      <c r="B87" s="8">
        <f>CHOOSE( CONTROL!$C$33, 5.7373, 5.7362) * CHOOSE(CONTROL!$C$16, $D$10, 100%, $F$10)</f>
        <v>5.7373000000000003</v>
      </c>
      <c r="C87" s="8">
        <f>CHOOSE( CONTROL!$C$33, 5.7424, 5.7413) * CHOOSE(CONTROL!$C$16, $D$10, 100%, $F$10)</f>
        <v>5.7423999999999999</v>
      </c>
      <c r="D87" s="8">
        <f>CHOOSE( CONTROL!$C$33, 5.7235, 5.7224) * CHOOSE( CONTROL!$C$16, $D$10, 100%, $F$10)</f>
        <v>5.7234999999999996</v>
      </c>
      <c r="E87" s="12">
        <f>CHOOSE( CONTROL!$C$33, 5.7299, 5.7288) * CHOOSE( CONTROL!$C$16, $D$10, 100%, $F$10)</f>
        <v>5.7298999999999998</v>
      </c>
      <c r="F87" s="4">
        <f>CHOOSE( CONTROL!$C$33, 6.4002, 6.3991) * CHOOSE(CONTROL!$C$16, $D$10, 100%, $F$10)</f>
        <v>6.4001999999999999</v>
      </c>
      <c r="G87" s="8">
        <f>CHOOSE( CONTROL!$C$33, 5.6943, 5.6932) * CHOOSE( CONTROL!$C$16, $D$10, 100%, $F$10)</f>
        <v>5.6943000000000001</v>
      </c>
      <c r="H87" s="4">
        <f>CHOOSE( CONTROL!$C$33, 6.5847, 6.5836) * CHOOSE(CONTROL!$C$16, $D$10, 100%, $F$10)</f>
        <v>6.5846999999999998</v>
      </c>
      <c r="I87" s="8">
        <f>CHOOSE( CONTROL!$C$33, 5.7446, 5.7435) * CHOOSE(CONTROL!$C$16, $D$10, 100%, $F$10)</f>
        <v>5.7446000000000002</v>
      </c>
      <c r="J87" s="4">
        <f>CHOOSE( CONTROL!$C$33, 5.5721, 5.571) * CHOOSE(CONTROL!$C$16, $D$10, 100%, $F$10)</f>
        <v>5.5720999999999998</v>
      </c>
      <c r="K87" s="4"/>
      <c r="L87" s="9">
        <v>29.306000000000001</v>
      </c>
      <c r="M87" s="9">
        <v>12.063700000000001</v>
      </c>
      <c r="N87" s="9">
        <v>4.9444999999999997</v>
      </c>
      <c r="O87" s="9">
        <v>0.37409999999999999</v>
      </c>
      <c r="P87" s="9">
        <v>1.2927</v>
      </c>
      <c r="Q87" s="9">
        <v>24.651199999999999</v>
      </c>
      <c r="R87" s="9"/>
      <c r="S87" s="11"/>
    </row>
    <row r="88" spans="1:19" ht="15" customHeight="1">
      <c r="A88" s="13">
        <v>43831</v>
      </c>
      <c r="B88" s="8">
        <f>CHOOSE( CONTROL!$C$33, 5.9317, 5.9306) * CHOOSE(CONTROL!$C$16, $D$10, 100%, $F$10)</f>
        <v>5.9317000000000002</v>
      </c>
      <c r="C88" s="8">
        <f>CHOOSE( CONTROL!$C$33, 5.9368, 5.9357) * CHOOSE(CONTROL!$C$16, $D$10, 100%, $F$10)</f>
        <v>5.9367999999999999</v>
      </c>
      <c r="D88" s="8">
        <f>CHOOSE( CONTROL!$C$33, 5.9292, 5.9281) * CHOOSE( CONTROL!$C$16, $D$10, 100%, $F$10)</f>
        <v>5.9291999999999998</v>
      </c>
      <c r="E88" s="12">
        <f>CHOOSE( CONTROL!$C$33, 5.9314, 5.9303) * CHOOSE( CONTROL!$C$16, $D$10, 100%, $F$10)</f>
        <v>5.9314</v>
      </c>
      <c r="F88" s="4">
        <f>CHOOSE( CONTROL!$C$33, 6.5946, 6.5935) * CHOOSE(CONTROL!$C$16, $D$10, 100%, $F$10)</f>
        <v>6.5945999999999998</v>
      </c>
      <c r="G88" s="8">
        <f>CHOOSE( CONTROL!$C$33, 5.8918, 5.8907) * CHOOSE( CONTROL!$C$16, $D$10, 100%, $F$10)</f>
        <v>5.8917999999999999</v>
      </c>
      <c r="H88" s="4">
        <f>CHOOSE( CONTROL!$C$33, 6.7765, 6.7753) * CHOOSE(CONTROL!$C$16, $D$10, 100%, $F$10)</f>
        <v>6.7765000000000004</v>
      </c>
      <c r="I88" s="8">
        <f>CHOOSE( CONTROL!$C$33, 5.9242, 5.9231) * CHOOSE(CONTROL!$C$16, $D$10, 100%, $F$10)</f>
        <v>5.9241999999999999</v>
      </c>
      <c r="J88" s="4">
        <f>CHOOSE( CONTROL!$C$33, 5.7604, 5.7593) * CHOOSE(CONTROL!$C$16, $D$10, 100%, $F$10)</f>
        <v>5.7603999999999997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22.150099999999998</v>
      </c>
      <c r="R88" s="9"/>
      <c r="S88" s="11"/>
    </row>
    <row r="89" spans="1:19" ht="15" customHeight="1">
      <c r="A89" s="13">
        <v>43862</v>
      </c>
      <c r="B89" s="8">
        <f>CHOOSE( CONTROL!$C$33, 5.5472, 5.5461) * CHOOSE(CONTROL!$C$16, $D$10, 100%, $F$10)</f>
        <v>5.5472000000000001</v>
      </c>
      <c r="C89" s="8">
        <f>CHOOSE( CONTROL!$C$33, 5.5523, 5.5512) * CHOOSE(CONTROL!$C$16, $D$10, 100%, $F$10)</f>
        <v>5.5522999999999998</v>
      </c>
      <c r="D89" s="8">
        <f>CHOOSE( CONTROL!$C$33, 5.5445, 5.5434) * CHOOSE( CONTROL!$C$16, $D$10, 100%, $F$10)</f>
        <v>5.5445000000000002</v>
      </c>
      <c r="E89" s="12">
        <f>CHOOSE( CONTROL!$C$33, 5.5468, 5.5457) * CHOOSE( CONTROL!$C$16, $D$10, 100%, $F$10)</f>
        <v>5.5468000000000002</v>
      </c>
      <c r="F89" s="4">
        <f>CHOOSE( CONTROL!$C$33, 6.2101, 6.209) * CHOOSE(CONTROL!$C$16, $D$10, 100%, $F$10)</f>
        <v>6.2100999999999997</v>
      </c>
      <c r="G89" s="8">
        <f>CHOOSE( CONTROL!$C$33, 5.5126, 5.5114) * CHOOSE( CONTROL!$C$16, $D$10, 100%, $F$10)</f>
        <v>5.5125999999999999</v>
      </c>
      <c r="H89" s="4">
        <f>CHOOSE( CONTROL!$C$33, 6.3973, 6.3962) * CHOOSE(CONTROL!$C$16, $D$10, 100%, $F$10)</f>
        <v>6.3973000000000004</v>
      </c>
      <c r="I89" s="8">
        <f>CHOOSE( CONTROL!$C$33, 5.5511, 5.55) * CHOOSE(CONTROL!$C$16, $D$10, 100%, $F$10)</f>
        <v>5.5510999999999999</v>
      </c>
      <c r="J89" s="4">
        <f>CHOOSE( CONTROL!$C$33, 5.388, 5.3869) * CHOOSE(CONTROL!$C$16, $D$10, 100%, $F$10)</f>
        <v>5.3879999999999999</v>
      </c>
      <c r="K89" s="4"/>
      <c r="L89" s="9">
        <v>27.415299999999998</v>
      </c>
      <c r="M89" s="9">
        <v>11.285299999999999</v>
      </c>
      <c r="N89" s="9">
        <v>4.6254999999999997</v>
      </c>
      <c r="O89" s="9">
        <v>0.34989999999999999</v>
      </c>
      <c r="P89" s="9">
        <v>1.2093</v>
      </c>
      <c r="Q89" s="9">
        <v>20.7211</v>
      </c>
      <c r="R89" s="9"/>
      <c r="S89" s="11"/>
    </row>
    <row r="90" spans="1:19" ht="15" customHeight="1">
      <c r="A90" s="13">
        <v>43891</v>
      </c>
      <c r="B90" s="8">
        <f>CHOOSE( CONTROL!$C$33, 5.4288, 5.4277) * CHOOSE(CONTROL!$C$16, $D$10, 100%, $F$10)</f>
        <v>5.4287999999999998</v>
      </c>
      <c r="C90" s="8">
        <f>CHOOSE( CONTROL!$C$33, 5.4339, 5.4328) * CHOOSE(CONTROL!$C$16, $D$10, 100%, $F$10)</f>
        <v>5.4339000000000004</v>
      </c>
      <c r="D90" s="8">
        <f>CHOOSE( CONTROL!$C$33, 5.4253, 5.4242) * CHOOSE( CONTROL!$C$16, $D$10, 100%, $F$10)</f>
        <v>5.4253</v>
      </c>
      <c r="E90" s="12">
        <f>CHOOSE( CONTROL!$C$33, 5.4279, 5.4268) * CHOOSE( CONTROL!$C$16, $D$10, 100%, $F$10)</f>
        <v>5.4279000000000002</v>
      </c>
      <c r="F90" s="4">
        <f>CHOOSE( CONTROL!$C$33, 6.0917, 6.0905) * CHOOSE(CONTROL!$C$16, $D$10, 100%, $F$10)</f>
        <v>6.0917000000000003</v>
      </c>
      <c r="G90" s="8">
        <f>CHOOSE( CONTROL!$C$33, 5.3952, 5.3941) * CHOOSE( CONTROL!$C$16, $D$10, 100%, $F$10)</f>
        <v>5.3952</v>
      </c>
      <c r="H90" s="4">
        <f>CHOOSE( CONTROL!$C$33, 6.2805, 6.2794) * CHOOSE(CONTROL!$C$16, $D$10, 100%, $F$10)</f>
        <v>6.2805</v>
      </c>
      <c r="I90" s="8">
        <f>CHOOSE( CONTROL!$C$33, 5.4341, 5.433) * CHOOSE(CONTROL!$C$16, $D$10, 100%, $F$10)</f>
        <v>5.4340999999999999</v>
      </c>
      <c r="J90" s="4">
        <f>CHOOSE( CONTROL!$C$33, 5.2734, 5.2723) * CHOOSE(CONTROL!$C$16, $D$10, 100%, $F$10)</f>
        <v>5.2733999999999996</v>
      </c>
      <c r="K90" s="4"/>
      <c r="L90" s="9">
        <v>29.306000000000001</v>
      </c>
      <c r="M90" s="9">
        <v>12.063700000000001</v>
      </c>
      <c r="N90" s="9">
        <v>4.9444999999999997</v>
      </c>
      <c r="O90" s="9">
        <v>0.37409999999999999</v>
      </c>
      <c r="P90" s="9">
        <v>1.2927</v>
      </c>
      <c r="Q90" s="9">
        <v>22.150099999999998</v>
      </c>
      <c r="R90" s="9"/>
      <c r="S90" s="11"/>
    </row>
    <row r="91" spans="1:19" ht="15" customHeight="1">
      <c r="A91" s="13">
        <v>43922</v>
      </c>
      <c r="B91" s="8">
        <f>CHOOSE( CONTROL!$C$33, 5.5123, 5.5112) * CHOOSE(CONTROL!$C$16, $D$10, 100%, $F$10)</f>
        <v>5.5122999999999998</v>
      </c>
      <c r="C91" s="8">
        <f>CHOOSE( CONTROL!$C$33, 5.5168, 5.5157) * CHOOSE(CONTROL!$C$16, $D$10, 100%, $F$10)</f>
        <v>5.5167999999999999</v>
      </c>
      <c r="D91" s="8">
        <f>CHOOSE( CONTROL!$C$33, 5.5457, 5.5446) * CHOOSE( CONTROL!$C$16, $D$10, 100%, $F$10)</f>
        <v>5.5457000000000001</v>
      </c>
      <c r="E91" s="12">
        <f>CHOOSE( CONTROL!$C$33, 5.5356, 5.5345) * CHOOSE( CONTROL!$C$16, $D$10, 100%, $F$10)</f>
        <v>5.5355999999999996</v>
      </c>
      <c r="F91" s="4">
        <f>CHOOSE( CONTROL!$C$33, 6.2906, 6.2895) * CHOOSE(CONTROL!$C$16, $D$10, 100%, $F$10)</f>
        <v>6.2906000000000004</v>
      </c>
      <c r="G91" s="8">
        <f>CHOOSE( CONTROL!$C$33, 5.4978, 5.4967) * CHOOSE( CONTROL!$C$16, $D$10, 100%, $F$10)</f>
        <v>5.4977999999999998</v>
      </c>
      <c r="H91" s="4">
        <f>CHOOSE( CONTROL!$C$33, 6.4767, 6.4756) * CHOOSE(CONTROL!$C$16, $D$10, 100%, $F$10)</f>
        <v>6.4767000000000001</v>
      </c>
      <c r="I91" s="8">
        <f>CHOOSE( CONTROL!$C$33, 5.4722, 5.4712) * CHOOSE(CONTROL!$C$16, $D$10, 100%, $F$10)</f>
        <v>5.4722</v>
      </c>
      <c r="J91" s="4">
        <f>CHOOSE( CONTROL!$C$33, 5.3535, 5.3524) * CHOOSE(CONTROL!$C$16, $D$10, 100%, $F$10)</f>
        <v>5.3535000000000004</v>
      </c>
      <c r="K91" s="4"/>
      <c r="L91" s="9">
        <v>30.092199999999998</v>
      </c>
      <c r="M91" s="9">
        <v>11.6745</v>
      </c>
      <c r="N91" s="9">
        <v>4.7850000000000001</v>
      </c>
      <c r="O91" s="9">
        <v>0.36199999999999999</v>
      </c>
      <c r="P91" s="9">
        <v>1.2509999999999999</v>
      </c>
      <c r="Q91" s="9">
        <v>21.435600000000001</v>
      </c>
      <c r="R91" s="9"/>
      <c r="S91" s="11"/>
    </row>
    <row r="92" spans="1:19" ht="15" customHeight="1">
      <c r="A92" s="13">
        <v>43952</v>
      </c>
      <c r="B92" s="8">
        <f>CHOOSE( CONTROL!$C$33, 5.6614, 5.6598) * CHOOSE(CONTROL!$C$16, $D$10, 100%, $F$10)</f>
        <v>5.6614000000000004</v>
      </c>
      <c r="C92" s="8">
        <f>CHOOSE( CONTROL!$C$33, 5.6694, 5.6678) * CHOOSE(CONTROL!$C$16, $D$10, 100%, $F$10)</f>
        <v>5.6694000000000004</v>
      </c>
      <c r="D92" s="8">
        <f>CHOOSE( CONTROL!$C$33, 5.6916, 5.6901) * CHOOSE( CONTROL!$C$16, $D$10, 100%, $F$10)</f>
        <v>5.6916000000000002</v>
      </c>
      <c r="E92" s="12">
        <f>CHOOSE( CONTROL!$C$33, 5.6823, 5.6808) * CHOOSE( CONTROL!$C$16, $D$10, 100%, $F$10)</f>
        <v>5.6822999999999997</v>
      </c>
      <c r="F92" s="4">
        <f>CHOOSE( CONTROL!$C$33, 6.4383, 6.4368) * CHOOSE(CONTROL!$C$16, $D$10, 100%, $F$10)</f>
        <v>6.4382999999999999</v>
      </c>
      <c r="G92" s="8">
        <f>CHOOSE( CONTROL!$C$33, 5.6434, 5.6419) * CHOOSE( CONTROL!$C$16, $D$10, 100%, $F$10)</f>
        <v>5.6433999999999997</v>
      </c>
      <c r="H92" s="4">
        <f>CHOOSE( CONTROL!$C$33, 6.6224, 6.6208) * CHOOSE(CONTROL!$C$16, $D$10, 100%, $F$10)</f>
        <v>6.6223999999999998</v>
      </c>
      <c r="I92" s="8">
        <f>CHOOSE( CONTROL!$C$33, 5.615, 5.6135) * CHOOSE(CONTROL!$C$16, $D$10, 100%, $F$10)</f>
        <v>5.6150000000000002</v>
      </c>
      <c r="J92" s="4">
        <f>CHOOSE( CONTROL!$C$33, 5.4965, 5.495) * CHOOSE(CONTROL!$C$16, $D$10, 100%, $F$10)</f>
        <v>5.4965000000000002</v>
      </c>
      <c r="K92" s="4"/>
      <c r="L92" s="9">
        <v>30.7165</v>
      </c>
      <c r="M92" s="9">
        <v>12.063700000000001</v>
      </c>
      <c r="N92" s="9">
        <v>4.9444999999999997</v>
      </c>
      <c r="O92" s="9">
        <v>0.37409999999999999</v>
      </c>
      <c r="P92" s="9">
        <v>1.2927</v>
      </c>
      <c r="Q92" s="9">
        <v>33.225200000000001</v>
      </c>
      <c r="R92" s="9"/>
      <c r="S92" s="11"/>
    </row>
    <row r="93" spans="1:19" ht="15" customHeight="1">
      <c r="A93" s="13">
        <v>43983</v>
      </c>
      <c r="B93" s="8">
        <f>CHOOSE( CONTROL!$C$33, 5.5702, 5.5686) * CHOOSE(CONTROL!$C$16, $D$10, 100%, $F$10)</f>
        <v>5.5701999999999998</v>
      </c>
      <c r="C93" s="8">
        <f>CHOOSE( CONTROL!$C$33, 5.5782, 5.5766) * CHOOSE(CONTROL!$C$16, $D$10, 100%, $F$10)</f>
        <v>5.5781999999999998</v>
      </c>
      <c r="D93" s="8">
        <f>CHOOSE( CONTROL!$C$33, 5.6006, 5.599) * CHOOSE( CONTROL!$C$16, $D$10, 100%, $F$10)</f>
        <v>5.6006</v>
      </c>
      <c r="E93" s="12">
        <f>CHOOSE( CONTROL!$C$33, 5.5913, 5.5897) * CHOOSE( CONTROL!$C$16, $D$10, 100%, $F$10)</f>
        <v>5.5913000000000004</v>
      </c>
      <c r="F93" s="4">
        <f>CHOOSE( CONTROL!$C$33, 6.3471, 6.3455) * CHOOSE(CONTROL!$C$16, $D$10, 100%, $F$10)</f>
        <v>6.3471000000000002</v>
      </c>
      <c r="G93" s="8">
        <f>CHOOSE( CONTROL!$C$33, 5.5536, 5.552) * CHOOSE( CONTROL!$C$16, $D$10, 100%, $F$10)</f>
        <v>5.5536000000000003</v>
      </c>
      <c r="H93" s="4">
        <f>CHOOSE( CONTROL!$C$33, 6.5324, 6.5308) * CHOOSE(CONTROL!$C$16, $D$10, 100%, $F$10)</f>
        <v>6.5324</v>
      </c>
      <c r="I93" s="8">
        <f>CHOOSE( CONTROL!$C$33, 5.5272, 5.5257) * CHOOSE(CONTROL!$C$16, $D$10, 100%, $F$10)</f>
        <v>5.5271999999999997</v>
      </c>
      <c r="J93" s="4">
        <f>CHOOSE( CONTROL!$C$33, 5.4082, 5.4067) * CHOOSE(CONTROL!$C$16, $D$10, 100%, $F$10)</f>
        <v>5.4081999999999999</v>
      </c>
      <c r="K93" s="4"/>
      <c r="L93" s="9">
        <v>29.7257</v>
      </c>
      <c r="M93" s="9">
        <v>11.6745</v>
      </c>
      <c r="N93" s="9">
        <v>4.7850000000000001</v>
      </c>
      <c r="O93" s="9">
        <v>0.36199999999999999</v>
      </c>
      <c r="P93" s="9">
        <v>1.2509999999999999</v>
      </c>
      <c r="Q93" s="9">
        <v>32.153399999999998</v>
      </c>
      <c r="R93" s="9"/>
      <c r="S93" s="11"/>
    </row>
    <row r="94" spans="1:19" ht="15" customHeight="1">
      <c r="A94" s="13">
        <v>44013</v>
      </c>
      <c r="B94" s="8">
        <f>CHOOSE( CONTROL!$C$33, 5.8104, 5.8089) * CHOOSE(CONTROL!$C$16, $D$10, 100%, $F$10)</f>
        <v>5.8103999999999996</v>
      </c>
      <c r="C94" s="8">
        <f>CHOOSE( CONTROL!$C$33, 5.8184, 5.8169) * CHOOSE(CONTROL!$C$16, $D$10, 100%, $F$10)</f>
        <v>5.8183999999999996</v>
      </c>
      <c r="D94" s="8">
        <f>CHOOSE( CONTROL!$C$33, 5.8411, 5.8395) * CHOOSE( CONTROL!$C$16, $D$10, 100%, $F$10)</f>
        <v>5.8411</v>
      </c>
      <c r="E94" s="12">
        <f>CHOOSE( CONTROL!$C$33, 5.8317, 5.8301) * CHOOSE( CONTROL!$C$16, $D$10, 100%, $F$10)</f>
        <v>5.8316999999999997</v>
      </c>
      <c r="F94" s="4">
        <f>CHOOSE( CONTROL!$C$33, 6.5874, 6.5858) * CHOOSE(CONTROL!$C$16, $D$10, 100%, $F$10)</f>
        <v>6.5873999999999997</v>
      </c>
      <c r="G94" s="8">
        <f>CHOOSE( CONTROL!$C$33, 5.7907, 5.7891) * CHOOSE( CONTROL!$C$16, $D$10, 100%, $F$10)</f>
        <v>5.7907000000000002</v>
      </c>
      <c r="H94" s="4">
        <f>CHOOSE( CONTROL!$C$33, 6.7693, 6.7678) * CHOOSE(CONTROL!$C$16, $D$10, 100%, $F$10)</f>
        <v>6.7693000000000003</v>
      </c>
      <c r="I94" s="8">
        <f>CHOOSE( CONTROL!$C$33, 5.7607, 5.7592) * CHOOSE(CONTROL!$C$16, $D$10, 100%, $F$10)</f>
        <v>5.7606999999999999</v>
      </c>
      <c r="J94" s="4">
        <f>CHOOSE( CONTROL!$C$33, 5.6408, 5.6393) * CHOOSE(CONTROL!$C$16, $D$10, 100%, $F$10)</f>
        <v>5.6407999999999996</v>
      </c>
      <c r="K94" s="4"/>
      <c r="L94" s="9">
        <v>30.7165</v>
      </c>
      <c r="M94" s="9">
        <v>12.063700000000001</v>
      </c>
      <c r="N94" s="9">
        <v>4.9444999999999997</v>
      </c>
      <c r="O94" s="9">
        <v>0.37409999999999999</v>
      </c>
      <c r="P94" s="9">
        <v>1.2927</v>
      </c>
      <c r="Q94" s="9">
        <v>33.225200000000001</v>
      </c>
      <c r="R94" s="9"/>
      <c r="S94" s="11"/>
    </row>
    <row r="95" spans="1:19" ht="15" customHeight="1">
      <c r="A95" s="13">
        <v>44044</v>
      </c>
      <c r="B95" s="8">
        <f>CHOOSE( CONTROL!$C$33, 5.3609, 5.3593) * CHOOSE(CONTROL!$C$16, $D$10, 100%, $F$10)</f>
        <v>5.3609</v>
      </c>
      <c r="C95" s="8">
        <f>CHOOSE( CONTROL!$C$33, 5.3689, 5.3673) * CHOOSE(CONTROL!$C$16, $D$10, 100%, $F$10)</f>
        <v>5.3689</v>
      </c>
      <c r="D95" s="8">
        <f>CHOOSE( CONTROL!$C$33, 5.3915, 5.39) * CHOOSE( CONTROL!$C$16, $D$10, 100%, $F$10)</f>
        <v>5.3914999999999997</v>
      </c>
      <c r="E95" s="12">
        <f>CHOOSE( CONTROL!$C$33, 5.3821, 5.3806) * CHOOSE( CONTROL!$C$16, $D$10, 100%, $F$10)</f>
        <v>5.3821000000000003</v>
      </c>
      <c r="F95" s="4">
        <f>CHOOSE( CONTROL!$C$33, 6.1378, 6.1362) * CHOOSE(CONTROL!$C$16, $D$10, 100%, $F$10)</f>
        <v>6.1378000000000004</v>
      </c>
      <c r="G95" s="8">
        <f>CHOOSE( CONTROL!$C$33, 5.3474, 5.3459) * CHOOSE( CONTROL!$C$16, $D$10, 100%, $F$10)</f>
        <v>5.3474000000000004</v>
      </c>
      <c r="H95" s="4">
        <f>CHOOSE( CONTROL!$C$33, 6.326, 6.3245) * CHOOSE(CONTROL!$C$16, $D$10, 100%, $F$10)</f>
        <v>6.3259999999999996</v>
      </c>
      <c r="I95" s="8">
        <f>CHOOSE( CONTROL!$C$33, 5.3254, 5.3238) * CHOOSE(CONTROL!$C$16, $D$10, 100%, $F$10)</f>
        <v>5.3254000000000001</v>
      </c>
      <c r="J95" s="4">
        <f>CHOOSE( CONTROL!$C$33, 5.2055, 5.204) * CHOOSE(CONTROL!$C$16, $D$10, 100%, $F$10)</f>
        <v>5.2054999999999998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1.2927</v>
      </c>
      <c r="Q95" s="9">
        <v>33.225200000000001</v>
      </c>
      <c r="R95" s="9"/>
      <c r="S95" s="11"/>
    </row>
    <row r="96" spans="1:19" ht="15" customHeight="1">
      <c r="A96" s="13">
        <v>44075</v>
      </c>
      <c r="B96" s="8">
        <f>CHOOSE( CONTROL!$C$33, 5.2483, 5.2467) * CHOOSE(CONTROL!$C$16, $D$10, 100%, $F$10)</f>
        <v>5.2483000000000004</v>
      </c>
      <c r="C96" s="8">
        <f>CHOOSE( CONTROL!$C$33, 5.2563, 5.2547) * CHOOSE(CONTROL!$C$16, $D$10, 100%, $F$10)</f>
        <v>5.2563000000000004</v>
      </c>
      <c r="D96" s="8">
        <f>CHOOSE( CONTROL!$C$33, 5.2788, 5.2773) * CHOOSE( CONTROL!$C$16, $D$10, 100%, $F$10)</f>
        <v>5.2788000000000004</v>
      </c>
      <c r="E96" s="12">
        <f>CHOOSE( CONTROL!$C$33, 5.2694, 5.2679) * CHOOSE( CONTROL!$C$16, $D$10, 100%, $F$10)</f>
        <v>5.2694000000000001</v>
      </c>
      <c r="F96" s="4">
        <f>CHOOSE( CONTROL!$C$33, 6.0252, 6.0237) * CHOOSE(CONTROL!$C$16, $D$10, 100%, $F$10)</f>
        <v>6.0251999999999999</v>
      </c>
      <c r="G96" s="8">
        <f>CHOOSE( CONTROL!$C$33, 5.2363, 5.2348) * CHOOSE( CONTROL!$C$16, $D$10, 100%, $F$10)</f>
        <v>5.2363</v>
      </c>
      <c r="H96" s="4">
        <f>CHOOSE( CONTROL!$C$33, 6.215, 6.2135) * CHOOSE(CONTROL!$C$16, $D$10, 100%, $F$10)</f>
        <v>6.2149999999999999</v>
      </c>
      <c r="I96" s="8">
        <f>CHOOSE( CONTROL!$C$33, 5.2159, 5.2144) * CHOOSE(CONTROL!$C$16, $D$10, 100%, $F$10)</f>
        <v>5.2159000000000004</v>
      </c>
      <c r="J96" s="4">
        <f>CHOOSE( CONTROL!$C$33, 5.0965, 5.095) * CHOOSE(CONTROL!$C$16, $D$10, 100%, $F$10)</f>
        <v>5.0964999999999998</v>
      </c>
      <c r="K96" s="4"/>
      <c r="L96" s="9">
        <v>29.7257</v>
      </c>
      <c r="M96" s="9">
        <v>11.6745</v>
      </c>
      <c r="N96" s="9">
        <v>4.7850000000000001</v>
      </c>
      <c r="O96" s="9">
        <v>0.36199999999999999</v>
      </c>
      <c r="P96" s="9">
        <v>1.2509999999999999</v>
      </c>
      <c r="Q96" s="9">
        <v>32.153399999999998</v>
      </c>
      <c r="R96" s="9"/>
      <c r="S96" s="11"/>
    </row>
    <row r="97" spans="1:19" ht="15" customHeight="1">
      <c r="A97" s="13">
        <v>44105</v>
      </c>
      <c r="B97" s="8">
        <f>CHOOSE( CONTROL!$C$33, 5.4799, 5.4788) * CHOOSE(CONTROL!$C$16, $D$10, 100%, $F$10)</f>
        <v>5.4798999999999998</v>
      </c>
      <c r="C97" s="8">
        <f>CHOOSE( CONTROL!$C$33, 5.4852, 5.4841) * CHOOSE(CONTROL!$C$16, $D$10, 100%, $F$10)</f>
        <v>5.4851999999999999</v>
      </c>
      <c r="D97" s="8">
        <f>CHOOSE( CONTROL!$C$33, 5.514, 5.5129) * CHOOSE( CONTROL!$C$16, $D$10, 100%, $F$10)</f>
        <v>5.5140000000000002</v>
      </c>
      <c r="E97" s="12">
        <f>CHOOSE( CONTROL!$C$33, 5.5039, 5.5028) * CHOOSE( CONTROL!$C$16, $D$10, 100%, $F$10)</f>
        <v>5.5038999999999998</v>
      </c>
      <c r="F97" s="4">
        <f>CHOOSE( CONTROL!$C$33, 6.2585, 6.2574) * CHOOSE(CONTROL!$C$16, $D$10, 100%, $F$10)</f>
        <v>6.2584999999999997</v>
      </c>
      <c r="G97" s="8">
        <f>CHOOSE( CONTROL!$C$33, 5.4665, 5.4654) * CHOOSE( CONTROL!$C$16, $D$10, 100%, $F$10)</f>
        <v>5.4664999999999999</v>
      </c>
      <c r="H97" s="4">
        <f>CHOOSE( CONTROL!$C$33, 6.4451, 6.4439) * CHOOSE(CONTROL!$C$16, $D$10, 100%, $F$10)</f>
        <v>6.4451000000000001</v>
      </c>
      <c r="I97" s="8">
        <f>CHOOSE( CONTROL!$C$33, 5.4425, 5.4414) * CHOOSE(CONTROL!$C$16, $D$10, 100%, $F$10)</f>
        <v>5.4424999999999999</v>
      </c>
      <c r="J97" s="4">
        <f>CHOOSE( CONTROL!$C$33, 5.3224, 5.3213) * CHOOSE(CONTROL!$C$16, $D$10, 100%, $F$10)</f>
        <v>5.3224</v>
      </c>
      <c r="K97" s="4"/>
      <c r="L97" s="9">
        <v>31.095300000000002</v>
      </c>
      <c r="M97" s="9">
        <v>12.063700000000001</v>
      </c>
      <c r="N97" s="9">
        <v>4.9444999999999997</v>
      </c>
      <c r="O97" s="9">
        <v>0.37409999999999999</v>
      </c>
      <c r="P97" s="9">
        <v>1.2927</v>
      </c>
      <c r="Q97" s="9">
        <v>33.225200000000001</v>
      </c>
      <c r="R97" s="9"/>
      <c r="S97" s="11"/>
    </row>
    <row r="98" spans="1:19" ht="15" customHeight="1">
      <c r="A98" s="13">
        <v>44136</v>
      </c>
      <c r="B98" s="8">
        <f>CHOOSE( CONTROL!$C$33, 5.9109, 5.9098) * CHOOSE(CONTROL!$C$16, $D$10, 100%, $F$10)</f>
        <v>5.9108999999999998</v>
      </c>
      <c r="C98" s="8">
        <f>CHOOSE( CONTROL!$C$33, 5.916, 5.9149) * CHOOSE(CONTROL!$C$16, $D$10, 100%, $F$10)</f>
        <v>5.9160000000000004</v>
      </c>
      <c r="D98" s="8">
        <f>CHOOSE( CONTROL!$C$33, 5.8957, 5.8946) * CHOOSE( CONTROL!$C$16, $D$10, 100%, $F$10)</f>
        <v>5.8956999999999997</v>
      </c>
      <c r="E98" s="12">
        <f>CHOOSE( CONTROL!$C$33, 5.9026, 5.9015) * CHOOSE( CONTROL!$C$16, $D$10, 100%, $F$10)</f>
        <v>5.9025999999999996</v>
      </c>
      <c r="F98" s="4">
        <f>CHOOSE( CONTROL!$C$33, 6.5738, 6.5727) * CHOOSE(CONTROL!$C$16, $D$10, 100%, $F$10)</f>
        <v>6.5738000000000003</v>
      </c>
      <c r="G98" s="8">
        <f>CHOOSE( CONTROL!$C$33, 5.8644, 5.8633) * CHOOSE( CONTROL!$C$16, $D$10, 100%, $F$10)</f>
        <v>5.8643999999999998</v>
      </c>
      <c r="H98" s="4">
        <f>CHOOSE( CONTROL!$C$33, 6.7559, 6.7548) * CHOOSE(CONTROL!$C$16, $D$10, 100%, $F$10)</f>
        <v>6.7558999999999996</v>
      </c>
      <c r="I98" s="8">
        <f>CHOOSE( CONTROL!$C$33, 5.9082, 5.9072) * CHOOSE(CONTROL!$C$16, $D$10, 100%, $F$10)</f>
        <v>5.9081999999999999</v>
      </c>
      <c r="J98" s="4">
        <f>CHOOSE( CONTROL!$C$33, 5.7402, 5.7391) * CHOOSE(CONTROL!$C$16, $D$10, 100%, $F$10)</f>
        <v>5.7401999999999997</v>
      </c>
      <c r="K98" s="4"/>
      <c r="L98" s="9">
        <v>28.360600000000002</v>
      </c>
      <c r="M98" s="9">
        <v>11.6745</v>
      </c>
      <c r="N98" s="9">
        <v>4.7850000000000001</v>
      </c>
      <c r="O98" s="9">
        <v>0.36199999999999999</v>
      </c>
      <c r="P98" s="9">
        <v>1.2509999999999999</v>
      </c>
      <c r="Q98" s="9">
        <v>32.153399999999998</v>
      </c>
      <c r="R98" s="9"/>
      <c r="S98" s="11"/>
    </row>
    <row r="99" spans="1:19" ht="15" customHeight="1">
      <c r="A99" s="13">
        <v>44166</v>
      </c>
      <c r="B99" s="8">
        <f>CHOOSE( CONTROL!$C$33, 5.9001, 5.899) * CHOOSE(CONTROL!$C$16, $D$10, 100%, $F$10)</f>
        <v>5.9001000000000001</v>
      </c>
      <c r="C99" s="8">
        <f>CHOOSE( CONTROL!$C$33, 5.9052, 5.9041) * CHOOSE(CONTROL!$C$16, $D$10, 100%, $F$10)</f>
        <v>5.9051999999999998</v>
      </c>
      <c r="D99" s="8">
        <f>CHOOSE( CONTROL!$C$33, 5.8864, 5.8852) * CHOOSE( CONTROL!$C$16, $D$10, 100%, $F$10)</f>
        <v>5.8864000000000001</v>
      </c>
      <c r="E99" s="12">
        <f>CHOOSE( CONTROL!$C$33, 5.8927, 5.8916) * CHOOSE( CONTROL!$C$16, $D$10, 100%, $F$10)</f>
        <v>5.8926999999999996</v>
      </c>
      <c r="F99" s="4">
        <f>CHOOSE( CONTROL!$C$33, 6.563, 6.5619) * CHOOSE(CONTROL!$C$16, $D$10, 100%, $F$10)</f>
        <v>6.5629999999999997</v>
      </c>
      <c r="G99" s="8">
        <f>CHOOSE( CONTROL!$C$33, 5.8548, 5.8537) * CHOOSE( CONTROL!$C$16, $D$10, 100%, $F$10)</f>
        <v>5.8548</v>
      </c>
      <c r="H99" s="4">
        <f>CHOOSE( CONTROL!$C$33, 6.7453, 6.7442) * CHOOSE(CONTROL!$C$16, $D$10, 100%, $F$10)</f>
        <v>6.7453000000000003</v>
      </c>
      <c r="I99" s="8">
        <f>CHOOSE( CONTROL!$C$33, 5.9023, 5.9012) * CHOOSE(CONTROL!$C$16, $D$10, 100%, $F$10)</f>
        <v>5.9023000000000003</v>
      </c>
      <c r="J99" s="4">
        <f>CHOOSE( CONTROL!$C$33, 5.7298, 5.7287) * CHOOSE(CONTROL!$C$16, $D$10, 100%, $F$10)</f>
        <v>5.7298</v>
      </c>
      <c r="K99" s="4"/>
      <c r="L99" s="9">
        <v>29.306000000000001</v>
      </c>
      <c r="M99" s="9">
        <v>12.063700000000001</v>
      </c>
      <c r="N99" s="9">
        <v>4.9444999999999997</v>
      </c>
      <c r="O99" s="9">
        <v>0.37409999999999999</v>
      </c>
      <c r="P99" s="9">
        <v>1.2927</v>
      </c>
      <c r="Q99" s="9">
        <v>33.225200000000001</v>
      </c>
      <c r="R99" s="9"/>
      <c r="S99" s="11"/>
    </row>
    <row r="100" spans="1:19" ht="15" customHeight="1">
      <c r="A100" s="13">
        <v>44197</v>
      </c>
      <c r="B100" s="8">
        <f>CHOOSE( CONTROL!$C$33, 6.15, 6.1489) * CHOOSE(CONTROL!$C$16, $D$10, 100%, $F$10)</f>
        <v>6.15</v>
      </c>
      <c r="C100" s="8">
        <f>CHOOSE( CONTROL!$C$33, 6.1551, 6.154) * CHOOSE(CONTROL!$C$16, $D$10, 100%, $F$10)</f>
        <v>6.1551</v>
      </c>
      <c r="D100" s="8">
        <f>CHOOSE( CONTROL!$C$33, 6.1475, 6.1464) * CHOOSE( CONTROL!$C$16, $D$10, 100%, $F$10)</f>
        <v>6.1475</v>
      </c>
      <c r="E100" s="12">
        <f>CHOOSE( CONTROL!$C$33, 6.1497, 6.1486) * CHOOSE( CONTROL!$C$16, $D$10, 100%, $F$10)</f>
        <v>6.1497000000000002</v>
      </c>
      <c r="F100" s="4">
        <f>CHOOSE( CONTROL!$C$33, 6.8129, 6.8118) * CHOOSE(CONTROL!$C$16, $D$10, 100%, $F$10)</f>
        <v>6.8129</v>
      </c>
      <c r="G100" s="8">
        <f>CHOOSE( CONTROL!$C$33, 6.1071, 6.106) * CHOOSE( CONTROL!$C$16, $D$10, 100%, $F$10)</f>
        <v>6.1071</v>
      </c>
      <c r="H100" s="4">
        <f>CHOOSE( CONTROL!$C$33, 6.9917, 6.9906) * CHOOSE(CONTROL!$C$16, $D$10, 100%, $F$10)</f>
        <v>6.9916999999999998</v>
      </c>
      <c r="I100" s="8">
        <f>CHOOSE( CONTROL!$C$33, 6.1356, 6.1346) * CHOOSE(CONTROL!$C$16, $D$10, 100%, $F$10)</f>
        <v>6.1356000000000002</v>
      </c>
      <c r="J100" s="4">
        <f>CHOOSE( CONTROL!$C$33, 5.9717, 5.9706) * CHOOSE(CONTROL!$C$16, $D$10, 100%, $F$10)</f>
        <v>5.9717000000000002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33.011299999999999</v>
      </c>
      <c r="R100" s="9"/>
      <c r="S100" s="11"/>
    </row>
    <row r="101" spans="1:19" ht="15" customHeight="1">
      <c r="A101" s="13">
        <v>44228</v>
      </c>
      <c r="B101" s="8">
        <f>CHOOSE( CONTROL!$C$33, 5.7514, 5.7503) * CHOOSE(CONTROL!$C$16, $D$10, 100%, $F$10)</f>
        <v>5.7514000000000003</v>
      </c>
      <c r="C101" s="8">
        <f>CHOOSE( CONTROL!$C$33, 5.7565, 5.7554) * CHOOSE(CONTROL!$C$16, $D$10, 100%, $F$10)</f>
        <v>5.7565</v>
      </c>
      <c r="D101" s="8">
        <f>CHOOSE( CONTROL!$C$33, 5.7487, 5.7475) * CHOOSE( CONTROL!$C$16, $D$10, 100%, $F$10)</f>
        <v>5.7487000000000004</v>
      </c>
      <c r="E101" s="12">
        <f>CHOOSE( CONTROL!$C$33, 5.751, 5.7498) * CHOOSE( CONTROL!$C$16, $D$10, 100%, $F$10)</f>
        <v>5.7510000000000003</v>
      </c>
      <c r="F101" s="4">
        <f>CHOOSE( CONTROL!$C$33, 6.4143, 6.4131) * CHOOSE(CONTROL!$C$16, $D$10, 100%, $F$10)</f>
        <v>6.4142999999999999</v>
      </c>
      <c r="G101" s="8">
        <f>CHOOSE( CONTROL!$C$33, 5.7139, 5.7128) * CHOOSE( CONTROL!$C$16, $D$10, 100%, $F$10)</f>
        <v>5.7138999999999998</v>
      </c>
      <c r="H101" s="4">
        <f>CHOOSE( CONTROL!$C$33, 6.5986, 6.5975) * CHOOSE(CONTROL!$C$16, $D$10, 100%, $F$10)</f>
        <v>6.5986000000000002</v>
      </c>
      <c r="I101" s="8">
        <f>CHOOSE( CONTROL!$C$33, 5.7489, 5.7478) * CHOOSE(CONTROL!$C$16, $D$10, 100%, $F$10)</f>
        <v>5.7488999999999999</v>
      </c>
      <c r="J101" s="4">
        <f>CHOOSE( CONTROL!$C$33, 5.5857, 5.5846) * CHOOSE(CONTROL!$C$16, $D$10, 100%, $F$10)</f>
        <v>5.5857000000000001</v>
      </c>
      <c r="K101" s="4"/>
      <c r="L101" s="9">
        <v>26.469899999999999</v>
      </c>
      <c r="M101" s="9">
        <v>10.8962</v>
      </c>
      <c r="N101" s="9">
        <v>4.4660000000000002</v>
      </c>
      <c r="O101" s="9">
        <v>0.33789999999999998</v>
      </c>
      <c r="P101" s="9">
        <v>1.1676</v>
      </c>
      <c r="Q101" s="9">
        <v>29.816600000000001</v>
      </c>
      <c r="R101" s="9"/>
      <c r="S101" s="11"/>
    </row>
    <row r="102" spans="1:19" ht="15" customHeight="1">
      <c r="A102" s="13">
        <v>44256</v>
      </c>
      <c r="B102" s="8">
        <f>CHOOSE( CONTROL!$C$33, 5.6286, 5.6275) * CHOOSE(CONTROL!$C$16, $D$10, 100%, $F$10)</f>
        <v>5.6285999999999996</v>
      </c>
      <c r="C102" s="8">
        <f>CHOOSE( CONTROL!$C$33, 5.6337, 5.6326) * CHOOSE(CONTROL!$C$16, $D$10, 100%, $F$10)</f>
        <v>5.6337000000000002</v>
      </c>
      <c r="D102" s="8">
        <f>CHOOSE( CONTROL!$C$33, 5.6252, 5.624) * CHOOSE( CONTROL!$C$16, $D$10, 100%, $F$10)</f>
        <v>5.6252000000000004</v>
      </c>
      <c r="E102" s="12">
        <f>CHOOSE( CONTROL!$C$33, 5.6278, 5.6266) * CHOOSE( CONTROL!$C$16, $D$10, 100%, $F$10)</f>
        <v>5.6277999999999997</v>
      </c>
      <c r="F102" s="4">
        <f>CHOOSE( CONTROL!$C$33, 6.2915, 6.2904) * CHOOSE(CONTROL!$C$16, $D$10, 100%, $F$10)</f>
        <v>6.2915000000000001</v>
      </c>
      <c r="G102" s="8">
        <f>CHOOSE( CONTROL!$C$33, 5.5923, 5.5912) * CHOOSE( CONTROL!$C$16, $D$10, 100%, $F$10)</f>
        <v>5.5922999999999998</v>
      </c>
      <c r="H102" s="4">
        <f>CHOOSE( CONTROL!$C$33, 6.4775, 6.4764) * CHOOSE(CONTROL!$C$16, $D$10, 100%, $F$10)</f>
        <v>6.4775</v>
      </c>
      <c r="I102" s="8">
        <f>CHOOSE( CONTROL!$C$33, 5.6277, 5.6266) * CHOOSE(CONTROL!$C$16, $D$10, 100%, $F$10)</f>
        <v>5.6276999999999999</v>
      </c>
      <c r="J102" s="4">
        <f>CHOOSE( CONTROL!$C$33, 5.4668, 5.4658) * CHOOSE(CONTROL!$C$16, $D$10, 100%, $F$10)</f>
        <v>5.4668000000000001</v>
      </c>
      <c r="K102" s="4"/>
      <c r="L102" s="9">
        <v>29.306000000000001</v>
      </c>
      <c r="M102" s="9">
        <v>12.063700000000001</v>
      </c>
      <c r="N102" s="9">
        <v>4.9444999999999997</v>
      </c>
      <c r="O102" s="9">
        <v>0.37409999999999999</v>
      </c>
      <c r="P102" s="9">
        <v>1.2927</v>
      </c>
      <c r="Q102" s="9">
        <v>33.011299999999999</v>
      </c>
      <c r="R102" s="9"/>
      <c r="S102" s="11"/>
    </row>
    <row r="103" spans="1:19" ht="15" customHeight="1">
      <c r="A103" s="13">
        <v>44287</v>
      </c>
      <c r="B103" s="8">
        <f>CHOOSE( CONTROL!$C$33, 5.7152, 5.714) * CHOOSE(CONTROL!$C$16, $D$10, 100%, $F$10)</f>
        <v>5.7152000000000003</v>
      </c>
      <c r="C103" s="8">
        <f>CHOOSE( CONTROL!$C$33, 5.7197, 5.7186) * CHOOSE(CONTROL!$C$16, $D$10, 100%, $F$10)</f>
        <v>5.7196999999999996</v>
      </c>
      <c r="D103" s="8">
        <f>CHOOSE( CONTROL!$C$33, 5.7486, 5.7474) * CHOOSE( CONTROL!$C$16, $D$10, 100%, $F$10)</f>
        <v>5.7485999999999997</v>
      </c>
      <c r="E103" s="12">
        <f>CHOOSE( CONTROL!$C$33, 5.7385, 5.7374) * CHOOSE( CONTROL!$C$16, $D$10, 100%, $F$10)</f>
        <v>5.7385000000000002</v>
      </c>
      <c r="F103" s="4">
        <f>CHOOSE( CONTROL!$C$33, 6.4935, 6.4923) * CHOOSE(CONTROL!$C$16, $D$10, 100%, $F$10)</f>
        <v>6.4935</v>
      </c>
      <c r="G103" s="8">
        <f>CHOOSE( CONTROL!$C$33, 5.6978, 5.6967) * CHOOSE( CONTROL!$C$16, $D$10, 100%, $F$10)</f>
        <v>5.6978</v>
      </c>
      <c r="H103" s="4">
        <f>CHOOSE( CONTROL!$C$33, 6.6767, 6.6756) * CHOOSE(CONTROL!$C$16, $D$10, 100%, $F$10)</f>
        <v>6.6767000000000003</v>
      </c>
      <c r="I103" s="8">
        <f>CHOOSE( CONTROL!$C$33, 5.6688, 5.6677) * CHOOSE(CONTROL!$C$16, $D$10, 100%, $F$10)</f>
        <v>5.6688000000000001</v>
      </c>
      <c r="J103" s="4">
        <f>CHOOSE( CONTROL!$C$33, 5.5499, 5.5488) * CHOOSE(CONTROL!$C$16, $D$10, 100%, $F$10)</f>
        <v>5.5499000000000001</v>
      </c>
      <c r="K103" s="4"/>
      <c r="L103" s="9">
        <v>30.092199999999998</v>
      </c>
      <c r="M103" s="9">
        <v>11.6745</v>
      </c>
      <c r="N103" s="9">
        <v>4.7850000000000001</v>
      </c>
      <c r="O103" s="9">
        <v>0.36199999999999999</v>
      </c>
      <c r="P103" s="9">
        <v>1.2509999999999999</v>
      </c>
      <c r="Q103" s="9">
        <v>31.946400000000001</v>
      </c>
      <c r="R103" s="9"/>
      <c r="S103" s="11"/>
    </row>
    <row r="104" spans="1:19" ht="15" customHeight="1">
      <c r="A104" s="13">
        <v>44317</v>
      </c>
      <c r="B104" s="8">
        <f>CHOOSE( CONTROL!$C$33, 5.8697, 5.8681) * CHOOSE(CONTROL!$C$16, $D$10, 100%, $F$10)</f>
        <v>5.8696999999999999</v>
      </c>
      <c r="C104" s="8">
        <f>CHOOSE( CONTROL!$C$33, 5.8777, 5.8761) * CHOOSE(CONTROL!$C$16, $D$10, 100%, $F$10)</f>
        <v>5.8776999999999999</v>
      </c>
      <c r="D104" s="8">
        <f>CHOOSE( CONTROL!$C$33, 5.8999, 5.8983) * CHOOSE( CONTROL!$C$16, $D$10, 100%, $F$10)</f>
        <v>5.8998999999999997</v>
      </c>
      <c r="E104" s="12">
        <f>CHOOSE( CONTROL!$C$33, 5.8906, 5.889) * CHOOSE( CONTROL!$C$16, $D$10, 100%, $F$10)</f>
        <v>5.8906000000000001</v>
      </c>
      <c r="F104" s="4">
        <f>CHOOSE( CONTROL!$C$33, 6.6466, 6.645) * CHOOSE(CONTROL!$C$16, $D$10, 100%, $F$10)</f>
        <v>6.6466000000000003</v>
      </c>
      <c r="G104" s="8">
        <f>CHOOSE( CONTROL!$C$33, 5.8488, 5.8472) * CHOOSE( CONTROL!$C$16, $D$10, 100%, $F$10)</f>
        <v>5.8487999999999998</v>
      </c>
      <c r="H104" s="4">
        <f>CHOOSE( CONTROL!$C$33, 6.8277, 6.8262) * CHOOSE(CONTROL!$C$16, $D$10, 100%, $F$10)</f>
        <v>6.8277000000000001</v>
      </c>
      <c r="I104" s="8">
        <f>CHOOSE( CONTROL!$C$33, 5.8167, 5.8152) * CHOOSE(CONTROL!$C$16, $D$10, 100%, $F$10)</f>
        <v>5.8167</v>
      </c>
      <c r="J104" s="4">
        <f>CHOOSE( CONTROL!$C$33, 5.6982, 5.6967) * CHOOSE(CONTROL!$C$16, $D$10, 100%, $F$10)</f>
        <v>5.6981999999999999</v>
      </c>
      <c r="K104" s="4"/>
      <c r="L104" s="9">
        <v>30.7165</v>
      </c>
      <c r="M104" s="9">
        <v>12.063700000000001</v>
      </c>
      <c r="N104" s="9">
        <v>4.9444999999999997</v>
      </c>
      <c r="O104" s="9">
        <v>0.37409999999999999</v>
      </c>
      <c r="P104" s="9">
        <v>1.2927</v>
      </c>
      <c r="Q104" s="9">
        <v>33.011299999999999</v>
      </c>
      <c r="R104" s="9"/>
      <c r="S104" s="11"/>
    </row>
    <row r="105" spans="1:19" ht="15" customHeight="1">
      <c r="A105" s="13">
        <v>44348</v>
      </c>
      <c r="B105" s="8">
        <f>CHOOSE( CONTROL!$C$33, 5.7751, 5.7735) * CHOOSE(CONTROL!$C$16, $D$10, 100%, $F$10)</f>
        <v>5.7751000000000001</v>
      </c>
      <c r="C105" s="8">
        <f>CHOOSE( CONTROL!$C$33, 5.7831, 5.7815) * CHOOSE(CONTROL!$C$16, $D$10, 100%, $F$10)</f>
        <v>5.7831000000000001</v>
      </c>
      <c r="D105" s="8">
        <f>CHOOSE( CONTROL!$C$33, 5.8055, 5.8039) * CHOOSE( CONTROL!$C$16, $D$10, 100%, $F$10)</f>
        <v>5.8055000000000003</v>
      </c>
      <c r="E105" s="12">
        <f>CHOOSE( CONTROL!$C$33, 5.7962, 5.7946) * CHOOSE( CONTROL!$C$16, $D$10, 100%, $F$10)</f>
        <v>5.7961999999999998</v>
      </c>
      <c r="F105" s="4">
        <f>CHOOSE( CONTROL!$C$33, 6.552, 6.5504) * CHOOSE(CONTROL!$C$16, $D$10, 100%, $F$10)</f>
        <v>6.5519999999999996</v>
      </c>
      <c r="G105" s="8">
        <f>CHOOSE( CONTROL!$C$33, 5.7556, 5.7541) * CHOOSE( CONTROL!$C$16, $D$10, 100%, $F$10)</f>
        <v>5.7556000000000003</v>
      </c>
      <c r="H105" s="4">
        <f>CHOOSE( CONTROL!$C$33, 6.7344, 6.7329) * CHOOSE(CONTROL!$C$16, $D$10, 100%, $F$10)</f>
        <v>6.7343999999999999</v>
      </c>
      <c r="I105" s="8">
        <f>CHOOSE( CONTROL!$C$33, 5.7257, 5.7242) * CHOOSE(CONTROL!$C$16, $D$10, 100%, $F$10)</f>
        <v>5.7256999999999998</v>
      </c>
      <c r="J105" s="4">
        <f>CHOOSE( CONTROL!$C$33, 5.6066, 5.6051) * CHOOSE(CONTROL!$C$16, $D$10, 100%, $F$10)</f>
        <v>5.6066000000000003</v>
      </c>
      <c r="K105" s="4"/>
      <c r="L105" s="9">
        <v>29.7257</v>
      </c>
      <c r="M105" s="9">
        <v>11.6745</v>
      </c>
      <c r="N105" s="9">
        <v>4.7850000000000001</v>
      </c>
      <c r="O105" s="9">
        <v>0.36199999999999999</v>
      </c>
      <c r="P105" s="9">
        <v>1.2509999999999999</v>
      </c>
      <c r="Q105" s="9">
        <v>31.946400000000001</v>
      </c>
      <c r="R105" s="9"/>
      <c r="S105" s="11"/>
    </row>
    <row r="106" spans="1:19" ht="15" customHeight="1">
      <c r="A106" s="13">
        <v>44378</v>
      </c>
      <c r="B106" s="8">
        <f>CHOOSE( CONTROL!$C$33, 6.0242, 6.0226) * CHOOSE(CONTROL!$C$16, $D$10, 100%, $F$10)</f>
        <v>6.0242000000000004</v>
      </c>
      <c r="C106" s="8">
        <f>CHOOSE( CONTROL!$C$33, 6.0322, 6.0306) * CHOOSE(CONTROL!$C$16, $D$10, 100%, $F$10)</f>
        <v>6.0321999999999996</v>
      </c>
      <c r="D106" s="8">
        <f>CHOOSE( CONTROL!$C$33, 6.0548, 6.0532) * CHOOSE( CONTROL!$C$16, $D$10, 100%, $F$10)</f>
        <v>6.0548000000000002</v>
      </c>
      <c r="E106" s="12">
        <f>CHOOSE( CONTROL!$C$33, 6.0454, 6.0438) * CHOOSE( CONTROL!$C$16, $D$10, 100%, $F$10)</f>
        <v>6.0453999999999999</v>
      </c>
      <c r="F106" s="4">
        <f>CHOOSE( CONTROL!$C$33, 6.8011, 6.7995) * CHOOSE(CONTROL!$C$16, $D$10, 100%, $F$10)</f>
        <v>6.8010999999999999</v>
      </c>
      <c r="G106" s="8">
        <f>CHOOSE( CONTROL!$C$33, 6.0014, 5.9999) * CHOOSE( CONTROL!$C$16, $D$10, 100%, $F$10)</f>
        <v>6.0014000000000003</v>
      </c>
      <c r="H106" s="4">
        <f>CHOOSE( CONTROL!$C$33, 6.98, 6.9785) * CHOOSE(CONTROL!$C$16, $D$10, 100%, $F$10)</f>
        <v>6.98</v>
      </c>
      <c r="I106" s="8">
        <f>CHOOSE( CONTROL!$C$33, 5.9678, 5.9663) * CHOOSE(CONTROL!$C$16, $D$10, 100%, $F$10)</f>
        <v>5.9678000000000004</v>
      </c>
      <c r="J106" s="4">
        <f>CHOOSE( CONTROL!$C$33, 5.8478, 5.8463) * CHOOSE(CONTROL!$C$16, $D$10, 100%, $F$10)</f>
        <v>5.8478000000000003</v>
      </c>
      <c r="K106" s="4"/>
      <c r="L106" s="9">
        <v>30.7165</v>
      </c>
      <c r="M106" s="9">
        <v>12.063700000000001</v>
      </c>
      <c r="N106" s="9">
        <v>4.9444999999999997</v>
      </c>
      <c r="O106" s="9">
        <v>0.37409999999999999</v>
      </c>
      <c r="P106" s="9">
        <v>1.2927</v>
      </c>
      <c r="Q106" s="9">
        <v>33.011299999999999</v>
      </c>
      <c r="R106" s="9"/>
      <c r="S106" s="11"/>
    </row>
    <row r="107" spans="1:19" ht="15" customHeight="1">
      <c r="A107" s="13">
        <v>44409</v>
      </c>
      <c r="B107" s="8">
        <f>CHOOSE( CONTROL!$C$33, 5.5581, 5.5565) * CHOOSE(CONTROL!$C$16, $D$10, 100%, $F$10)</f>
        <v>5.5580999999999996</v>
      </c>
      <c r="C107" s="8">
        <f>CHOOSE( CONTROL!$C$33, 5.5661, 5.5645) * CHOOSE(CONTROL!$C$16, $D$10, 100%, $F$10)</f>
        <v>5.5660999999999996</v>
      </c>
      <c r="D107" s="8">
        <f>CHOOSE( CONTROL!$C$33, 5.5888, 5.5872) * CHOOSE( CONTROL!$C$16, $D$10, 100%, $F$10)</f>
        <v>5.5888</v>
      </c>
      <c r="E107" s="12">
        <f>CHOOSE( CONTROL!$C$33, 5.5794, 5.5778) * CHOOSE( CONTROL!$C$16, $D$10, 100%, $F$10)</f>
        <v>5.5793999999999997</v>
      </c>
      <c r="F107" s="4">
        <f>CHOOSE( CONTROL!$C$33, 6.335, 6.3335) * CHOOSE(CONTROL!$C$16, $D$10, 100%, $F$10)</f>
        <v>6.335</v>
      </c>
      <c r="G107" s="8">
        <f>CHOOSE( CONTROL!$C$33, 5.5419, 5.5403) * CHOOSE( CONTROL!$C$16, $D$10, 100%, $F$10)</f>
        <v>5.5419</v>
      </c>
      <c r="H107" s="4">
        <f>CHOOSE( CONTROL!$C$33, 6.5205, 6.5189) * CHOOSE(CONTROL!$C$16, $D$10, 100%, $F$10)</f>
        <v>6.5205000000000002</v>
      </c>
      <c r="I107" s="8">
        <f>CHOOSE( CONTROL!$C$33, 5.5164, 5.5149) * CHOOSE(CONTROL!$C$16, $D$10, 100%, $F$10)</f>
        <v>5.5164</v>
      </c>
      <c r="J107" s="4">
        <f>CHOOSE( CONTROL!$C$33, 5.3965, 5.395) * CHOOSE(CONTROL!$C$16, $D$10, 100%, $F$10)</f>
        <v>5.3964999999999996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1.2927</v>
      </c>
      <c r="Q107" s="9">
        <v>33.011299999999999</v>
      </c>
      <c r="R107" s="9"/>
      <c r="S107" s="11"/>
    </row>
    <row r="108" spans="1:19" ht="15" customHeight="1">
      <c r="A108" s="13">
        <v>44440</v>
      </c>
      <c r="B108" s="8">
        <f>CHOOSE( CONTROL!$C$33, 5.4414, 5.4398) * CHOOSE(CONTROL!$C$16, $D$10, 100%, $F$10)</f>
        <v>5.4413999999999998</v>
      </c>
      <c r="C108" s="8">
        <f>CHOOSE( CONTROL!$C$33, 5.4494, 5.4478) * CHOOSE(CONTROL!$C$16, $D$10, 100%, $F$10)</f>
        <v>5.4493999999999998</v>
      </c>
      <c r="D108" s="8">
        <f>CHOOSE( CONTROL!$C$33, 5.4719, 5.4704) * CHOOSE( CONTROL!$C$16, $D$10, 100%, $F$10)</f>
        <v>5.4718999999999998</v>
      </c>
      <c r="E108" s="12">
        <f>CHOOSE( CONTROL!$C$33, 5.4625, 5.461) * CHOOSE( CONTROL!$C$16, $D$10, 100%, $F$10)</f>
        <v>5.4625000000000004</v>
      </c>
      <c r="F108" s="4">
        <f>CHOOSE( CONTROL!$C$33, 6.2183, 6.2167) * CHOOSE(CONTROL!$C$16, $D$10, 100%, $F$10)</f>
        <v>6.2183000000000002</v>
      </c>
      <c r="G108" s="8">
        <f>CHOOSE( CONTROL!$C$33, 5.4267, 5.4252) * CHOOSE( CONTROL!$C$16, $D$10, 100%, $F$10)</f>
        <v>5.4267000000000003</v>
      </c>
      <c r="H108" s="4">
        <f>CHOOSE( CONTROL!$C$33, 6.4054, 6.4039) * CHOOSE(CONTROL!$C$16, $D$10, 100%, $F$10)</f>
        <v>6.4054000000000002</v>
      </c>
      <c r="I108" s="8">
        <f>CHOOSE( CONTROL!$C$33, 5.4029, 5.4014) * CHOOSE(CONTROL!$C$16, $D$10, 100%, $F$10)</f>
        <v>5.4028999999999998</v>
      </c>
      <c r="J108" s="4">
        <f>CHOOSE( CONTROL!$C$33, 5.2835, 5.282) * CHOOSE(CONTROL!$C$16, $D$10, 100%, $F$10)</f>
        <v>5.2835000000000001</v>
      </c>
      <c r="K108" s="4"/>
      <c r="L108" s="9">
        <v>29.7257</v>
      </c>
      <c r="M108" s="9">
        <v>11.6745</v>
      </c>
      <c r="N108" s="9">
        <v>4.7850000000000001</v>
      </c>
      <c r="O108" s="9">
        <v>0.36199999999999999</v>
      </c>
      <c r="P108" s="9">
        <v>1.2509999999999999</v>
      </c>
      <c r="Q108" s="9">
        <v>31.946400000000001</v>
      </c>
      <c r="R108" s="9"/>
      <c r="S108" s="11"/>
    </row>
    <row r="109" spans="1:19" ht="15" customHeight="1">
      <c r="A109" s="13">
        <v>44470</v>
      </c>
      <c r="B109" s="8">
        <f>CHOOSE( CONTROL!$C$33, 5.6816, 5.6804) * CHOOSE(CONTROL!$C$16, $D$10, 100%, $F$10)</f>
        <v>5.6816000000000004</v>
      </c>
      <c r="C109" s="8">
        <f>CHOOSE( CONTROL!$C$33, 5.6869, 5.6858) * CHOOSE(CONTROL!$C$16, $D$10, 100%, $F$10)</f>
        <v>5.6868999999999996</v>
      </c>
      <c r="D109" s="8">
        <f>CHOOSE( CONTROL!$C$33, 5.7157, 5.7146) * CHOOSE( CONTROL!$C$16, $D$10, 100%, $F$10)</f>
        <v>5.7157</v>
      </c>
      <c r="E109" s="12">
        <f>CHOOSE( CONTROL!$C$33, 5.7056, 5.7045) * CHOOSE( CONTROL!$C$16, $D$10, 100%, $F$10)</f>
        <v>5.7055999999999996</v>
      </c>
      <c r="F109" s="4">
        <f>CHOOSE( CONTROL!$C$33, 6.4602, 6.4591) * CHOOSE(CONTROL!$C$16, $D$10, 100%, $F$10)</f>
        <v>6.4602000000000004</v>
      </c>
      <c r="G109" s="8">
        <f>CHOOSE( CONTROL!$C$33, 5.6653, 5.6642) * CHOOSE( CONTROL!$C$16, $D$10, 100%, $F$10)</f>
        <v>5.6653000000000002</v>
      </c>
      <c r="H109" s="4">
        <f>CHOOSE( CONTROL!$C$33, 6.6439, 6.6428) * CHOOSE(CONTROL!$C$16, $D$10, 100%, $F$10)</f>
        <v>6.6439000000000004</v>
      </c>
      <c r="I109" s="8">
        <f>CHOOSE( CONTROL!$C$33, 5.6378, 5.6368) * CHOOSE(CONTROL!$C$16, $D$10, 100%, $F$10)</f>
        <v>5.6378000000000004</v>
      </c>
      <c r="J109" s="4">
        <f>CHOOSE( CONTROL!$C$33, 5.5177, 5.5166) * CHOOSE(CONTROL!$C$16, $D$10, 100%, $F$10)</f>
        <v>5.5176999999999996</v>
      </c>
      <c r="K109" s="4"/>
      <c r="L109" s="9">
        <v>31.095300000000002</v>
      </c>
      <c r="M109" s="9">
        <v>12.063700000000001</v>
      </c>
      <c r="N109" s="9">
        <v>4.9444999999999997</v>
      </c>
      <c r="O109" s="9">
        <v>0.37409999999999999</v>
      </c>
      <c r="P109" s="9">
        <v>1.2927</v>
      </c>
      <c r="Q109" s="9">
        <v>33.011299999999999</v>
      </c>
      <c r="R109" s="9"/>
      <c r="S109" s="11"/>
    </row>
    <row r="110" spans="1:19" ht="15" customHeight="1">
      <c r="A110" s="13">
        <v>44501</v>
      </c>
      <c r="B110" s="8">
        <f>CHOOSE( CONTROL!$C$33, 6.1284, 6.1273) * CHOOSE(CONTROL!$C$16, $D$10, 100%, $F$10)</f>
        <v>6.1284000000000001</v>
      </c>
      <c r="C110" s="8">
        <f>CHOOSE( CONTROL!$C$33, 6.1335, 6.1324) * CHOOSE(CONTROL!$C$16, $D$10, 100%, $F$10)</f>
        <v>6.1334999999999997</v>
      </c>
      <c r="D110" s="8">
        <f>CHOOSE( CONTROL!$C$33, 6.1132, 6.1121) * CHOOSE( CONTROL!$C$16, $D$10, 100%, $F$10)</f>
        <v>6.1132</v>
      </c>
      <c r="E110" s="12">
        <f>CHOOSE( CONTROL!$C$33, 6.1201, 6.119) * CHOOSE( CONTROL!$C$16, $D$10, 100%, $F$10)</f>
        <v>6.1200999999999999</v>
      </c>
      <c r="F110" s="4">
        <f>CHOOSE( CONTROL!$C$33, 6.7913, 6.7902) * CHOOSE(CONTROL!$C$16, $D$10, 100%, $F$10)</f>
        <v>6.7912999999999997</v>
      </c>
      <c r="G110" s="8">
        <f>CHOOSE( CONTROL!$C$33, 6.0789, 6.0778) * CHOOSE( CONTROL!$C$16, $D$10, 100%, $F$10)</f>
        <v>6.0789</v>
      </c>
      <c r="H110" s="4">
        <f>CHOOSE( CONTROL!$C$33, 6.9704, 6.9693) * CHOOSE(CONTROL!$C$16, $D$10, 100%, $F$10)</f>
        <v>6.9703999999999997</v>
      </c>
      <c r="I110" s="8">
        <f>CHOOSE( CONTROL!$C$33, 6.119, 6.1179) * CHOOSE(CONTROL!$C$16, $D$10, 100%, $F$10)</f>
        <v>6.1189999999999998</v>
      </c>
      <c r="J110" s="4">
        <f>CHOOSE( CONTROL!$C$33, 5.9508, 5.9497) * CHOOSE(CONTROL!$C$16, $D$10, 100%, $F$10)</f>
        <v>5.9508000000000001</v>
      </c>
      <c r="K110" s="4"/>
      <c r="L110" s="9">
        <v>28.360600000000002</v>
      </c>
      <c r="M110" s="9">
        <v>11.6745</v>
      </c>
      <c r="N110" s="9">
        <v>4.7850000000000001</v>
      </c>
      <c r="O110" s="9">
        <v>0.36199999999999999</v>
      </c>
      <c r="P110" s="9">
        <v>1.2509999999999999</v>
      </c>
      <c r="Q110" s="9">
        <v>31.946400000000001</v>
      </c>
      <c r="R110" s="9"/>
      <c r="S110" s="11"/>
    </row>
    <row r="111" spans="1:19" ht="15" customHeight="1">
      <c r="A111" s="13">
        <v>44531</v>
      </c>
      <c r="B111" s="8">
        <f>CHOOSE( CONTROL!$C$33, 6.1173, 6.1161) * CHOOSE(CONTROL!$C$16, $D$10, 100%, $F$10)</f>
        <v>6.1173000000000002</v>
      </c>
      <c r="C111" s="8">
        <f>CHOOSE( CONTROL!$C$33, 6.1224, 6.1212) * CHOOSE(CONTROL!$C$16, $D$10, 100%, $F$10)</f>
        <v>6.1223999999999998</v>
      </c>
      <c r="D111" s="8">
        <f>CHOOSE( CONTROL!$C$33, 6.1035, 6.1024) * CHOOSE( CONTROL!$C$16, $D$10, 100%, $F$10)</f>
        <v>6.1035000000000004</v>
      </c>
      <c r="E111" s="12">
        <f>CHOOSE( CONTROL!$C$33, 6.1099, 6.1087) * CHOOSE( CONTROL!$C$16, $D$10, 100%, $F$10)</f>
        <v>6.1098999999999997</v>
      </c>
      <c r="F111" s="4">
        <f>CHOOSE( CONTROL!$C$33, 6.7801, 6.779) * CHOOSE(CONTROL!$C$16, $D$10, 100%, $F$10)</f>
        <v>6.7801</v>
      </c>
      <c r="G111" s="8">
        <f>CHOOSE( CONTROL!$C$33, 6.0689, 6.0678) * CHOOSE( CONTROL!$C$16, $D$10, 100%, $F$10)</f>
        <v>6.0689000000000002</v>
      </c>
      <c r="H111" s="4">
        <f>CHOOSE( CONTROL!$C$33, 6.9594, 6.9583) * CHOOSE(CONTROL!$C$16, $D$10, 100%, $F$10)</f>
        <v>6.9593999999999996</v>
      </c>
      <c r="I111" s="8">
        <f>CHOOSE( CONTROL!$C$33, 6.1127, 6.1116) * CHOOSE(CONTROL!$C$16, $D$10, 100%, $F$10)</f>
        <v>6.1127000000000002</v>
      </c>
      <c r="J111" s="4">
        <f>CHOOSE( CONTROL!$C$33, 5.94, 5.9389) * CHOOSE(CONTROL!$C$16, $D$10, 100%, $F$10)</f>
        <v>5.94</v>
      </c>
      <c r="K111" s="4"/>
      <c r="L111" s="9">
        <v>29.306000000000001</v>
      </c>
      <c r="M111" s="9">
        <v>12.063700000000001</v>
      </c>
      <c r="N111" s="9">
        <v>4.9444999999999997</v>
      </c>
      <c r="O111" s="9">
        <v>0.37409999999999999</v>
      </c>
      <c r="P111" s="9">
        <v>1.2927</v>
      </c>
      <c r="Q111" s="9">
        <v>33.011299999999999</v>
      </c>
      <c r="R111" s="9"/>
      <c r="S111" s="11"/>
    </row>
    <row r="112" spans="1:19" ht="15" customHeight="1">
      <c r="A112" s="13">
        <v>44562</v>
      </c>
      <c r="B112" s="8">
        <f>CHOOSE( CONTROL!$C$33, 6.3683, 6.3672) * CHOOSE(CONTROL!$C$16, $D$10, 100%, $F$10)</f>
        <v>6.3682999999999996</v>
      </c>
      <c r="C112" s="8">
        <f>CHOOSE( CONTROL!$C$33, 6.3734, 6.3723) * CHOOSE(CONTROL!$C$16, $D$10, 100%, $F$10)</f>
        <v>6.3734000000000002</v>
      </c>
      <c r="D112" s="8">
        <f>CHOOSE( CONTROL!$C$33, 6.3657, 6.3646) * CHOOSE( CONTROL!$C$16, $D$10, 100%, $F$10)</f>
        <v>6.3657000000000004</v>
      </c>
      <c r="E112" s="12">
        <f>CHOOSE( CONTROL!$C$33, 6.368, 6.3669) * CHOOSE( CONTROL!$C$16, $D$10, 100%, $F$10)</f>
        <v>6.3680000000000003</v>
      </c>
      <c r="F112" s="4">
        <f>CHOOSE( CONTROL!$C$33, 7.0311, 7.03) * CHOOSE(CONTROL!$C$16, $D$10, 100%, $F$10)</f>
        <v>7.0311000000000003</v>
      </c>
      <c r="G112" s="8">
        <f>CHOOSE( CONTROL!$C$33, 6.3223, 6.3212) * CHOOSE( CONTROL!$C$16, $D$10, 100%, $F$10)</f>
        <v>6.3223000000000003</v>
      </c>
      <c r="H112" s="4">
        <f>CHOOSE( CONTROL!$C$33, 7.2069, 7.2058) * CHOOSE(CONTROL!$C$16, $D$10, 100%, $F$10)</f>
        <v>7.2069000000000001</v>
      </c>
      <c r="I112" s="8">
        <f>CHOOSE( CONTROL!$C$33, 6.3471, 6.346) * CHOOSE(CONTROL!$C$16, $D$10, 100%, $F$10)</f>
        <v>6.3471000000000002</v>
      </c>
      <c r="J112" s="4">
        <f>CHOOSE( CONTROL!$C$33, 6.1831, 6.182) * CHOOSE(CONTROL!$C$16, $D$10, 100%, $F$10)</f>
        <v>6.1830999999999996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32.8123</v>
      </c>
      <c r="R112" s="9"/>
      <c r="S112" s="11"/>
    </row>
    <row r="113" spans="1:19" ht="15" customHeight="1">
      <c r="A113" s="13">
        <v>44593</v>
      </c>
      <c r="B113" s="8">
        <f>CHOOSE( CONTROL!$C$33, 5.9555, 5.9544) * CHOOSE(CONTROL!$C$16, $D$10, 100%, $F$10)</f>
        <v>5.9554999999999998</v>
      </c>
      <c r="C113" s="8">
        <f>CHOOSE( CONTROL!$C$33, 5.9606, 5.9595) * CHOOSE(CONTROL!$C$16, $D$10, 100%, $F$10)</f>
        <v>5.9606000000000003</v>
      </c>
      <c r="D113" s="8">
        <f>CHOOSE( CONTROL!$C$33, 5.9528, 5.9517) * CHOOSE( CONTROL!$C$16, $D$10, 100%, $F$10)</f>
        <v>5.9527999999999999</v>
      </c>
      <c r="E113" s="12">
        <f>CHOOSE( CONTROL!$C$33, 5.9551, 5.954) * CHOOSE( CONTROL!$C$16, $D$10, 100%, $F$10)</f>
        <v>5.9550999999999998</v>
      </c>
      <c r="F113" s="4">
        <f>CHOOSE( CONTROL!$C$33, 6.6184, 6.6173) * CHOOSE(CONTROL!$C$16, $D$10, 100%, $F$10)</f>
        <v>6.6184000000000003</v>
      </c>
      <c r="G113" s="8">
        <f>CHOOSE( CONTROL!$C$33, 5.9152, 5.9141) * CHOOSE( CONTROL!$C$16, $D$10, 100%, $F$10)</f>
        <v>5.9151999999999996</v>
      </c>
      <c r="H113" s="4">
        <f>CHOOSE( CONTROL!$C$33, 6.7999, 6.7988) * CHOOSE(CONTROL!$C$16, $D$10, 100%, $F$10)</f>
        <v>6.7999000000000001</v>
      </c>
      <c r="I113" s="8">
        <f>CHOOSE( CONTROL!$C$33, 5.9467, 5.9456) * CHOOSE(CONTROL!$C$16, $D$10, 100%, $F$10)</f>
        <v>5.9466999999999999</v>
      </c>
      <c r="J113" s="4">
        <f>CHOOSE( CONTROL!$C$33, 5.7834, 5.7823) * CHOOSE(CONTROL!$C$16, $D$10, 100%, $F$10)</f>
        <v>5.7834000000000003</v>
      </c>
      <c r="K113" s="4"/>
      <c r="L113" s="9">
        <v>26.469899999999999</v>
      </c>
      <c r="M113" s="9">
        <v>10.8962</v>
      </c>
      <c r="N113" s="9">
        <v>4.4660000000000002</v>
      </c>
      <c r="O113" s="9">
        <v>0.33789999999999998</v>
      </c>
      <c r="P113" s="9">
        <v>1.1676</v>
      </c>
      <c r="Q113" s="9">
        <v>29.636900000000001</v>
      </c>
      <c r="R113" s="9"/>
      <c r="S113" s="11"/>
    </row>
    <row r="114" spans="1:19" ht="15" customHeight="1">
      <c r="A114" s="13">
        <v>44621</v>
      </c>
      <c r="B114" s="8">
        <f>CHOOSE( CONTROL!$C$33, 5.8284, 5.8273) * CHOOSE(CONTROL!$C$16, $D$10, 100%, $F$10)</f>
        <v>5.8284000000000002</v>
      </c>
      <c r="C114" s="8">
        <f>CHOOSE( CONTROL!$C$33, 5.8335, 5.8324) * CHOOSE(CONTROL!$C$16, $D$10, 100%, $F$10)</f>
        <v>5.8334999999999999</v>
      </c>
      <c r="D114" s="8">
        <f>CHOOSE( CONTROL!$C$33, 5.825, 5.8238) * CHOOSE( CONTROL!$C$16, $D$10, 100%, $F$10)</f>
        <v>5.8250000000000002</v>
      </c>
      <c r="E114" s="12">
        <f>CHOOSE( CONTROL!$C$33, 5.8276, 5.8264) * CHOOSE( CONTROL!$C$16, $D$10, 100%, $F$10)</f>
        <v>5.8276000000000003</v>
      </c>
      <c r="F114" s="4">
        <f>CHOOSE( CONTROL!$C$33, 6.4913, 6.4902) * CHOOSE(CONTROL!$C$16, $D$10, 100%, $F$10)</f>
        <v>6.4912999999999998</v>
      </c>
      <c r="G114" s="8">
        <f>CHOOSE( CONTROL!$C$33, 5.7893, 5.7882) * CHOOSE( CONTROL!$C$16, $D$10, 100%, $F$10)</f>
        <v>5.7892999999999999</v>
      </c>
      <c r="H114" s="4">
        <f>CHOOSE( CONTROL!$C$33, 6.6746, 6.6735) * CHOOSE(CONTROL!$C$16, $D$10, 100%, $F$10)</f>
        <v>6.6745999999999999</v>
      </c>
      <c r="I114" s="8">
        <f>CHOOSE( CONTROL!$C$33, 5.8212, 5.8201) * CHOOSE(CONTROL!$C$16, $D$10, 100%, $F$10)</f>
        <v>5.8212000000000002</v>
      </c>
      <c r="J114" s="4">
        <f>CHOOSE( CONTROL!$C$33, 5.6603, 5.6592) * CHOOSE(CONTROL!$C$16, $D$10, 100%, $F$10)</f>
        <v>5.6603000000000003</v>
      </c>
      <c r="K114" s="4"/>
      <c r="L114" s="9">
        <v>29.306000000000001</v>
      </c>
      <c r="M114" s="9">
        <v>12.063700000000001</v>
      </c>
      <c r="N114" s="9">
        <v>4.9444999999999997</v>
      </c>
      <c r="O114" s="9">
        <v>0.37409999999999999</v>
      </c>
      <c r="P114" s="9">
        <v>1.2927</v>
      </c>
      <c r="Q114" s="9">
        <v>32.8123</v>
      </c>
      <c r="R114" s="9"/>
      <c r="S114" s="11"/>
    </row>
    <row r="115" spans="1:19" ht="15" customHeight="1">
      <c r="A115" s="13">
        <v>44652</v>
      </c>
      <c r="B115" s="8">
        <f>CHOOSE( CONTROL!$C$33, 5.918, 5.9169) * CHOOSE(CONTROL!$C$16, $D$10, 100%, $F$10)</f>
        <v>5.9180000000000001</v>
      </c>
      <c r="C115" s="8">
        <f>CHOOSE( CONTROL!$C$33, 5.9225, 5.9214) * CHOOSE(CONTROL!$C$16, $D$10, 100%, $F$10)</f>
        <v>5.9225000000000003</v>
      </c>
      <c r="D115" s="8">
        <f>CHOOSE( CONTROL!$C$33, 5.9514, 5.9503) * CHOOSE( CONTROL!$C$16, $D$10, 100%, $F$10)</f>
        <v>5.9513999999999996</v>
      </c>
      <c r="E115" s="12">
        <f>CHOOSE( CONTROL!$C$33, 5.9413, 5.9402) * CHOOSE( CONTROL!$C$16, $D$10, 100%, $F$10)</f>
        <v>5.9413</v>
      </c>
      <c r="F115" s="4">
        <f>CHOOSE( CONTROL!$C$33, 6.6963, 6.6952) * CHOOSE(CONTROL!$C$16, $D$10, 100%, $F$10)</f>
        <v>6.6962999999999999</v>
      </c>
      <c r="G115" s="8">
        <f>CHOOSE( CONTROL!$C$33, 5.8978, 5.8967) * CHOOSE( CONTROL!$C$16, $D$10, 100%, $F$10)</f>
        <v>5.8978000000000002</v>
      </c>
      <c r="H115" s="4">
        <f>CHOOSE( CONTROL!$C$33, 6.8767, 6.8756) * CHOOSE(CONTROL!$C$16, $D$10, 100%, $F$10)</f>
        <v>6.8766999999999996</v>
      </c>
      <c r="I115" s="8">
        <f>CHOOSE( CONTROL!$C$33, 5.8653, 5.8642) * CHOOSE(CONTROL!$C$16, $D$10, 100%, $F$10)</f>
        <v>5.8653000000000004</v>
      </c>
      <c r="J115" s="4">
        <f>CHOOSE( CONTROL!$C$33, 5.7463, 5.7452) * CHOOSE(CONTROL!$C$16, $D$10, 100%, $F$10)</f>
        <v>5.7462999999999997</v>
      </c>
      <c r="K115" s="4"/>
      <c r="L115" s="9">
        <v>30.092199999999998</v>
      </c>
      <c r="M115" s="9">
        <v>11.6745</v>
      </c>
      <c r="N115" s="9">
        <v>4.7850000000000001</v>
      </c>
      <c r="O115" s="9">
        <v>0.36199999999999999</v>
      </c>
      <c r="P115" s="9">
        <v>1.2509999999999999</v>
      </c>
      <c r="Q115" s="9">
        <v>31.753799999999998</v>
      </c>
      <c r="R115" s="9"/>
      <c r="S115" s="11"/>
    </row>
    <row r="116" spans="1:19" ht="15" customHeight="1">
      <c r="A116" s="13">
        <v>44682</v>
      </c>
      <c r="B116" s="8">
        <f>CHOOSE( CONTROL!$C$33, 6.0779, 6.0764) * CHOOSE(CONTROL!$C$16, $D$10, 100%, $F$10)</f>
        <v>6.0778999999999996</v>
      </c>
      <c r="C116" s="8">
        <f>CHOOSE( CONTROL!$C$33, 6.0859, 6.0844) * CHOOSE(CONTROL!$C$16, $D$10, 100%, $F$10)</f>
        <v>6.0858999999999996</v>
      </c>
      <c r="D116" s="8">
        <f>CHOOSE( CONTROL!$C$33, 6.1082, 6.1066) * CHOOSE( CONTROL!$C$16, $D$10, 100%, $F$10)</f>
        <v>6.1082000000000001</v>
      </c>
      <c r="E116" s="12">
        <f>CHOOSE( CONTROL!$C$33, 6.0989, 6.0973) * CHOOSE( CONTROL!$C$16, $D$10, 100%, $F$10)</f>
        <v>6.0989000000000004</v>
      </c>
      <c r="F116" s="4">
        <f>CHOOSE( CONTROL!$C$33, 6.8548, 6.8533) * CHOOSE(CONTROL!$C$16, $D$10, 100%, $F$10)</f>
        <v>6.8548</v>
      </c>
      <c r="G116" s="8">
        <f>CHOOSE( CONTROL!$C$33, 6.0541, 6.0526) * CHOOSE( CONTROL!$C$16, $D$10, 100%, $F$10)</f>
        <v>6.0541</v>
      </c>
      <c r="H116" s="4">
        <f>CHOOSE( CONTROL!$C$33, 7.0331, 7.0315) * CHOOSE(CONTROL!$C$16, $D$10, 100%, $F$10)</f>
        <v>7.0331000000000001</v>
      </c>
      <c r="I116" s="8">
        <f>CHOOSE( CONTROL!$C$33, 6.0185, 6.017) * CHOOSE(CONTROL!$C$16, $D$10, 100%, $F$10)</f>
        <v>6.0185000000000004</v>
      </c>
      <c r="J116" s="4">
        <f>CHOOSE( CONTROL!$C$33, 5.8998, 5.8983) * CHOOSE(CONTROL!$C$16, $D$10, 100%, $F$10)</f>
        <v>5.8997999999999999</v>
      </c>
      <c r="K116" s="4"/>
      <c r="L116" s="9">
        <v>30.7165</v>
      </c>
      <c r="M116" s="9">
        <v>12.063700000000001</v>
      </c>
      <c r="N116" s="9">
        <v>4.9444999999999997</v>
      </c>
      <c r="O116" s="9">
        <v>0.37409999999999999</v>
      </c>
      <c r="P116" s="9">
        <v>1.2927</v>
      </c>
      <c r="Q116" s="9">
        <v>32.8123</v>
      </c>
      <c r="R116" s="9"/>
      <c r="S116" s="11"/>
    </row>
    <row r="117" spans="1:19" ht="15" customHeight="1">
      <c r="A117" s="13">
        <v>44713</v>
      </c>
      <c r="B117" s="8">
        <f>CHOOSE( CONTROL!$C$33, 5.98, 5.9784) * CHOOSE(CONTROL!$C$16, $D$10, 100%, $F$10)</f>
        <v>5.98</v>
      </c>
      <c r="C117" s="8">
        <f>CHOOSE( CONTROL!$C$33, 5.988, 5.9864) * CHOOSE(CONTROL!$C$16, $D$10, 100%, $F$10)</f>
        <v>5.9880000000000004</v>
      </c>
      <c r="D117" s="8">
        <f>CHOOSE( CONTROL!$C$33, 6.0104, 6.0088) * CHOOSE( CONTROL!$C$16, $D$10, 100%, $F$10)</f>
        <v>6.0103999999999997</v>
      </c>
      <c r="E117" s="12">
        <f>CHOOSE( CONTROL!$C$33, 6.0011, 5.9995) * CHOOSE( CONTROL!$C$16, $D$10, 100%, $F$10)</f>
        <v>6.0011000000000001</v>
      </c>
      <c r="F117" s="4">
        <f>CHOOSE( CONTROL!$C$33, 6.7569, 6.7553) * CHOOSE(CONTROL!$C$16, $D$10, 100%, $F$10)</f>
        <v>6.7568999999999999</v>
      </c>
      <c r="G117" s="8">
        <f>CHOOSE( CONTROL!$C$33, 5.9577, 5.9561) * CHOOSE( CONTROL!$C$16, $D$10, 100%, $F$10)</f>
        <v>5.9577</v>
      </c>
      <c r="H117" s="4">
        <f>CHOOSE( CONTROL!$C$33, 6.9365, 6.9349) * CHOOSE(CONTROL!$C$16, $D$10, 100%, $F$10)</f>
        <v>6.9364999999999997</v>
      </c>
      <c r="I117" s="8">
        <f>CHOOSE( CONTROL!$C$33, 5.9242, 5.9227) * CHOOSE(CONTROL!$C$16, $D$10, 100%, $F$10)</f>
        <v>5.9241999999999999</v>
      </c>
      <c r="J117" s="4">
        <f>CHOOSE( CONTROL!$C$33, 5.805, 5.8035) * CHOOSE(CONTROL!$C$16, $D$10, 100%, $F$10)</f>
        <v>5.8049999999999997</v>
      </c>
      <c r="K117" s="4"/>
      <c r="L117" s="9">
        <v>29.7257</v>
      </c>
      <c r="M117" s="9">
        <v>11.6745</v>
      </c>
      <c r="N117" s="9">
        <v>4.7850000000000001</v>
      </c>
      <c r="O117" s="9">
        <v>0.36199999999999999</v>
      </c>
      <c r="P117" s="9">
        <v>1.2509999999999999</v>
      </c>
      <c r="Q117" s="9">
        <v>31.753799999999998</v>
      </c>
      <c r="R117" s="9"/>
      <c r="S117" s="11"/>
    </row>
    <row r="118" spans="1:19" ht="15" customHeight="1">
      <c r="A118" s="13">
        <v>44743</v>
      </c>
      <c r="B118" s="8">
        <f>CHOOSE( CONTROL!$C$33, 6.2379, 6.2363) * CHOOSE(CONTROL!$C$16, $D$10, 100%, $F$10)</f>
        <v>6.2378999999999998</v>
      </c>
      <c r="C118" s="8">
        <f>CHOOSE( CONTROL!$C$33, 6.2459, 6.2443) * CHOOSE(CONTROL!$C$16, $D$10, 100%, $F$10)</f>
        <v>6.2458999999999998</v>
      </c>
      <c r="D118" s="8">
        <f>CHOOSE( CONTROL!$C$33, 6.2685, 6.2669) * CHOOSE( CONTROL!$C$16, $D$10, 100%, $F$10)</f>
        <v>6.2685000000000004</v>
      </c>
      <c r="E118" s="12">
        <f>CHOOSE( CONTROL!$C$33, 6.2591, 6.2575) * CHOOSE( CONTROL!$C$16, $D$10, 100%, $F$10)</f>
        <v>6.2591000000000001</v>
      </c>
      <c r="F118" s="4">
        <f>CHOOSE( CONTROL!$C$33, 7.0148, 7.0132) * CHOOSE(CONTROL!$C$16, $D$10, 100%, $F$10)</f>
        <v>7.0148000000000001</v>
      </c>
      <c r="G118" s="8">
        <f>CHOOSE( CONTROL!$C$33, 6.2122, 6.2106) * CHOOSE( CONTROL!$C$16, $D$10, 100%, $F$10)</f>
        <v>6.2122000000000002</v>
      </c>
      <c r="H118" s="4">
        <f>CHOOSE( CONTROL!$C$33, 7.1908, 7.1892) * CHOOSE(CONTROL!$C$16, $D$10, 100%, $F$10)</f>
        <v>7.1908000000000003</v>
      </c>
      <c r="I118" s="8">
        <f>CHOOSE( CONTROL!$C$33, 6.1748, 6.1733) * CHOOSE(CONTROL!$C$16, $D$10, 100%, $F$10)</f>
        <v>6.1748000000000003</v>
      </c>
      <c r="J118" s="4">
        <f>CHOOSE( CONTROL!$C$33, 6.0547, 6.0532) * CHOOSE(CONTROL!$C$16, $D$10, 100%, $F$10)</f>
        <v>6.0547000000000004</v>
      </c>
      <c r="K118" s="4"/>
      <c r="L118" s="9">
        <v>30.7165</v>
      </c>
      <c r="M118" s="9">
        <v>12.063700000000001</v>
      </c>
      <c r="N118" s="9">
        <v>4.9444999999999997</v>
      </c>
      <c r="O118" s="9">
        <v>0.37409999999999999</v>
      </c>
      <c r="P118" s="9">
        <v>1.2927</v>
      </c>
      <c r="Q118" s="9">
        <v>32.8123</v>
      </c>
      <c r="R118" s="9"/>
      <c r="S118" s="11"/>
    </row>
    <row r="119" spans="1:19" ht="15" customHeight="1">
      <c r="A119" s="13">
        <v>44774</v>
      </c>
      <c r="B119" s="8">
        <f>CHOOSE( CONTROL!$C$33, 5.7553, 5.7538) * CHOOSE(CONTROL!$C$16, $D$10, 100%, $F$10)</f>
        <v>5.7553000000000001</v>
      </c>
      <c r="C119" s="8">
        <f>CHOOSE( CONTROL!$C$33, 5.7633, 5.7618) * CHOOSE(CONTROL!$C$16, $D$10, 100%, $F$10)</f>
        <v>5.7633000000000001</v>
      </c>
      <c r="D119" s="8">
        <f>CHOOSE( CONTROL!$C$33, 5.786, 5.7844) * CHOOSE( CONTROL!$C$16, $D$10, 100%, $F$10)</f>
        <v>5.7859999999999996</v>
      </c>
      <c r="E119" s="12">
        <f>CHOOSE( CONTROL!$C$33, 5.7766, 5.775) * CHOOSE( CONTROL!$C$16, $D$10, 100%, $F$10)</f>
        <v>5.7766000000000002</v>
      </c>
      <c r="F119" s="4">
        <f>CHOOSE( CONTROL!$C$33, 6.5322, 6.5307) * CHOOSE(CONTROL!$C$16, $D$10, 100%, $F$10)</f>
        <v>6.5321999999999996</v>
      </c>
      <c r="G119" s="8">
        <f>CHOOSE( CONTROL!$C$33, 5.7364, 5.7348) * CHOOSE( CONTROL!$C$16, $D$10, 100%, $F$10)</f>
        <v>5.7363999999999997</v>
      </c>
      <c r="H119" s="4">
        <f>CHOOSE( CONTROL!$C$33, 6.715, 6.7134) * CHOOSE(CONTROL!$C$16, $D$10, 100%, $F$10)</f>
        <v>6.7149999999999999</v>
      </c>
      <c r="I119" s="8">
        <f>CHOOSE( CONTROL!$C$33, 5.7075, 5.706) * CHOOSE(CONTROL!$C$16, $D$10, 100%, $F$10)</f>
        <v>5.7074999999999996</v>
      </c>
      <c r="J119" s="4">
        <f>CHOOSE( CONTROL!$C$33, 5.5875, 5.586) * CHOOSE(CONTROL!$C$16, $D$10, 100%, $F$10)</f>
        <v>5.5875000000000004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1.2927</v>
      </c>
      <c r="Q119" s="9">
        <v>32.8123</v>
      </c>
      <c r="R119" s="9"/>
      <c r="S119" s="11"/>
    </row>
    <row r="120" spans="1:19" ht="15" customHeight="1">
      <c r="A120" s="13">
        <v>44805</v>
      </c>
      <c r="B120" s="8">
        <f>CHOOSE( CONTROL!$C$33, 5.6345, 5.6329) * CHOOSE(CONTROL!$C$16, $D$10, 100%, $F$10)</f>
        <v>5.6345000000000001</v>
      </c>
      <c r="C120" s="8">
        <f>CHOOSE( CONTROL!$C$33, 5.6425, 5.6409) * CHOOSE(CONTROL!$C$16, $D$10, 100%, $F$10)</f>
        <v>5.6425000000000001</v>
      </c>
      <c r="D120" s="8">
        <f>CHOOSE( CONTROL!$C$33, 5.665, 5.6635) * CHOOSE( CONTROL!$C$16, $D$10, 100%, $F$10)</f>
        <v>5.665</v>
      </c>
      <c r="E120" s="12">
        <f>CHOOSE( CONTROL!$C$33, 5.6556, 5.6541) * CHOOSE( CONTROL!$C$16, $D$10, 100%, $F$10)</f>
        <v>5.6555999999999997</v>
      </c>
      <c r="F120" s="4">
        <f>CHOOSE( CONTROL!$C$33, 6.4114, 6.4098) * CHOOSE(CONTROL!$C$16, $D$10, 100%, $F$10)</f>
        <v>6.4114000000000004</v>
      </c>
      <c r="G120" s="8">
        <f>CHOOSE( CONTROL!$C$33, 5.6171, 5.6156) * CHOOSE( CONTROL!$C$16, $D$10, 100%, $F$10)</f>
        <v>5.6170999999999998</v>
      </c>
      <c r="H120" s="4">
        <f>CHOOSE( CONTROL!$C$33, 6.5958, 6.5943) * CHOOSE(CONTROL!$C$16, $D$10, 100%, $F$10)</f>
        <v>6.5957999999999997</v>
      </c>
      <c r="I120" s="8">
        <f>CHOOSE( CONTROL!$C$33, 5.59, 5.5885) * CHOOSE(CONTROL!$C$16, $D$10, 100%, $F$10)</f>
        <v>5.59</v>
      </c>
      <c r="J120" s="4">
        <f>CHOOSE( CONTROL!$C$33, 5.4705, 5.469) * CHOOSE(CONTROL!$C$16, $D$10, 100%, $F$10)</f>
        <v>5.4705000000000004</v>
      </c>
      <c r="K120" s="4"/>
      <c r="L120" s="9">
        <v>29.7257</v>
      </c>
      <c r="M120" s="9">
        <v>11.6745</v>
      </c>
      <c r="N120" s="9">
        <v>4.7850000000000001</v>
      </c>
      <c r="O120" s="9">
        <v>0.36199999999999999</v>
      </c>
      <c r="P120" s="9">
        <v>1.2509999999999999</v>
      </c>
      <c r="Q120" s="9">
        <v>31.753799999999998</v>
      </c>
      <c r="R120" s="9"/>
      <c r="S120" s="11"/>
    </row>
    <row r="121" spans="1:19" ht="15" customHeight="1">
      <c r="A121" s="13">
        <v>44835</v>
      </c>
      <c r="B121" s="8">
        <f>CHOOSE( CONTROL!$C$33, 5.8832, 5.8821) * CHOOSE(CONTROL!$C$16, $D$10, 100%, $F$10)</f>
        <v>5.8832000000000004</v>
      </c>
      <c r="C121" s="8">
        <f>CHOOSE( CONTROL!$C$33, 5.8886, 5.8875) * CHOOSE(CONTROL!$C$16, $D$10, 100%, $F$10)</f>
        <v>5.8886000000000003</v>
      </c>
      <c r="D121" s="8">
        <f>CHOOSE( CONTROL!$C$33, 5.9173, 5.9162) * CHOOSE( CONTROL!$C$16, $D$10, 100%, $F$10)</f>
        <v>5.9173</v>
      </c>
      <c r="E121" s="12">
        <f>CHOOSE( CONTROL!$C$33, 5.9073, 5.9062) * CHOOSE( CONTROL!$C$16, $D$10, 100%, $F$10)</f>
        <v>5.9073000000000002</v>
      </c>
      <c r="F121" s="4">
        <f>CHOOSE( CONTROL!$C$33, 6.6619, 6.6607) * CHOOSE(CONTROL!$C$16, $D$10, 100%, $F$10)</f>
        <v>6.6619000000000002</v>
      </c>
      <c r="G121" s="8">
        <f>CHOOSE( CONTROL!$C$33, 5.8642, 5.8631) * CHOOSE( CONTROL!$C$16, $D$10, 100%, $F$10)</f>
        <v>5.8642000000000003</v>
      </c>
      <c r="H121" s="4">
        <f>CHOOSE( CONTROL!$C$33, 6.8428, 6.8417) * CHOOSE(CONTROL!$C$16, $D$10, 100%, $F$10)</f>
        <v>6.8428000000000004</v>
      </c>
      <c r="I121" s="8">
        <f>CHOOSE( CONTROL!$C$33, 5.8332, 5.8321) * CHOOSE(CONTROL!$C$16, $D$10, 100%, $F$10)</f>
        <v>5.8331999999999997</v>
      </c>
      <c r="J121" s="4">
        <f>CHOOSE( CONTROL!$C$33, 5.713, 5.7119) * CHOOSE(CONTROL!$C$16, $D$10, 100%, $F$10)</f>
        <v>5.7130000000000001</v>
      </c>
      <c r="K121" s="4"/>
      <c r="L121" s="9">
        <v>31.095300000000002</v>
      </c>
      <c r="M121" s="9">
        <v>12.063700000000001</v>
      </c>
      <c r="N121" s="9">
        <v>4.9444999999999997</v>
      </c>
      <c r="O121" s="9">
        <v>0.37409999999999999</v>
      </c>
      <c r="P121" s="9">
        <v>1.2927</v>
      </c>
      <c r="Q121" s="9">
        <v>32.8123</v>
      </c>
      <c r="R121" s="9"/>
      <c r="S121" s="11"/>
    </row>
    <row r="122" spans="1:19" ht="15" customHeight="1">
      <c r="A122" s="13">
        <v>44866</v>
      </c>
      <c r="B122" s="8">
        <f>CHOOSE( CONTROL!$C$33, 6.3459, 6.3448) * CHOOSE(CONTROL!$C$16, $D$10, 100%, $F$10)</f>
        <v>6.3459000000000003</v>
      </c>
      <c r="C122" s="8">
        <f>CHOOSE( CONTROL!$C$33, 6.351, 6.3499) * CHOOSE(CONTROL!$C$16, $D$10, 100%, $F$10)</f>
        <v>6.351</v>
      </c>
      <c r="D122" s="8">
        <f>CHOOSE( CONTROL!$C$33, 6.3307, 6.3296) * CHOOSE( CONTROL!$C$16, $D$10, 100%, $F$10)</f>
        <v>6.3307000000000002</v>
      </c>
      <c r="E122" s="12">
        <f>CHOOSE( CONTROL!$C$33, 6.3376, 6.3365) * CHOOSE( CONTROL!$C$16, $D$10, 100%, $F$10)</f>
        <v>6.3376000000000001</v>
      </c>
      <c r="F122" s="4">
        <f>CHOOSE( CONTROL!$C$33, 7.0088, 7.0077) * CHOOSE(CONTROL!$C$16, $D$10, 100%, $F$10)</f>
        <v>7.0087999999999999</v>
      </c>
      <c r="G122" s="8">
        <f>CHOOSE( CONTROL!$C$33, 6.2934, 6.2922) * CHOOSE( CONTROL!$C$16, $D$10, 100%, $F$10)</f>
        <v>6.2934000000000001</v>
      </c>
      <c r="H122" s="4">
        <f>CHOOSE( CONTROL!$C$33, 7.1849, 7.1838) * CHOOSE(CONTROL!$C$16, $D$10, 100%, $F$10)</f>
        <v>7.1848999999999998</v>
      </c>
      <c r="I122" s="8">
        <f>CHOOSE( CONTROL!$C$33, 6.3297, 6.3286) * CHOOSE(CONTROL!$C$16, $D$10, 100%, $F$10)</f>
        <v>6.3296999999999999</v>
      </c>
      <c r="J122" s="4">
        <f>CHOOSE( CONTROL!$C$33, 6.1614, 6.1603) * CHOOSE(CONTROL!$C$16, $D$10, 100%, $F$10)</f>
        <v>6.1614000000000004</v>
      </c>
      <c r="K122" s="4"/>
      <c r="L122" s="9">
        <v>28.360600000000002</v>
      </c>
      <c r="M122" s="9">
        <v>11.6745</v>
      </c>
      <c r="N122" s="9">
        <v>4.7850000000000001</v>
      </c>
      <c r="O122" s="9">
        <v>0.36199999999999999</v>
      </c>
      <c r="P122" s="9">
        <v>1.2509999999999999</v>
      </c>
      <c r="Q122" s="9">
        <v>31.753799999999998</v>
      </c>
      <c r="R122" s="9"/>
      <c r="S122" s="11"/>
    </row>
    <row r="123" spans="1:19" ht="15" customHeight="1">
      <c r="A123" s="13">
        <v>44896</v>
      </c>
      <c r="B123" s="8">
        <f>CHOOSE( CONTROL!$C$33, 6.3344, 6.3332) * CHOOSE(CONTROL!$C$16, $D$10, 100%, $F$10)</f>
        <v>6.3343999999999996</v>
      </c>
      <c r="C123" s="8">
        <f>CHOOSE( CONTROL!$C$33, 6.3395, 6.3383) * CHOOSE(CONTROL!$C$16, $D$10, 100%, $F$10)</f>
        <v>6.3395000000000001</v>
      </c>
      <c r="D123" s="8">
        <f>CHOOSE( CONTROL!$C$33, 6.3206, 6.3195) * CHOOSE( CONTROL!$C$16, $D$10, 100%, $F$10)</f>
        <v>6.3205999999999998</v>
      </c>
      <c r="E123" s="12">
        <f>CHOOSE( CONTROL!$C$33, 6.327, 6.3258) * CHOOSE( CONTROL!$C$16, $D$10, 100%, $F$10)</f>
        <v>6.327</v>
      </c>
      <c r="F123" s="4">
        <f>CHOOSE( CONTROL!$C$33, 6.9972, 6.9961) * CHOOSE(CONTROL!$C$16, $D$10, 100%, $F$10)</f>
        <v>6.9972000000000003</v>
      </c>
      <c r="G123" s="8">
        <f>CHOOSE( CONTROL!$C$33, 6.283, 6.2819) * CHOOSE( CONTROL!$C$16, $D$10, 100%, $F$10)</f>
        <v>6.2830000000000004</v>
      </c>
      <c r="H123" s="4">
        <f>CHOOSE( CONTROL!$C$33, 7.1735, 7.1723) * CHOOSE(CONTROL!$C$16, $D$10, 100%, $F$10)</f>
        <v>7.1734999999999998</v>
      </c>
      <c r="I123" s="8">
        <f>CHOOSE( CONTROL!$C$33, 6.323, 6.3219) * CHOOSE(CONTROL!$C$16, $D$10, 100%, $F$10)</f>
        <v>6.3230000000000004</v>
      </c>
      <c r="J123" s="4">
        <f>CHOOSE( CONTROL!$C$33, 6.1502, 6.1491) * CHOOSE(CONTROL!$C$16, $D$10, 100%, $F$10)</f>
        <v>6.1501999999999999</v>
      </c>
      <c r="K123" s="4"/>
      <c r="L123" s="9">
        <v>29.306000000000001</v>
      </c>
      <c r="M123" s="9">
        <v>12.063700000000001</v>
      </c>
      <c r="N123" s="9">
        <v>4.9444999999999997</v>
      </c>
      <c r="O123" s="9">
        <v>0.37409999999999999</v>
      </c>
      <c r="P123" s="9">
        <v>1.2927</v>
      </c>
      <c r="Q123" s="9">
        <v>32.8123</v>
      </c>
      <c r="R123" s="9"/>
      <c r="S123" s="11"/>
    </row>
    <row r="124" spans="1:19" ht="15" customHeight="1">
      <c r="A124" s="13">
        <v>44927</v>
      </c>
      <c r="B124" s="8">
        <f>CHOOSE( CONTROL!$C$33, 6.5865, 6.5854) * CHOOSE(CONTROL!$C$16, $D$10, 100%, $F$10)</f>
        <v>6.5865</v>
      </c>
      <c r="C124" s="8">
        <f>CHOOSE( CONTROL!$C$33, 6.5916, 6.5905) * CHOOSE(CONTROL!$C$16, $D$10, 100%, $F$10)</f>
        <v>6.5915999999999997</v>
      </c>
      <c r="D124" s="8">
        <f>CHOOSE( CONTROL!$C$33, 6.584, 6.5829) * CHOOSE( CONTROL!$C$16, $D$10, 100%, $F$10)</f>
        <v>6.5839999999999996</v>
      </c>
      <c r="E124" s="12">
        <f>CHOOSE( CONTROL!$C$33, 6.5862, 6.5851) * CHOOSE( CONTROL!$C$16, $D$10, 100%, $F$10)</f>
        <v>6.5861999999999998</v>
      </c>
      <c r="F124" s="4">
        <f>CHOOSE( CONTROL!$C$33, 7.2494, 7.2483) * CHOOSE(CONTROL!$C$16, $D$10, 100%, $F$10)</f>
        <v>7.2493999999999996</v>
      </c>
      <c r="G124" s="8">
        <f>CHOOSE( CONTROL!$C$33, 6.5375, 6.5364) * CHOOSE( CONTROL!$C$16, $D$10, 100%, $F$10)</f>
        <v>6.5374999999999996</v>
      </c>
      <c r="H124" s="4">
        <f>CHOOSE( CONTROL!$C$33, 7.4221, 7.421) * CHOOSE(CONTROL!$C$16, $D$10, 100%, $F$10)</f>
        <v>7.4221000000000004</v>
      </c>
      <c r="I124" s="8">
        <f>CHOOSE( CONTROL!$C$33, 6.5586, 6.5575) * CHOOSE(CONTROL!$C$16, $D$10, 100%, $F$10)</f>
        <v>6.5586000000000002</v>
      </c>
      <c r="J124" s="4">
        <f>CHOOSE( CONTROL!$C$33, 6.3944, 6.3933) * CHOOSE(CONTROL!$C$16, $D$10, 100%, $F$10)</f>
        <v>6.3944000000000001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32.624400000000001</v>
      </c>
      <c r="R124" s="9"/>
      <c r="S124" s="11"/>
    </row>
    <row r="125" spans="1:19" ht="15" customHeight="1">
      <c r="A125" s="13">
        <v>44958</v>
      </c>
      <c r="B125" s="8">
        <f>CHOOSE( CONTROL!$C$33, 6.1597, 6.1586) * CHOOSE(CONTROL!$C$16, $D$10, 100%, $F$10)</f>
        <v>6.1597</v>
      </c>
      <c r="C125" s="8">
        <f>CHOOSE( CONTROL!$C$33, 6.1648, 6.1637) * CHOOSE(CONTROL!$C$16, $D$10, 100%, $F$10)</f>
        <v>6.1647999999999996</v>
      </c>
      <c r="D125" s="8">
        <f>CHOOSE( CONTROL!$C$33, 6.157, 6.1559) * CHOOSE( CONTROL!$C$16, $D$10, 100%, $F$10)</f>
        <v>6.157</v>
      </c>
      <c r="E125" s="12">
        <f>CHOOSE( CONTROL!$C$33, 6.1593, 6.1582) * CHOOSE( CONTROL!$C$16, $D$10, 100%, $F$10)</f>
        <v>6.1593</v>
      </c>
      <c r="F125" s="4">
        <f>CHOOSE( CONTROL!$C$33, 6.8226, 6.8214) * CHOOSE(CONTROL!$C$16, $D$10, 100%, $F$10)</f>
        <v>6.8226000000000004</v>
      </c>
      <c r="G125" s="8">
        <f>CHOOSE( CONTROL!$C$33, 6.1165, 6.1154) * CHOOSE( CONTROL!$C$16, $D$10, 100%, $F$10)</f>
        <v>6.1165000000000003</v>
      </c>
      <c r="H125" s="4">
        <f>CHOOSE( CONTROL!$C$33, 7.0012, 7.0001) * CHOOSE(CONTROL!$C$16, $D$10, 100%, $F$10)</f>
        <v>7.0011999999999999</v>
      </c>
      <c r="I125" s="8">
        <f>CHOOSE( CONTROL!$C$33, 6.1445, 6.1434) * CHOOSE(CONTROL!$C$16, $D$10, 100%, $F$10)</f>
        <v>6.1444999999999999</v>
      </c>
      <c r="J125" s="4">
        <f>CHOOSE( CONTROL!$C$33, 5.9811, 5.98) * CHOOSE(CONTROL!$C$16, $D$10, 100%, $F$10)</f>
        <v>5.9810999999999996</v>
      </c>
      <c r="K125" s="4"/>
      <c r="L125" s="9">
        <v>26.469899999999999</v>
      </c>
      <c r="M125" s="9">
        <v>10.8962</v>
      </c>
      <c r="N125" s="9">
        <v>4.4660000000000002</v>
      </c>
      <c r="O125" s="9">
        <v>0.33789999999999998</v>
      </c>
      <c r="P125" s="9">
        <v>1.1676</v>
      </c>
      <c r="Q125" s="9">
        <v>29.467199999999998</v>
      </c>
      <c r="R125" s="9"/>
      <c r="S125" s="11"/>
    </row>
    <row r="126" spans="1:19" ht="15" customHeight="1">
      <c r="A126" s="13">
        <v>44986</v>
      </c>
      <c r="B126" s="8">
        <f>CHOOSE( CONTROL!$C$33, 6.0282, 6.0271) * CHOOSE(CONTROL!$C$16, $D$10, 100%, $F$10)</f>
        <v>6.0282</v>
      </c>
      <c r="C126" s="8">
        <f>CHOOSE( CONTROL!$C$33, 6.0333, 6.0322) * CHOOSE(CONTROL!$C$16, $D$10, 100%, $F$10)</f>
        <v>6.0332999999999997</v>
      </c>
      <c r="D126" s="8">
        <f>CHOOSE( CONTROL!$C$33, 6.0248, 6.0237) * CHOOSE( CONTROL!$C$16, $D$10, 100%, $F$10)</f>
        <v>6.0247999999999999</v>
      </c>
      <c r="E126" s="12">
        <f>CHOOSE( CONTROL!$C$33, 6.0274, 6.0263) * CHOOSE( CONTROL!$C$16, $D$10, 100%, $F$10)</f>
        <v>6.0274000000000001</v>
      </c>
      <c r="F126" s="4">
        <f>CHOOSE( CONTROL!$C$33, 6.6911, 6.69) * CHOOSE(CONTROL!$C$16, $D$10, 100%, $F$10)</f>
        <v>6.6910999999999996</v>
      </c>
      <c r="G126" s="8">
        <f>CHOOSE( CONTROL!$C$33, 5.9863, 5.9852) * CHOOSE( CONTROL!$C$16, $D$10, 100%, $F$10)</f>
        <v>5.9863</v>
      </c>
      <c r="H126" s="4">
        <f>CHOOSE( CONTROL!$C$33, 6.8716, 6.8705) * CHOOSE(CONTROL!$C$16, $D$10, 100%, $F$10)</f>
        <v>6.8715999999999999</v>
      </c>
      <c r="I126" s="8">
        <f>CHOOSE( CONTROL!$C$33, 6.0148, 6.0137) * CHOOSE(CONTROL!$C$16, $D$10, 100%, $F$10)</f>
        <v>6.0148000000000001</v>
      </c>
      <c r="J126" s="4">
        <f>CHOOSE( CONTROL!$C$33, 5.8538, 5.8527) * CHOOSE(CONTROL!$C$16, $D$10, 100%, $F$10)</f>
        <v>5.8537999999999997</v>
      </c>
      <c r="K126" s="4"/>
      <c r="L126" s="9">
        <v>29.306000000000001</v>
      </c>
      <c r="M126" s="9">
        <v>12.063700000000001</v>
      </c>
      <c r="N126" s="9">
        <v>4.9444999999999997</v>
      </c>
      <c r="O126" s="9">
        <v>0.37409999999999999</v>
      </c>
      <c r="P126" s="9">
        <v>1.2927</v>
      </c>
      <c r="Q126" s="9">
        <v>32.624400000000001</v>
      </c>
      <c r="R126" s="9"/>
      <c r="S126" s="11"/>
    </row>
    <row r="127" spans="1:19" ht="15" customHeight="1">
      <c r="A127" s="13">
        <v>45017</v>
      </c>
      <c r="B127" s="8">
        <f>CHOOSE( CONTROL!$C$33, 6.1209, 6.1197) * CHOOSE(CONTROL!$C$16, $D$10, 100%, $F$10)</f>
        <v>6.1208999999999998</v>
      </c>
      <c r="C127" s="8">
        <f>CHOOSE( CONTROL!$C$33, 6.1254, 6.1243) * CHOOSE(CONTROL!$C$16, $D$10, 100%, $F$10)</f>
        <v>6.1254</v>
      </c>
      <c r="D127" s="8">
        <f>CHOOSE( CONTROL!$C$33, 6.1543, 6.1531) * CHOOSE( CONTROL!$C$16, $D$10, 100%, $F$10)</f>
        <v>6.1543000000000001</v>
      </c>
      <c r="E127" s="12">
        <f>CHOOSE( CONTROL!$C$33, 6.1442, 6.1431) * CHOOSE( CONTROL!$C$16, $D$10, 100%, $F$10)</f>
        <v>6.1441999999999997</v>
      </c>
      <c r="F127" s="4">
        <f>CHOOSE( CONTROL!$C$33, 6.8992, 6.898) * CHOOSE(CONTROL!$C$16, $D$10, 100%, $F$10)</f>
        <v>6.8992000000000004</v>
      </c>
      <c r="G127" s="8">
        <f>CHOOSE( CONTROL!$C$33, 6.0979, 6.0967) * CHOOSE( CONTROL!$C$16, $D$10, 100%, $F$10)</f>
        <v>6.0979000000000001</v>
      </c>
      <c r="H127" s="4">
        <f>CHOOSE( CONTROL!$C$33, 7.0767, 7.0756) * CHOOSE(CONTROL!$C$16, $D$10, 100%, $F$10)</f>
        <v>7.0766999999999998</v>
      </c>
      <c r="I127" s="8">
        <f>CHOOSE( CONTROL!$C$33, 6.0618, 6.0607) * CHOOSE(CONTROL!$C$16, $D$10, 100%, $F$10)</f>
        <v>6.0617999999999999</v>
      </c>
      <c r="J127" s="4">
        <f>CHOOSE( CONTROL!$C$33, 5.9428, 5.9417) * CHOOSE(CONTROL!$C$16, $D$10, 100%, $F$10)</f>
        <v>5.9428000000000001</v>
      </c>
      <c r="K127" s="4"/>
      <c r="L127" s="9">
        <v>30.092199999999998</v>
      </c>
      <c r="M127" s="9">
        <v>11.6745</v>
      </c>
      <c r="N127" s="9">
        <v>4.7850000000000001</v>
      </c>
      <c r="O127" s="9">
        <v>0.36199999999999999</v>
      </c>
      <c r="P127" s="9">
        <v>1.2509999999999999</v>
      </c>
      <c r="Q127" s="9">
        <v>31.571999999999999</v>
      </c>
      <c r="R127" s="9"/>
      <c r="S127" s="11"/>
    </row>
    <row r="128" spans="1:19" ht="15" customHeight="1">
      <c r="A128" s="13">
        <v>45047</v>
      </c>
      <c r="B128" s="8">
        <f>CHOOSE( CONTROL!$C$33, 6.2862, 6.2846) * CHOOSE(CONTROL!$C$16, $D$10, 100%, $F$10)</f>
        <v>6.2862</v>
      </c>
      <c r="C128" s="8">
        <f>CHOOSE( CONTROL!$C$33, 6.2942, 6.2926) * CHOOSE(CONTROL!$C$16, $D$10, 100%, $F$10)</f>
        <v>6.2942</v>
      </c>
      <c r="D128" s="8">
        <f>CHOOSE( CONTROL!$C$33, 6.3164, 6.3148) * CHOOSE( CONTROL!$C$16, $D$10, 100%, $F$10)</f>
        <v>6.3163999999999998</v>
      </c>
      <c r="E128" s="12">
        <f>CHOOSE( CONTROL!$C$33, 6.3071, 6.3055) * CHOOSE( CONTROL!$C$16, $D$10, 100%, $F$10)</f>
        <v>6.3071000000000002</v>
      </c>
      <c r="F128" s="4">
        <f>CHOOSE( CONTROL!$C$33, 7.0631, 7.0615) * CHOOSE(CONTROL!$C$16, $D$10, 100%, $F$10)</f>
        <v>7.0631000000000004</v>
      </c>
      <c r="G128" s="8">
        <f>CHOOSE( CONTROL!$C$33, 6.2595, 6.2579) * CHOOSE( CONTROL!$C$16, $D$10, 100%, $F$10)</f>
        <v>6.2595000000000001</v>
      </c>
      <c r="H128" s="4">
        <f>CHOOSE( CONTROL!$C$33, 7.2384, 7.2369) * CHOOSE(CONTROL!$C$16, $D$10, 100%, $F$10)</f>
        <v>7.2384000000000004</v>
      </c>
      <c r="I128" s="8">
        <f>CHOOSE( CONTROL!$C$33, 6.2203, 6.2187) * CHOOSE(CONTROL!$C$16, $D$10, 100%, $F$10)</f>
        <v>6.2202999999999999</v>
      </c>
      <c r="J128" s="4">
        <f>CHOOSE( CONTROL!$C$33, 6.1015, 6.1) * CHOOSE(CONTROL!$C$16, $D$10, 100%, $F$10)</f>
        <v>6.1014999999999997</v>
      </c>
      <c r="K128" s="4"/>
      <c r="L128" s="9">
        <v>30.7165</v>
      </c>
      <c r="M128" s="9">
        <v>12.063700000000001</v>
      </c>
      <c r="N128" s="9">
        <v>4.9444999999999997</v>
      </c>
      <c r="O128" s="9">
        <v>0.37409999999999999</v>
      </c>
      <c r="P128" s="9">
        <v>1.2927</v>
      </c>
      <c r="Q128" s="9">
        <v>32.624400000000001</v>
      </c>
      <c r="R128" s="9"/>
      <c r="S128" s="11"/>
    </row>
    <row r="129" spans="1:19" ht="15" customHeight="1">
      <c r="A129" s="13">
        <v>45078</v>
      </c>
      <c r="B129" s="8">
        <f>CHOOSE( CONTROL!$C$33, 6.1849, 6.1833) * CHOOSE(CONTROL!$C$16, $D$10, 100%, $F$10)</f>
        <v>6.1848999999999998</v>
      </c>
      <c r="C129" s="8">
        <f>CHOOSE( CONTROL!$C$33, 6.1929, 6.1913) * CHOOSE(CONTROL!$C$16, $D$10, 100%, $F$10)</f>
        <v>6.1928999999999998</v>
      </c>
      <c r="D129" s="8">
        <f>CHOOSE( CONTROL!$C$33, 6.2153, 6.2137) * CHOOSE( CONTROL!$C$16, $D$10, 100%, $F$10)</f>
        <v>6.2153</v>
      </c>
      <c r="E129" s="12">
        <f>CHOOSE( CONTROL!$C$33, 6.206, 6.2044) * CHOOSE( CONTROL!$C$16, $D$10, 100%, $F$10)</f>
        <v>6.2060000000000004</v>
      </c>
      <c r="F129" s="4">
        <f>CHOOSE( CONTROL!$C$33, 6.9618, 6.9602) * CHOOSE(CONTROL!$C$16, $D$10, 100%, $F$10)</f>
        <v>6.9618000000000002</v>
      </c>
      <c r="G129" s="8">
        <f>CHOOSE( CONTROL!$C$33, 6.1597, 6.1582) * CHOOSE( CONTROL!$C$16, $D$10, 100%, $F$10)</f>
        <v>6.1597</v>
      </c>
      <c r="H129" s="4">
        <f>CHOOSE( CONTROL!$C$33, 7.1385, 7.137) * CHOOSE(CONTROL!$C$16, $D$10, 100%, $F$10)</f>
        <v>7.1384999999999996</v>
      </c>
      <c r="I129" s="8">
        <f>CHOOSE( CONTROL!$C$33, 6.1227, 6.1212) * CHOOSE(CONTROL!$C$16, $D$10, 100%, $F$10)</f>
        <v>6.1227</v>
      </c>
      <c r="J129" s="4">
        <f>CHOOSE( CONTROL!$C$33, 6.0034, 6.0019) * CHOOSE(CONTROL!$C$16, $D$10, 100%, $F$10)</f>
        <v>6.0034000000000001</v>
      </c>
      <c r="K129" s="4"/>
      <c r="L129" s="9">
        <v>29.7257</v>
      </c>
      <c r="M129" s="9">
        <v>11.6745</v>
      </c>
      <c r="N129" s="9">
        <v>4.7850000000000001</v>
      </c>
      <c r="O129" s="9">
        <v>0.36199999999999999</v>
      </c>
      <c r="P129" s="9">
        <v>1.2509999999999999</v>
      </c>
      <c r="Q129" s="9">
        <v>31.571999999999999</v>
      </c>
      <c r="R129" s="9"/>
      <c r="S129" s="11"/>
    </row>
    <row r="130" spans="1:19" ht="15" customHeight="1">
      <c r="A130" s="13">
        <v>45108</v>
      </c>
      <c r="B130" s="8">
        <f>CHOOSE( CONTROL!$C$33, 6.4516, 6.45) * CHOOSE(CONTROL!$C$16, $D$10, 100%, $F$10)</f>
        <v>6.4516</v>
      </c>
      <c r="C130" s="8">
        <f>CHOOSE( CONTROL!$C$33, 6.4596, 6.458) * CHOOSE(CONTROL!$C$16, $D$10, 100%, $F$10)</f>
        <v>6.4596</v>
      </c>
      <c r="D130" s="8">
        <f>CHOOSE( CONTROL!$C$33, 6.4822, 6.4807) * CHOOSE( CONTROL!$C$16, $D$10, 100%, $F$10)</f>
        <v>6.4821999999999997</v>
      </c>
      <c r="E130" s="12">
        <f>CHOOSE( CONTROL!$C$33, 6.4728, 6.4713) * CHOOSE( CONTROL!$C$16, $D$10, 100%, $F$10)</f>
        <v>6.4728000000000003</v>
      </c>
      <c r="F130" s="4">
        <f>CHOOSE( CONTROL!$C$33, 7.2285, 7.227) * CHOOSE(CONTROL!$C$16, $D$10, 100%, $F$10)</f>
        <v>7.2285000000000004</v>
      </c>
      <c r="G130" s="8">
        <f>CHOOSE( CONTROL!$C$33, 6.4229, 6.4213) * CHOOSE( CONTROL!$C$16, $D$10, 100%, $F$10)</f>
        <v>6.4229000000000003</v>
      </c>
      <c r="H130" s="4">
        <f>CHOOSE( CONTROL!$C$33, 7.4015, 7.4) * CHOOSE(CONTROL!$C$16, $D$10, 100%, $F$10)</f>
        <v>7.4015000000000004</v>
      </c>
      <c r="I130" s="8">
        <f>CHOOSE( CONTROL!$C$33, 6.3819, 6.3804) * CHOOSE(CONTROL!$C$16, $D$10, 100%, $F$10)</f>
        <v>6.3818999999999999</v>
      </c>
      <c r="J130" s="4">
        <f>CHOOSE( CONTROL!$C$33, 6.2617, 6.2602) * CHOOSE(CONTROL!$C$16, $D$10, 100%, $F$10)</f>
        <v>6.2617000000000003</v>
      </c>
      <c r="K130" s="4"/>
      <c r="L130" s="9">
        <v>30.7165</v>
      </c>
      <c r="M130" s="9">
        <v>12.063700000000001</v>
      </c>
      <c r="N130" s="9">
        <v>4.9444999999999997</v>
      </c>
      <c r="O130" s="9">
        <v>0.37409999999999999</v>
      </c>
      <c r="P130" s="9">
        <v>1.2927</v>
      </c>
      <c r="Q130" s="9">
        <v>32.624400000000001</v>
      </c>
      <c r="R130" s="9"/>
      <c r="S130" s="11"/>
    </row>
    <row r="131" spans="1:19" ht="15" customHeight="1">
      <c r="A131" s="13">
        <v>45139</v>
      </c>
      <c r="B131" s="8">
        <f>CHOOSE( CONTROL!$C$33, 5.9526, 5.951) * CHOOSE(CONTROL!$C$16, $D$10, 100%, $F$10)</f>
        <v>5.9526000000000003</v>
      </c>
      <c r="C131" s="8">
        <f>CHOOSE( CONTROL!$C$33, 5.9606, 5.959) * CHOOSE(CONTROL!$C$16, $D$10, 100%, $F$10)</f>
        <v>5.9606000000000003</v>
      </c>
      <c r="D131" s="8">
        <f>CHOOSE( CONTROL!$C$33, 5.9832, 5.9817) * CHOOSE( CONTROL!$C$16, $D$10, 100%, $F$10)</f>
        <v>5.9832000000000001</v>
      </c>
      <c r="E131" s="12">
        <f>CHOOSE( CONTROL!$C$33, 5.9738, 5.9723) * CHOOSE( CONTROL!$C$16, $D$10, 100%, $F$10)</f>
        <v>5.9737999999999998</v>
      </c>
      <c r="F131" s="4">
        <f>CHOOSE( CONTROL!$C$33, 6.7295, 6.7279) * CHOOSE(CONTROL!$C$16, $D$10, 100%, $F$10)</f>
        <v>6.7294999999999998</v>
      </c>
      <c r="G131" s="8">
        <f>CHOOSE( CONTROL!$C$33, 5.9308, 5.9293) * CHOOSE( CONTROL!$C$16, $D$10, 100%, $F$10)</f>
        <v>5.9307999999999996</v>
      </c>
      <c r="H131" s="4">
        <f>CHOOSE( CONTROL!$C$33, 6.9094, 6.9079) * CHOOSE(CONTROL!$C$16, $D$10, 100%, $F$10)</f>
        <v>6.9093999999999998</v>
      </c>
      <c r="I131" s="8">
        <f>CHOOSE( CONTROL!$C$33, 5.8986, 5.8971) * CHOOSE(CONTROL!$C$16, $D$10, 100%, $F$10)</f>
        <v>5.8986000000000001</v>
      </c>
      <c r="J131" s="4">
        <f>CHOOSE( CONTROL!$C$33, 5.7785, 5.7769) * CHOOSE(CONTROL!$C$16, $D$10, 100%, $F$10)</f>
        <v>5.7785000000000002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1.2927</v>
      </c>
      <c r="Q131" s="9">
        <v>32.624400000000001</v>
      </c>
      <c r="R131" s="9"/>
      <c r="S131" s="11"/>
    </row>
    <row r="132" spans="1:19" ht="15" customHeight="1">
      <c r="A132" s="13">
        <v>45170</v>
      </c>
      <c r="B132" s="8">
        <f>CHOOSE( CONTROL!$C$33, 5.8276, 5.826) * CHOOSE(CONTROL!$C$16, $D$10, 100%, $F$10)</f>
        <v>5.8276000000000003</v>
      </c>
      <c r="C132" s="8">
        <f>CHOOSE( CONTROL!$C$33, 5.8356, 5.834) * CHOOSE(CONTROL!$C$16, $D$10, 100%, $F$10)</f>
        <v>5.8356000000000003</v>
      </c>
      <c r="D132" s="8">
        <f>CHOOSE( CONTROL!$C$33, 5.8581, 5.8566) * CHOOSE( CONTROL!$C$16, $D$10, 100%, $F$10)</f>
        <v>5.8581000000000003</v>
      </c>
      <c r="E132" s="12">
        <f>CHOOSE( CONTROL!$C$33, 5.8487, 5.8472) * CHOOSE( CONTROL!$C$16, $D$10, 100%, $F$10)</f>
        <v>5.8487</v>
      </c>
      <c r="F132" s="4">
        <f>CHOOSE( CONTROL!$C$33, 6.6045, 6.6029) * CHOOSE(CONTROL!$C$16, $D$10, 100%, $F$10)</f>
        <v>6.6044999999999998</v>
      </c>
      <c r="G132" s="8">
        <f>CHOOSE( CONTROL!$C$33, 5.8075, 5.806) * CHOOSE( CONTROL!$C$16, $D$10, 100%, $F$10)</f>
        <v>5.8075000000000001</v>
      </c>
      <c r="H132" s="4">
        <f>CHOOSE( CONTROL!$C$33, 6.7862, 6.7847) * CHOOSE(CONTROL!$C$16, $D$10, 100%, $F$10)</f>
        <v>6.7862</v>
      </c>
      <c r="I132" s="8">
        <f>CHOOSE( CONTROL!$C$33, 5.7771, 5.7755) * CHOOSE(CONTROL!$C$16, $D$10, 100%, $F$10)</f>
        <v>5.7770999999999999</v>
      </c>
      <c r="J132" s="4">
        <f>CHOOSE( CONTROL!$C$33, 5.6574, 5.6559) * CHOOSE(CONTROL!$C$16, $D$10, 100%, $F$10)</f>
        <v>5.6574</v>
      </c>
      <c r="K132" s="4"/>
      <c r="L132" s="9">
        <v>29.7257</v>
      </c>
      <c r="M132" s="9">
        <v>11.6745</v>
      </c>
      <c r="N132" s="9">
        <v>4.7850000000000001</v>
      </c>
      <c r="O132" s="9">
        <v>0.36199999999999999</v>
      </c>
      <c r="P132" s="9">
        <v>1.2509999999999999</v>
      </c>
      <c r="Q132" s="9">
        <v>31.571999999999999</v>
      </c>
      <c r="R132" s="9"/>
      <c r="S132" s="11"/>
    </row>
    <row r="133" spans="1:19" ht="15" customHeight="1">
      <c r="A133" s="13">
        <v>45200</v>
      </c>
      <c r="B133" s="8">
        <f>CHOOSE( CONTROL!$C$33, 6.0849, 6.0838) * CHOOSE(CONTROL!$C$16, $D$10, 100%, $F$10)</f>
        <v>6.0849000000000002</v>
      </c>
      <c r="C133" s="8">
        <f>CHOOSE( CONTROL!$C$33, 6.0902, 6.0891) * CHOOSE(CONTROL!$C$16, $D$10, 100%, $F$10)</f>
        <v>6.0902000000000003</v>
      </c>
      <c r="D133" s="8">
        <f>CHOOSE( CONTROL!$C$33, 6.119, 6.1179) * CHOOSE( CONTROL!$C$16, $D$10, 100%, $F$10)</f>
        <v>6.1189999999999998</v>
      </c>
      <c r="E133" s="12">
        <f>CHOOSE( CONTROL!$C$33, 6.1089, 6.1078) * CHOOSE( CONTROL!$C$16, $D$10, 100%, $F$10)</f>
        <v>6.1089000000000002</v>
      </c>
      <c r="F133" s="4">
        <f>CHOOSE( CONTROL!$C$33, 6.8635, 6.8624) * CHOOSE(CONTROL!$C$16, $D$10, 100%, $F$10)</f>
        <v>6.8635000000000002</v>
      </c>
      <c r="G133" s="8">
        <f>CHOOSE( CONTROL!$C$33, 6.063, 6.0619) * CHOOSE( CONTROL!$C$16, $D$10, 100%, $F$10)</f>
        <v>6.0629999999999997</v>
      </c>
      <c r="H133" s="4">
        <f>CHOOSE( CONTROL!$C$33, 7.0416, 7.0405) * CHOOSE(CONTROL!$C$16, $D$10, 100%, $F$10)</f>
        <v>7.0415999999999999</v>
      </c>
      <c r="I133" s="8">
        <f>CHOOSE( CONTROL!$C$33, 6.0286, 6.0275) * CHOOSE(CONTROL!$C$16, $D$10, 100%, $F$10)</f>
        <v>6.0286</v>
      </c>
      <c r="J133" s="4">
        <f>CHOOSE( CONTROL!$C$33, 5.9083, 5.9072) * CHOOSE(CONTROL!$C$16, $D$10, 100%, $F$10)</f>
        <v>5.9082999999999997</v>
      </c>
      <c r="K133" s="4"/>
      <c r="L133" s="9">
        <v>31.095300000000002</v>
      </c>
      <c r="M133" s="9">
        <v>12.063700000000001</v>
      </c>
      <c r="N133" s="9">
        <v>4.9444999999999997</v>
      </c>
      <c r="O133" s="9">
        <v>0.37409999999999999</v>
      </c>
      <c r="P133" s="9">
        <v>1.2927</v>
      </c>
      <c r="Q133" s="9">
        <v>32.624400000000001</v>
      </c>
      <c r="R133" s="9"/>
      <c r="S133" s="11"/>
    </row>
    <row r="134" spans="1:19" ht="15" customHeight="1">
      <c r="A134" s="13">
        <v>45231</v>
      </c>
      <c r="B134" s="8">
        <f>CHOOSE( CONTROL!$C$33, 6.5634, 6.5623) * CHOOSE(CONTROL!$C$16, $D$10, 100%, $F$10)</f>
        <v>6.5633999999999997</v>
      </c>
      <c r="C134" s="8">
        <f>CHOOSE( CONTROL!$C$33, 6.5685, 6.5674) * CHOOSE(CONTROL!$C$16, $D$10, 100%, $F$10)</f>
        <v>6.5685000000000002</v>
      </c>
      <c r="D134" s="8">
        <f>CHOOSE( CONTROL!$C$33, 6.5482, 6.5471) * CHOOSE( CONTROL!$C$16, $D$10, 100%, $F$10)</f>
        <v>6.5481999999999996</v>
      </c>
      <c r="E134" s="12">
        <f>CHOOSE( CONTROL!$C$33, 6.5551, 6.554) * CHOOSE( CONTROL!$C$16, $D$10, 100%, $F$10)</f>
        <v>6.5551000000000004</v>
      </c>
      <c r="F134" s="4">
        <f>CHOOSE( CONTROL!$C$33, 7.2263, 7.2252) * CHOOSE(CONTROL!$C$16, $D$10, 100%, $F$10)</f>
        <v>7.2263000000000002</v>
      </c>
      <c r="G134" s="8">
        <f>CHOOSE( CONTROL!$C$33, 6.5078, 6.5067) * CHOOSE( CONTROL!$C$16, $D$10, 100%, $F$10)</f>
        <v>6.5077999999999996</v>
      </c>
      <c r="H134" s="4">
        <f>CHOOSE( CONTROL!$C$33, 7.3993, 7.3982) * CHOOSE(CONTROL!$C$16, $D$10, 100%, $F$10)</f>
        <v>7.3993000000000002</v>
      </c>
      <c r="I134" s="8">
        <f>CHOOSE( CONTROL!$C$33, 6.5404, 6.5393) * CHOOSE(CONTROL!$C$16, $D$10, 100%, $F$10)</f>
        <v>6.5404</v>
      </c>
      <c r="J134" s="4">
        <f>CHOOSE( CONTROL!$C$33, 6.372, 6.3709) * CHOOSE(CONTROL!$C$16, $D$10, 100%, $F$10)</f>
        <v>6.3719999999999999</v>
      </c>
      <c r="K134" s="4"/>
      <c r="L134" s="9">
        <v>28.360600000000002</v>
      </c>
      <c r="M134" s="9">
        <v>11.6745</v>
      </c>
      <c r="N134" s="9">
        <v>4.7850000000000001</v>
      </c>
      <c r="O134" s="9">
        <v>0.36199999999999999</v>
      </c>
      <c r="P134" s="9">
        <v>1.2509999999999999</v>
      </c>
      <c r="Q134" s="9">
        <v>31.571999999999999</v>
      </c>
      <c r="R134" s="9"/>
      <c r="S134" s="11"/>
    </row>
    <row r="135" spans="1:19" ht="15" customHeight="1">
      <c r="A135" s="13">
        <v>45261</v>
      </c>
      <c r="B135" s="8">
        <f>CHOOSE( CONTROL!$C$33, 6.5515, 6.5503) * CHOOSE(CONTROL!$C$16, $D$10, 100%, $F$10)</f>
        <v>6.5514999999999999</v>
      </c>
      <c r="C135" s="8">
        <f>CHOOSE( CONTROL!$C$33, 6.5566, 6.5554) * CHOOSE(CONTROL!$C$16, $D$10, 100%, $F$10)</f>
        <v>6.5566000000000004</v>
      </c>
      <c r="D135" s="8">
        <f>CHOOSE( CONTROL!$C$33, 6.5377, 6.5366) * CHOOSE( CONTROL!$C$16, $D$10, 100%, $F$10)</f>
        <v>6.5377000000000001</v>
      </c>
      <c r="E135" s="12">
        <f>CHOOSE( CONTROL!$C$33, 6.5441, 6.5429) * CHOOSE( CONTROL!$C$16, $D$10, 100%, $F$10)</f>
        <v>6.5441000000000003</v>
      </c>
      <c r="F135" s="4">
        <f>CHOOSE( CONTROL!$C$33, 7.2143, 7.2132) * CHOOSE(CONTROL!$C$16, $D$10, 100%, $F$10)</f>
        <v>7.2142999999999997</v>
      </c>
      <c r="G135" s="8">
        <f>CHOOSE( CONTROL!$C$33, 6.4971, 6.496) * CHOOSE( CONTROL!$C$16, $D$10, 100%, $F$10)</f>
        <v>6.4970999999999997</v>
      </c>
      <c r="H135" s="4">
        <f>CHOOSE( CONTROL!$C$33, 7.3875, 7.3864) * CHOOSE(CONTROL!$C$16, $D$10, 100%, $F$10)</f>
        <v>7.3875000000000002</v>
      </c>
      <c r="I135" s="8">
        <f>CHOOSE( CONTROL!$C$33, 6.5333, 6.5322) * CHOOSE(CONTROL!$C$16, $D$10, 100%, $F$10)</f>
        <v>6.5332999999999997</v>
      </c>
      <c r="J135" s="4">
        <f>CHOOSE( CONTROL!$C$33, 6.3604, 6.3594) * CHOOSE(CONTROL!$C$16, $D$10, 100%, $F$10)</f>
        <v>6.3604000000000003</v>
      </c>
      <c r="K135" s="4"/>
      <c r="L135" s="9">
        <v>29.306000000000001</v>
      </c>
      <c r="M135" s="9">
        <v>12.063700000000001</v>
      </c>
      <c r="N135" s="9">
        <v>4.9444999999999997</v>
      </c>
      <c r="O135" s="9">
        <v>0.37409999999999999</v>
      </c>
      <c r="P135" s="9">
        <v>1.2927</v>
      </c>
      <c r="Q135" s="9">
        <v>32.624400000000001</v>
      </c>
      <c r="R135" s="9"/>
      <c r="S135" s="11"/>
    </row>
    <row r="136" spans="1:19" ht="15" customHeight="1">
      <c r="A136" s="13">
        <v>45292</v>
      </c>
      <c r="B136" s="8">
        <f>CHOOSE( CONTROL!$C$33, 6.8048, 6.8037) * CHOOSE(CONTROL!$C$16, $D$10, 100%, $F$10)</f>
        <v>6.8048000000000002</v>
      </c>
      <c r="C136" s="8">
        <f>CHOOSE( CONTROL!$C$33, 6.8099, 6.8088) * CHOOSE(CONTROL!$C$16, $D$10, 100%, $F$10)</f>
        <v>6.8098999999999998</v>
      </c>
      <c r="D136" s="8">
        <f>CHOOSE( CONTROL!$C$33, 6.8023, 6.8012) * CHOOSE( CONTROL!$C$16, $D$10, 100%, $F$10)</f>
        <v>6.8022999999999998</v>
      </c>
      <c r="E136" s="12">
        <f>CHOOSE( CONTROL!$C$33, 6.8045, 6.8034) * CHOOSE( CONTROL!$C$16, $D$10, 100%, $F$10)</f>
        <v>6.8045</v>
      </c>
      <c r="F136" s="4">
        <f>CHOOSE( CONTROL!$C$33, 7.4677, 7.4666) * CHOOSE(CONTROL!$C$16, $D$10, 100%, $F$10)</f>
        <v>7.4676999999999998</v>
      </c>
      <c r="G136" s="8">
        <f>CHOOSE( CONTROL!$C$33, 6.7527, 6.7516) * CHOOSE( CONTROL!$C$16, $D$10, 100%, $F$10)</f>
        <v>6.7526999999999999</v>
      </c>
      <c r="H136" s="4">
        <f>CHOOSE( CONTROL!$C$33, 7.6373, 7.6362) * CHOOSE(CONTROL!$C$16, $D$10, 100%, $F$10)</f>
        <v>7.6372999999999998</v>
      </c>
      <c r="I136" s="8">
        <f>CHOOSE( CONTROL!$C$33, 6.77, 6.7689) * CHOOSE(CONTROL!$C$16, $D$10, 100%, $F$10)</f>
        <v>6.77</v>
      </c>
      <c r="J136" s="4">
        <f>CHOOSE( CONTROL!$C$33, 6.6058, 6.6047) * CHOOSE(CONTROL!$C$16, $D$10, 100%, $F$10)</f>
        <v>6.6058000000000003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32.440300000000001</v>
      </c>
      <c r="R136" s="9"/>
      <c r="S136" s="11"/>
    </row>
    <row r="137" spans="1:19" ht="15" customHeight="1">
      <c r="A137" s="13">
        <v>45323</v>
      </c>
      <c r="B137" s="8">
        <f>CHOOSE( CONTROL!$C$33, 6.3639, 6.3627) * CHOOSE(CONTROL!$C$16, $D$10, 100%, $F$10)</f>
        <v>6.3639000000000001</v>
      </c>
      <c r="C137" s="8">
        <f>CHOOSE( CONTROL!$C$33, 6.369, 6.3678) * CHOOSE(CONTROL!$C$16, $D$10, 100%, $F$10)</f>
        <v>6.3689999999999998</v>
      </c>
      <c r="D137" s="8">
        <f>CHOOSE( CONTROL!$C$33, 6.3611, 6.36) * CHOOSE( CONTROL!$C$16, $D$10, 100%, $F$10)</f>
        <v>6.3611000000000004</v>
      </c>
      <c r="E137" s="12">
        <f>CHOOSE( CONTROL!$C$33, 6.3634, 6.3623) * CHOOSE( CONTROL!$C$16, $D$10, 100%, $F$10)</f>
        <v>6.3634000000000004</v>
      </c>
      <c r="F137" s="4">
        <f>CHOOSE( CONTROL!$C$33, 7.0267, 7.0256) * CHOOSE(CONTROL!$C$16, $D$10, 100%, $F$10)</f>
        <v>7.0266999999999999</v>
      </c>
      <c r="G137" s="8">
        <f>CHOOSE( CONTROL!$C$33, 6.3178, 6.3167) * CHOOSE( CONTROL!$C$16, $D$10, 100%, $F$10)</f>
        <v>6.3178000000000001</v>
      </c>
      <c r="H137" s="4">
        <f>CHOOSE( CONTROL!$C$33, 7.2025, 7.2014) * CHOOSE(CONTROL!$C$16, $D$10, 100%, $F$10)</f>
        <v>7.2024999999999997</v>
      </c>
      <c r="I137" s="8">
        <f>CHOOSE( CONTROL!$C$33, 6.3422, 6.3411) * CHOOSE(CONTROL!$C$16, $D$10, 100%, $F$10)</f>
        <v>6.3422000000000001</v>
      </c>
      <c r="J137" s="4">
        <f>CHOOSE( CONTROL!$C$33, 6.1788, 6.1777) * CHOOSE(CONTROL!$C$16, $D$10, 100%, $F$10)</f>
        <v>6.1787999999999998</v>
      </c>
      <c r="K137" s="4"/>
      <c r="L137" s="9">
        <v>27.415299999999998</v>
      </c>
      <c r="M137" s="9">
        <v>11.285299999999999</v>
      </c>
      <c r="N137" s="9">
        <v>4.6254999999999997</v>
      </c>
      <c r="O137" s="9">
        <v>0.34989999999999999</v>
      </c>
      <c r="P137" s="9">
        <v>1.2093</v>
      </c>
      <c r="Q137" s="9">
        <v>30.347300000000001</v>
      </c>
      <c r="R137" s="9"/>
      <c r="S137" s="11"/>
    </row>
    <row r="138" spans="1:19" ht="15" customHeight="1">
      <c r="A138" s="13">
        <v>45352</v>
      </c>
      <c r="B138" s="8">
        <f>CHOOSE( CONTROL!$C$33, 6.228, 6.2269) * CHOOSE(CONTROL!$C$16, $D$10, 100%, $F$10)</f>
        <v>6.2279999999999998</v>
      </c>
      <c r="C138" s="8">
        <f>CHOOSE( CONTROL!$C$33, 6.2331, 6.232) * CHOOSE(CONTROL!$C$16, $D$10, 100%, $F$10)</f>
        <v>6.2331000000000003</v>
      </c>
      <c r="D138" s="8">
        <f>CHOOSE( CONTROL!$C$33, 6.2246, 6.2235) * CHOOSE( CONTROL!$C$16, $D$10, 100%, $F$10)</f>
        <v>6.2245999999999997</v>
      </c>
      <c r="E138" s="12">
        <f>CHOOSE( CONTROL!$C$33, 6.2272, 6.2261) * CHOOSE( CONTROL!$C$16, $D$10, 100%, $F$10)</f>
        <v>6.2271999999999998</v>
      </c>
      <c r="F138" s="4">
        <f>CHOOSE( CONTROL!$C$33, 6.8909, 6.8898) * CHOOSE(CONTROL!$C$16, $D$10, 100%, $F$10)</f>
        <v>6.8909000000000002</v>
      </c>
      <c r="G138" s="8">
        <f>CHOOSE( CONTROL!$C$33, 6.1833, 6.1822) * CHOOSE( CONTROL!$C$16, $D$10, 100%, $F$10)</f>
        <v>6.1833</v>
      </c>
      <c r="H138" s="4">
        <f>CHOOSE( CONTROL!$C$33, 7.0686, 7.0675) * CHOOSE(CONTROL!$C$16, $D$10, 100%, $F$10)</f>
        <v>7.0686</v>
      </c>
      <c r="I138" s="8">
        <f>CHOOSE( CONTROL!$C$33, 6.2084, 6.2073) * CHOOSE(CONTROL!$C$16, $D$10, 100%, $F$10)</f>
        <v>6.2084000000000001</v>
      </c>
      <c r="J138" s="4">
        <f>CHOOSE( CONTROL!$C$33, 6.0473, 6.0462) * CHOOSE(CONTROL!$C$16, $D$10, 100%, $F$10)</f>
        <v>6.0472999999999999</v>
      </c>
      <c r="K138" s="4"/>
      <c r="L138" s="9">
        <v>29.306000000000001</v>
      </c>
      <c r="M138" s="9">
        <v>12.063700000000001</v>
      </c>
      <c r="N138" s="9">
        <v>4.9444999999999997</v>
      </c>
      <c r="O138" s="9">
        <v>0.37409999999999999</v>
      </c>
      <c r="P138" s="9">
        <v>1.2927</v>
      </c>
      <c r="Q138" s="9">
        <v>32.440300000000001</v>
      </c>
      <c r="R138" s="9"/>
      <c r="S138" s="11"/>
    </row>
    <row r="139" spans="1:19" ht="15" customHeight="1">
      <c r="A139" s="13">
        <v>45383</v>
      </c>
      <c r="B139" s="8">
        <f>CHOOSE( CONTROL!$C$33, 6.3237, 6.3226) * CHOOSE(CONTROL!$C$16, $D$10, 100%, $F$10)</f>
        <v>6.3236999999999997</v>
      </c>
      <c r="C139" s="8">
        <f>CHOOSE( CONTROL!$C$33, 6.3282, 6.3271) * CHOOSE(CONTROL!$C$16, $D$10, 100%, $F$10)</f>
        <v>6.3281999999999998</v>
      </c>
      <c r="D139" s="8">
        <f>CHOOSE( CONTROL!$C$33, 6.3571, 6.356) * CHOOSE( CONTROL!$C$16, $D$10, 100%, $F$10)</f>
        <v>6.3571</v>
      </c>
      <c r="E139" s="12">
        <f>CHOOSE( CONTROL!$C$33, 6.347, 6.3459) * CHOOSE( CONTROL!$C$16, $D$10, 100%, $F$10)</f>
        <v>6.3470000000000004</v>
      </c>
      <c r="F139" s="4">
        <f>CHOOSE( CONTROL!$C$33, 7.102, 7.1009) * CHOOSE(CONTROL!$C$16, $D$10, 100%, $F$10)</f>
        <v>7.1020000000000003</v>
      </c>
      <c r="G139" s="8">
        <f>CHOOSE( CONTROL!$C$33, 6.2979, 6.2968) * CHOOSE( CONTROL!$C$16, $D$10, 100%, $F$10)</f>
        <v>6.2979000000000003</v>
      </c>
      <c r="H139" s="4">
        <f>CHOOSE( CONTROL!$C$33, 7.2768, 7.2757) * CHOOSE(CONTROL!$C$16, $D$10, 100%, $F$10)</f>
        <v>7.2767999999999997</v>
      </c>
      <c r="I139" s="8">
        <f>CHOOSE( CONTROL!$C$33, 6.2583, 6.2572) * CHOOSE(CONTROL!$C$16, $D$10, 100%, $F$10)</f>
        <v>6.2583000000000002</v>
      </c>
      <c r="J139" s="4">
        <f>CHOOSE( CONTROL!$C$33, 6.1392, 6.1381) * CHOOSE(CONTROL!$C$16, $D$10, 100%, $F$10)</f>
        <v>6.1391999999999998</v>
      </c>
      <c r="K139" s="4"/>
      <c r="L139" s="9">
        <v>30.092199999999998</v>
      </c>
      <c r="M139" s="9">
        <v>11.6745</v>
      </c>
      <c r="N139" s="9">
        <v>4.7850000000000001</v>
      </c>
      <c r="O139" s="9">
        <v>0.36199999999999999</v>
      </c>
      <c r="P139" s="9">
        <v>1.2509999999999999</v>
      </c>
      <c r="Q139" s="9">
        <v>31.393799999999999</v>
      </c>
      <c r="R139" s="9"/>
      <c r="S139" s="11"/>
    </row>
    <row r="140" spans="1:19" ht="15" customHeight="1">
      <c r="A140" s="13">
        <v>45413</v>
      </c>
      <c r="B140" s="8">
        <f>CHOOSE( CONTROL!$C$33, 6.4944, 6.4929) * CHOOSE(CONTROL!$C$16, $D$10, 100%, $F$10)</f>
        <v>6.4943999999999997</v>
      </c>
      <c r="C140" s="8">
        <f>CHOOSE( CONTROL!$C$33, 6.5024, 6.5009) * CHOOSE(CONTROL!$C$16, $D$10, 100%, $F$10)</f>
        <v>6.5023999999999997</v>
      </c>
      <c r="D140" s="8">
        <f>CHOOSE( CONTROL!$C$33, 6.5247, 6.5231) * CHOOSE( CONTROL!$C$16, $D$10, 100%, $F$10)</f>
        <v>6.5247000000000002</v>
      </c>
      <c r="E140" s="12">
        <f>CHOOSE( CONTROL!$C$33, 6.5154, 6.5138) * CHOOSE( CONTROL!$C$16, $D$10, 100%, $F$10)</f>
        <v>6.5153999999999996</v>
      </c>
      <c r="F140" s="4">
        <f>CHOOSE( CONTROL!$C$33, 7.2714, 7.2698) * CHOOSE(CONTROL!$C$16, $D$10, 100%, $F$10)</f>
        <v>7.2713999999999999</v>
      </c>
      <c r="G140" s="8">
        <f>CHOOSE( CONTROL!$C$33, 6.4648, 6.4633) * CHOOSE( CONTROL!$C$16, $D$10, 100%, $F$10)</f>
        <v>6.4648000000000003</v>
      </c>
      <c r="H140" s="4">
        <f>CHOOSE( CONTROL!$C$33, 7.4438, 7.4422) * CHOOSE(CONTROL!$C$16, $D$10, 100%, $F$10)</f>
        <v>7.4438000000000004</v>
      </c>
      <c r="I140" s="8">
        <f>CHOOSE( CONTROL!$C$33, 6.422, 6.4205) * CHOOSE(CONTROL!$C$16, $D$10, 100%, $F$10)</f>
        <v>6.4219999999999997</v>
      </c>
      <c r="J140" s="4">
        <f>CHOOSE( CONTROL!$C$33, 6.3032, 6.3016) * CHOOSE(CONTROL!$C$16, $D$10, 100%, $F$10)</f>
        <v>6.3032000000000004</v>
      </c>
      <c r="K140" s="4"/>
      <c r="L140" s="9">
        <v>30.7165</v>
      </c>
      <c r="M140" s="9">
        <v>12.063700000000001</v>
      </c>
      <c r="N140" s="9">
        <v>4.9444999999999997</v>
      </c>
      <c r="O140" s="9">
        <v>0.37409999999999999</v>
      </c>
      <c r="P140" s="9">
        <v>1.2927</v>
      </c>
      <c r="Q140" s="9">
        <v>32.440300000000001</v>
      </c>
      <c r="R140" s="9"/>
      <c r="S140" s="11"/>
    </row>
    <row r="141" spans="1:19" ht="15" customHeight="1">
      <c r="A141" s="13">
        <v>45444</v>
      </c>
      <c r="B141" s="8">
        <f>CHOOSE( CONTROL!$C$33, 6.3898, 6.3882) * CHOOSE(CONTROL!$C$16, $D$10, 100%, $F$10)</f>
        <v>6.3898000000000001</v>
      </c>
      <c r="C141" s="8">
        <f>CHOOSE( CONTROL!$C$33, 6.3978, 6.3962) * CHOOSE(CONTROL!$C$16, $D$10, 100%, $F$10)</f>
        <v>6.3978000000000002</v>
      </c>
      <c r="D141" s="8">
        <f>CHOOSE( CONTROL!$C$33, 6.4202, 6.4186) * CHOOSE( CONTROL!$C$16, $D$10, 100%, $F$10)</f>
        <v>6.4202000000000004</v>
      </c>
      <c r="E141" s="12">
        <f>CHOOSE( CONTROL!$C$33, 6.4109, 6.4093) * CHOOSE( CONTROL!$C$16, $D$10, 100%, $F$10)</f>
        <v>6.4108999999999998</v>
      </c>
      <c r="F141" s="4">
        <f>CHOOSE( CONTROL!$C$33, 7.1667, 7.1652) * CHOOSE(CONTROL!$C$16, $D$10, 100%, $F$10)</f>
        <v>7.1666999999999996</v>
      </c>
      <c r="G141" s="8">
        <f>CHOOSE( CONTROL!$C$33, 6.3618, 6.3602) * CHOOSE( CONTROL!$C$16, $D$10, 100%, $F$10)</f>
        <v>6.3617999999999997</v>
      </c>
      <c r="H141" s="4">
        <f>CHOOSE( CONTROL!$C$33, 7.3406, 7.339) * CHOOSE(CONTROL!$C$16, $D$10, 100%, $F$10)</f>
        <v>7.3406000000000002</v>
      </c>
      <c r="I141" s="8">
        <f>CHOOSE( CONTROL!$C$33, 6.3212, 6.3197) * CHOOSE(CONTROL!$C$16, $D$10, 100%, $F$10)</f>
        <v>6.3212000000000002</v>
      </c>
      <c r="J141" s="4">
        <f>CHOOSE( CONTROL!$C$33, 6.2018, 6.2003) * CHOOSE(CONTROL!$C$16, $D$10, 100%, $F$10)</f>
        <v>6.2018000000000004</v>
      </c>
      <c r="K141" s="4"/>
      <c r="L141" s="9">
        <v>29.7257</v>
      </c>
      <c r="M141" s="9">
        <v>11.6745</v>
      </c>
      <c r="N141" s="9">
        <v>4.7850000000000001</v>
      </c>
      <c r="O141" s="9">
        <v>0.36199999999999999</v>
      </c>
      <c r="P141" s="9">
        <v>1.2509999999999999</v>
      </c>
      <c r="Q141" s="9">
        <v>31.393799999999999</v>
      </c>
      <c r="R141" s="9"/>
      <c r="S141" s="11"/>
    </row>
    <row r="142" spans="1:19" ht="15" customHeight="1">
      <c r="A142" s="13">
        <v>45474</v>
      </c>
      <c r="B142" s="8">
        <f>CHOOSE( CONTROL!$C$33, 6.6653, 6.6638) * CHOOSE(CONTROL!$C$16, $D$10, 100%, $F$10)</f>
        <v>6.6653000000000002</v>
      </c>
      <c r="C142" s="8">
        <f>CHOOSE( CONTROL!$C$33, 6.6733, 6.6718) * CHOOSE(CONTROL!$C$16, $D$10, 100%, $F$10)</f>
        <v>6.6733000000000002</v>
      </c>
      <c r="D142" s="8">
        <f>CHOOSE( CONTROL!$C$33, 6.696, 6.6944) * CHOOSE( CONTROL!$C$16, $D$10, 100%, $F$10)</f>
        <v>6.6959999999999997</v>
      </c>
      <c r="E142" s="12">
        <f>CHOOSE( CONTROL!$C$33, 6.6866, 6.685) * CHOOSE( CONTROL!$C$16, $D$10, 100%, $F$10)</f>
        <v>6.6866000000000003</v>
      </c>
      <c r="F142" s="4">
        <f>CHOOSE( CONTROL!$C$33, 7.4423, 7.4407) * CHOOSE(CONTROL!$C$16, $D$10, 100%, $F$10)</f>
        <v>7.4423000000000004</v>
      </c>
      <c r="G142" s="8">
        <f>CHOOSE( CONTROL!$C$33, 6.6336, 6.6321) * CHOOSE( CONTROL!$C$16, $D$10, 100%, $F$10)</f>
        <v>6.6336000000000004</v>
      </c>
      <c r="H142" s="4">
        <f>CHOOSE( CONTROL!$C$33, 7.6123, 7.6107) * CHOOSE(CONTROL!$C$16, $D$10, 100%, $F$10)</f>
        <v>7.6123000000000003</v>
      </c>
      <c r="I142" s="8">
        <f>CHOOSE( CONTROL!$C$33, 6.5889, 6.5874) * CHOOSE(CONTROL!$C$16, $D$10, 100%, $F$10)</f>
        <v>6.5888999999999998</v>
      </c>
      <c r="J142" s="4">
        <f>CHOOSE( CONTROL!$C$33, 6.4686, 6.4671) * CHOOSE(CONTROL!$C$16, $D$10, 100%, $F$10)</f>
        <v>6.4686000000000003</v>
      </c>
      <c r="K142" s="4"/>
      <c r="L142" s="9">
        <v>30.7165</v>
      </c>
      <c r="M142" s="9">
        <v>12.063700000000001</v>
      </c>
      <c r="N142" s="9">
        <v>4.9444999999999997</v>
      </c>
      <c r="O142" s="9">
        <v>0.37409999999999999</v>
      </c>
      <c r="P142" s="9">
        <v>1.2927</v>
      </c>
      <c r="Q142" s="9">
        <v>32.440300000000001</v>
      </c>
      <c r="R142" s="9"/>
      <c r="S142" s="11"/>
    </row>
    <row r="143" spans="1:19" ht="15" customHeight="1">
      <c r="A143" s="13">
        <v>45505</v>
      </c>
      <c r="B143" s="8">
        <f>CHOOSE( CONTROL!$C$33, 6.1498, 6.1482) * CHOOSE(CONTROL!$C$16, $D$10, 100%, $F$10)</f>
        <v>6.1497999999999999</v>
      </c>
      <c r="C143" s="8">
        <f>CHOOSE( CONTROL!$C$33, 6.1578, 6.1562) * CHOOSE(CONTROL!$C$16, $D$10, 100%, $F$10)</f>
        <v>6.1577999999999999</v>
      </c>
      <c r="D143" s="8">
        <f>CHOOSE( CONTROL!$C$33, 6.1804, 6.1789) * CHOOSE( CONTROL!$C$16, $D$10, 100%, $F$10)</f>
        <v>6.1803999999999997</v>
      </c>
      <c r="E143" s="12">
        <f>CHOOSE( CONTROL!$C$33, 6.171, 6.1695) * CHOOSE( CONTROL!$C$16, $D$10, 100%, $F$10)</f>
        <v>6.1710000000000003</v>
      </c>
      <c r="F143" s="4">
        <f>CHOOSE( CONTROL!$C$33, 6.9267, 6.9251) * CHOOSE(CONTROL!$C$16, $D$10, 100%, $F$10)</f>
        <v>6.9267000000000003</v>
      </c>
      <c r="G143" s="8">
        <f>CHOOSE( CONTROL!$C$33, 6.1253, 6.1238) * CHOOSE( CONTROL!$C$16, $D$10, 100%, $F$10)</f>
        <v>6.1253000000000002</v>
      </c>
      <c r="H143" s="4">
        <f>CHOOSE( CONTROL!$C$33, 7.1039, 7.1024) * CHOOSE(CONTROL!$C$16, $D$10, 100%, $F$10)</f>
        <v>7.1039000000000003</v>
      </c>
      <c r="I143" s="8">
        <f>CHOOSE( CONTROL!$C$33, 6.0896, 6.0881) * CHOOSE(CONTROL!$C$16, $D$10, 100%, $F$10)</f>
        <v>6.0895999999999999</v>
      </c>
      <c r="J143" s="4">
        <f>CHOOSE( CONTROL!$C$33, 5.9694, 5.9679) * CHOOSE(CONTROL!$C$16, $D$10, 100%, $F$10)</f>
        <v>5.9694000000000003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1.2927</v>
      </c>
      <c r="Q143" s="9">
        <v>32.440300000000001</v>
      </c>
      <c r="R143" s="9"/>
      <c r="S143" s="11"/>
    </row>
    <row r="144" spans="1:19" ht="15" customHeight="1">
      <c r="A144" s="13">
        <v>45536</v>
      </c>
      <c r="B144" s="8">
        <f>CHOOSE( CONTROL!$C$33, 6.0207, 6.0191) * CHOOSE(CONTROL!$C$16, $D$10, 100%, $F$10)</f>
        <v>6.0206999999999997</v>
      </c>
      <c r="C144" s="8">
        <f>CHOOSE( CONTROL!$C$33, 6.0287, 6.0271) * CHOOSE(CONTROL!$C$16, $D$10, 100%, $F$10)</f>
        <v>6.0286999999999997</v>
      </c>
      <c r="D144" s="8">
        <f>CHOOSE( CONTROL!$C$33, 6.0512, 6.0497) * CHOOSE( CONTROL!$C$16, $D$10, 100%, $F$10)</f>
        <v>6.0511999999999997</v>
      </c>
      <c r="E144" s="12">
        <f>CHOOSE( CONTROL!$C$33, 6.0418, 6.0403) * CHOOSE( CONTROL!$C$16, $D$10, 100%, $F$10)</f>
        <v>6.0418000000000003</v>
      </c>
      <c r="F144" s="4">
        <f>CHOOSE( CONTROL!$C$33, 6.7976, 6.796) * CHOOSE(CONTROL!$C$16, $D$10, 100%, $F$10)</f>
        <v>6.7976000000000001</v>
      </c>
      <c r="G144" s="8">
        <f>CHOOSE( CONTROL!$C$33, 5.9979, 5.9964) * CHOOSE( CONTROL!$C$16, $D$10, 100%, $F$10)</f>
        <v>5.9978999999999996</v>
      </c>
      <c r="H144" s="4">
        <f>CHOOSE( CONTROL!$C$33, 6.9766, 6.9751) * CHOOSE(CONTROL!$C$16, $D$10, 100%, $F$10)</f>
        <v>6.9766000000000004</v>
      </c>
      <c r="I144" s="8">
        <f>CHOOSE( CONTROL!$C$33, 5.9641, 5.9626) * CHOOSE(CONTROL!$C$16, $D$10, 100%, $F$10)</f>
        <v>5.9641000000000002</v>
      </c>
      <c r="J144" s="4">
        <f>CHOOSE( CONTROL!$C$33, 5.8444, 5.8429) * CHOOSE(CONTROL!$C$16, $D$10, 100%, $F$10)</f>
        <v>5.8444000000000003</v>
      </c>
      <c r="K144" s="4"/>
      <c r="L144" s="9">
        <v>29.7257</v>
      </c>
      <c r="M144" s="9">
        <v>11.6745</v>
      </c>
      <c r="N144" s="9">
        <v>4.7850000000000001</v>
      </c>
      <c r="O144" s="9">
        <v>0.36199999999999999</v>
      </c>
      <c r="P144" s="9">
        <v>1.2509999999999999</v>
      </c>
      <c r="Q144" s="9">
        <v>31.393799999999999</v>
      </c>
      <c r="R144" s="9"/>
      <c r="S144" s="11"/>
    </row>
    <row r="145" spans="1:19" ht="15" customHeight="1">
      <c r="A145" s="13">
        <v>45566</v>
      </c>
      <c r="B145" s="8">
        <f>CHOOSE( CONTROL!$C$33, 6.2866, 6.2854) * CHOOSE(CONTROL!$C$16, $D$10, 100%, $F$10)</f>
        <v>6.2866</v>
      </c>
      <c r="C145" s="8">
        <f>CHOOSE( CONTROL!$C$33, 6.2919, 6.2908) * CHOOSE(CONTROL!$C$16, $D$10, 100%, $F$10)</f>
        <v>6.2919</v>
      </c>
      <c r="D145" s="8">
        <f>CHOOSE( CONTROL!$C$33, 6.3207, 6.3196) * CHOOSE( CONTROL!$C$16, $D$10, 100%, $F$10)</f>
        <v>6.3207000000000004</v>
      </c>
      <c r="E145" s="12">
        <f>CHOOSE( CONTROL!$C$33, 6.3106, 6.3095) * CHOOSE( CONTROL!$C$16, $D$10, 100%, $F$10)</f>
        <v>6.3106</v>
      </c>
      <c r="F145" s="4">
        <f>CHOOSE( CONTROL!$C$33, 7.0652, 7.0641) * CHOOSE(CONTROL!$C$16, $D$10, 100%, $F$10)</f>
        <v>7.0651999999999999</v>
      </c>
      <c r="G145" s="8">
        <f>CHOOSE( CONTROL!$C$33, 6.2619, 6.2608) * CHOOSE( CONTROL!$C$16, $D$10, 100%, $F$10)</f>
        <v>6.2618999999999998</v>
      </c>
      <c r="H145" s="4">
        <f>CHOOSE( CONTROL!$C$33, 7.2405, 7.2394) * CHOOSE(CONTROL!$C$16, $D$10, 100%, $F$10)</f>
        <v>7.2404999999999999</v>
      </c>
      <c r="I145" s="8">
        <f>CHOOSE( CONTROL!$C$33, 6.224, 6.2229) * CHOOSE(CONTROL!$C$16, $D$10, 100%, $F$10)</f>
        <v>6.2240000000000002</v>
      </c>
      <c r="J145" s="4">
        <f>CHOOSE( CONTROL!$C$33, 6.1035, 6.1025) * CHOOSE(CONTROL!$C$16, $D$10, 100%, $F$10)</f>
        <v>6.1035000000000004</v>
      </c>
      <c r="K145" s="4"/>
      <c r="L145" s="9">
        <v>31.095300000000002</v>
      </c>
      <c r="M145" s="9">
        <v>12.063700000000001</v>
      </c>
      <c r="N145" s="9">
        <v>4.9444999999999997</v>
      </c>
      <c r="O145" s="9">
        <v>0.37409999999999999</v>
      </c>
      <c r="P145" s="9">
        <v>1.2927</v>
      </c>
      <c r="Q145" s="9">
        <v>32.440300000000001</v>
      </c>
      <c r="R145" s="9"/>
      <c r="S145" s="11"/>
    </row>
    <row r="146" spans="1:19" ht="15" customHeight="1">
      <c r="A146" s="13">
        <v>45597</v>
      </c>
      <c r="B146" s="8">
        <f>CHOOSE( CONTROL!$C$33, 6.7809, 6.7798) * CHOOSE(CONTROL!$C$16, $D$10, 100%, $F$10)</f>
        <v>6.7808999999999999</v>
      </c>
      <c r="C146" s="8">
        <f>CHOOSE( CONTROL!$C$33, 6.786, 6.7849) * CHOOSE(CONTROL!$C$16, $D$10, 100%, $F$10)</f>
        <v>6.7859999999999996</v>
      </c>
      <c r="D146" s="8">
        <f>CHOOSE( CONTROL!$C$33, 6.7657, 6.7646) * CHOOSE( CONTROL!$C$16, $D$10, 100%, $F$10)</f>
        <v>6.7656999999999998</v>
      </c>
      <c r="E146" s="12">
        <f>CHOOSE( CONTROL!$C$33, 6.7726, 6.7715) * CHOOSE( CONTROL!$C$16, $D$10, 100%, $F$10)</f>
        <v>6.7725999999999997</v>
      </c>
      <c r="F146" s="4">
        <f>CHOOSE( CONTROL!$C$33, 7.4438, 7.4427) * CHOOSE(CONTROL!$C$16, $D$10, 100%, $F$10)</f>
        <v>7.4438000000000004</v>
      </c>
      <c r="G146" s="8">
        <f>CHOOSE( CONTROL!$C$33, 6.7223, 6.7212) * CHOOSE( CONTROL!$C$16, $D$10, 100%, $F$10)</f>
        <v>6.7222999999999997</v>
      </c>
      <c r="H146" s="4">
        <f>CHOOSE( CONTROL!$C$33, 7.6138, 7.6127) * CHOOSE(CONTROL!$C$16, $D$10, 100%, $F$10)</f>
        <v>7.6138000000000003</v>
      </c>
      <c r="I146" s="8">
        <f>CHOOSE( CONTROL!$C$33, 6.7511, 6.75) * CHOOSE(CONTROL!$C$16, $D$10, 100%, $F$10)</f>
        <v>6.7511000000000001</v>
      </c>
      <c r="J146" s="4">
        <f>CHOOSE( CONTROL!$C$33, 6.5826, 6.5816) * CHOOSE(CONTROL!$C$16, $D$10, 100%, $F$10)</f>
        <v>6.5826000000000002</v>
      </c>
      <c r="K146" s="4"/>
      <c r="L146" s="9">
        <v>28.360600000000002</v>
      </c>
      <c r="M146" s="9">
        <v>11.6745</v>
      </c>
      <c r="N146" s="9">
        <v>4.7850000000000001</v>
      </c>
      <c r="O146" s="9">
        <v>0.36199999999999999</v>
      </c>
      <c r="P146" s="9">
        <v>1.2509999999999999</v>
      </c>
      <c r="Q146" s="9">
        <v>31.393799999999999</v>
      </c>
      <c r="R146" s="9"/>
      <c r="S146" s="11"/>
    </row>
    <row r="147" spans="1:19" ht="15" customHeight="1">
      <c r="A147" s="13">
        <v>45627</v>
      </c>
      <c r="B147" s="8">
        <f>CHOOSE( CONTROL!$C$33, 6.7686, 6.7675) * CHOOSE(CONTROL!$C$16, $D$10, 100%, $F$10)</f>
        <v>6.7686000000000002</v>
      </c>
      <c r="C147" s="8">
        <f>CHOOSE( CONTROL!$C$33, 6.7737, 6.7726) * CHOOSE(CONTROL!$C$16, $D$10, 100%, $F$10)</f>
        <v>6.7736999999999998</v>
      </c>
      <c r="D147" s="8">
        <f>CHOOSE( CONTROL!$C$33, 6.7548, 6.7537) * CHOOSE( CONTROL!$C$16, $D$10, 100%, $F$10)</f>
        <v>6.7548000000000004</v>
      </c>
      <c r="E147" s="12">
        <f>CHOOSE( CONTROL!$C$33, 6.7612, 6.7601) * CHOOSE( CONTROL!$C$16, $D$10, 100%, $F$10)</f>
        <v>6.7611999999999997</v>
      </c>
      <c r="F147" s="4">
        <f>CHOOSE( CONTROL!$C$33, 7.4314, 7.4303) * CHOOSE(CONTROL!$C$16, $D$10, 100%, $F$10)</f>
        <v>7.4314</v>
      </c>
      <c r="G147" s="8">
        <f>CHOOSE( CONTROL!$C$33, 6.7111, 6.71) * CHOOSE( CONTROL!$C$16, $D$10, 100%, $F$10)</f>
        <v>6.7111000000000001</v>
      </c>
      <c r="H147" s="4">
        <f>CHOOSE( CONTROL!$C$33, 7.6016, 7.6005) * CHOOSE(CONTROL!$C$16, $D$10, 100%, $F$10)</f>
        <v>7.6016000000000004</v>
      </c>
      <c r="I147" s="8">
        <f>CHOOSE( CONTROL!$C$33, 6.7436, 6.7426) * CHOOSE(CONTROL!$C$16, $D$10, 100%, $F$10)</f>
        <v>6.7435999999999998</v>
      </c>
      <c r="J147" s="4">
        <f>CHOOSE( CONTROL!$C$33, 6.5707, 6.5696) * CHOOSE(CONTROL!$C$16, $D$10, 100%, $F$10)</f>
        <v>6.5707000000000004</v>
      </c>
      <c r="K147" s="4"/>
      <c r="L147" s="9">
        <v>29.306000000000001</v>
      </c>
      <c r="M147" s="9">
        <v>12.063700000000001</v>
      </c>
      <c r="N147" s="9">
        <v>4.9444999999999997</v>
      </c>
      <c r="O147" s="9">
        <v>0.37409999999999999</v>
      </c>
      <c r="P147" s="9">
        <v>1.2927</v>
      </c>
      <c r="Q147" s="9">
        <v>32.440300000000001</v>
      </c>
      <c r="R147" s="9"/>
      <c r="S147" s="11"/>
    </row>
    <row r="148" spans="1:19" ht="15" customHeight="1">
      <c r="A148" s="13">
        <v>45658</v>
      </c>
      <c r="B148" s="8">
        <f>CHOOSE( CONTROL!$C$33, 6.9685, 6.9674) * CHOOSE(CONTROL!$C$16, $D$10, 100%, $F$10)</f>
        <v>6.9684999999999997</v>
      </c>
      <c r="C148" s="8">
        <f>CHOOSE( CONTROL!$C$33, 6.9736, 6.9725) * CHOOSE(CONTROL!$C$16, $D$10, 100%, $F$10)</f>
        <v>6.9736000000000002</v>
      </c>
      <c r="D148" s="8">
        <f>CHOOSE( CONTROL!$C$33, 6.966, 6.9649) * CHOOSE( CONTROL!$C$16, $D$10, 100%, $F$10)</f>
        <v>6.9660000000000002</v>
      </c>
      <c r="E148" s="12">
        <f>CHOOSE( CONTROL!$C$33, 6.9682, 6.9671) * CHOOSE( CONTROL!$C$16, $D$10, 100%, $F$10)</f>
        <v>6.9682000000000004</v>
      </c>
      <c r="F148" s="4">
        <f>CHOOSE( CONTROL!$C$33, 7.6314, 7.6303) * CHOOSE(CONTROL!$C$16, $D$10, 100%, $F$10)</f>
        <v>7.6314000000000002</v>
      </c>
      <c r="G148" s="8">
        <f>CHOOSE( CONTROL!$C$33, 6.9141, 6.913) * CHOOSE( CONTROL!$C$16, $D$10, 100%, $F$10)</f>
        <v>6.9141000000000004</v>
      </c>
      <c r="H148" s="4">
        <f>CHOOSE( CONTROL!$C$33, 7.7988, 7.7977) * CHOOSE(CONTROL!$C$16, $D$10, 100%, $F$10)</f>
        <v>7.7988</v>
      </c>
      <c r="I148" s="8">
        <f>CHOOSE( CONTROL!$C$33, 6.9286, 6.9275) * CHOOSE(CONTROL!$C$16, $D$10, 100%, $F$10)</f>
        <v>6.9286000000000003</v>
      </c>
      <c r="J148" s="4">
        <f>CHOOSE( CONTROL!$C$33, 6.7643, 6.7632) * CHOOSE(CONTROL!$C$16, $D$10, 100%, $F$10)</f>
        <v>6.7643000000000004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32.254300000000001</v>
      </c>
      <c r="R148" s="9"/>
      <c r="S148" s="11"/>
    </row>
    <row r="149" spans="1:19" ht="15" customHeight="1">
      <c r="A149" s="13">
        <v>45689</v>
      </c>
      <c r="B149" s="8">
        <f>CHOOSE( CONTROL!$C$33, 6.517, 6.5159) * CHOOSE(CONTROL!$C$16, $D$10, 100%, $F$10)</f>
        <v>6.5170000000000003</v>
      </c>
      <c r="C149" s="8">
        <f>CHOOSE( CONTROL!$C$33, 6.5221, 6.521) * CHOOSE(CONTROL!$C$16, $D$10, 100%, $F$10)</f>
        <v>6.5221</v>
      </c>
      <c r="D149" s="8">
        <f>CHOOSE( CONTROL!$C$33, 6.5143, 6.5131) * CHOOSE( CONTROL!$C$16, $D$10, 100%, $F$10)</f>
        <v>6.5143000000000004</v>
      </c>
      <c r="E149" s="12">
        <f>CHOOSE( CONTROL!$C$33, 6.5166, 6.5154) * CHOOSE( CONTROL!$C$16, $D$10, 100%, $F$10)</f>
        <v>6.5166000000000004</v>
      </c>
      <c r="F149" s="4">
        <f>CHOOSE( CONTROL!$C$33, 7.1798, 7.1787) * CHOOSE(CONTROL!$C$16, $D$10, 100%, $F$10)</f>
        <v>7.1798000000000002</v>
      </c>
      <c r="G149" s="8">
        <f>CHOOSE( CONTROL!$C$33, 6.4688, 6.4677) * CHOOSE( CONTROL!$C$16, $D$10, 100%, $F$10)</f>
        <v>6.4687999999999999</v>
      </c>
      <c r="H149" s="4">
        <f>CHOOSE( CONTROL!$C$33, 7.3535, 7.3524) * CHOOSE(CONTROL!$C$16, $D$10, 100%, $F$10)</f>
        <v>7.3535000000000004</v>
      </c>
      <c r="I149" s="8">
        <f>CHOOSE( CONTROL!$C$33, 6.4906, 6.4895) * CHOOSE(CONTROL!$C$16, $D$10, 100%, $F$10)</f>
        <v>6.4905999999999997</v>
      </c>
      <c r="J149" s="4">
        <f>CHOOSE( CONTROL!$C$33, 6.327, 6.326) * CHOOSE(CONTROL!$C$16, $D$10, 100%, $F$10)</f>
        <v>6.327</v>
      </c>
      <c r="K149" s="4"/>
      <c r="L149" s="9">
        <v>26.469899999999999</v>
      </c>
      <c r="M149" s="9">
        <v>10.8962</v>
      </c>
      <c r="N149" s="9">
        <v>4.4660000000000002</v>
      </c>
      <c r="O149" s="9">
        <v>0.33789999999999998</v>
      </c>
      <c r="P149" s="9">
        <v>1.1676</v>
      </c>
      <c r="Q149" s="9">
        <v>29.132899999999999</v>
      </c>
      <c r="R149" s="9"/>
      <c r="S149" s="11"/>
    </row>
    <row r="150" spans="1:19" ht="15" customHeight="1">
      <c r="A150" s="13">
        <v>45717</v>
      </c>
      <c r="B150" s="8">
        <f>CHOOSE( CONTROL!$C$33, 6.3779, 6.3768) * CHOOSE(CONTROL!$C$16, $D$10, 100%, $F$10)</f>
        <v>6.3779000000000003</v>
      </c>
      <c r="C150" s="8">
        <f>CHOOSE( CONTROL!$C$33, 6.383, 6.3819) * CHOOSE(CONTROL!$C$16, $D$10, 100%, $F$10)</f>
        <v>6.383</v>
      </c>
      <c r="D150" s="8">
        <f>CHOOSE( CONTROL!$C$33, 6.3744, 6.3733) * CHOOSE( CONTROL!$C$16, $D$10, 100%, $F$10)</f>
        <v>6.3743999999999996</v>
      </c>
      <c r="E150" s="12">
        <f>CHOOSE( CONTROL!$C$33, 6.377, 6.3759) * CHOOSE( CONTROL!$C$16, $D$10, 100%, $F$10)</f>
        <v>6.3769999999999998</v>
      </c>
      <c r="F150" s="4">
        <f>CHOOSE( CONTROL!$C$33, 7.0408, 7.0396) * CHOOSE(CONTROL!$C$16, $D$10, 100%, $F$10)</f>
        <v>7.0407999999999999</v>
      </c>
      <c r="G150" s="8">
        <f>CHOOSE( CONTROL!$C$33, 6.3311, 6.33) * CHOOSE( CONTROL!$C$16, $D$10, 100%, $F$10)</f>
        <v>6.3311000000000002</v>
      </c>
      <c r="H150" s="4">
        <f>CHOOSE( CONTROL!$C$33, 7.2164, 7.2153) * CHOOSE(CONTROL!$C$16, $D$10, 100%, $F$10)</f>
        <v>7.2164000000000001</v>
      </c>
      <c r="I150" s="8">
        <f>CHOOSE( CONTROL!$C$33, 6.3536, 6.3525) * CHOOSE(CONTROL!$C$16, $D$10, 100%, $F$10)</f>
        <v>6.3536000000000001</v>
      </c>
      <c r="J150" s="4">
        <f>CHOOSE( CONTROL!$C$33, 6.1924, 6.1913) * CHOOSE(CONTROL!$C$16, $D$10, 100%, $F$10)</f>
        <v>6.1924000000000001</v>
      </c>
      <c r="K150" s="4"/>
      <c r="L150" s="9">
        <v>29.306000000000001</v>
      </c>
      <c r="M150" s="9">
        <v>12.063700000000001</v>
      </c>
      <c r="N150" s="9">
        <v>4.9444999999999997</v>
      </c>
      <c r="O150" s="9">
        <v>0.37409999999999999</v>
      </c>
      <c r="P150" s="9">
        <v>1.2927</v>
      </c>
      <c r="Q150" s="9">
        <v>32.254300000000001</v>
      </c>
      <c r="R150" s="9"/>
      <c r="S150" s="11"/>
    </row>
    <row r="151" spans="1:19" ht="15" customHeight="1">
      <c r="A151" s="13">
        <v>45748</v>
      </c>
      <c r="B151" s="8">
        <f>CHOOSE( CONTROL!$C$33, 6.4758, 6.4747) * CHOOSE(CONTROL!$C$16, $D$10, 100%, $F$10)</f>
        <v>6.4757999999999996</v>
      </c>
      <c r="C151" s="8">
        <f>CHOOSE( CONTROL!$C$33, 6.4804, 6.4793) * CHOOSE(CONTROL!$C$16, $D$10, 100%, $F$10)</f>
        <v>6.4804000000000004</v>
      </c>
      <c r="D151" s="8">
        <f>CHOOSE( CONTROL!$C$33, 6.5092, 6.5081) * CHOOSE( CONTROL!$C$16, $D$10, 100%, $F$10)</f>
        <v>6.5091999999999999</v>
      </c>
      <c r="E151" s="12">
        <f>CHOOSE( CONTROL!$C$33, 6.4992, 6.4981) * CHOOSE( CONTROL!$C$16, $D$10, 100%, $F$10)</f>
        <v>6.4992000000000001</v>
      </c>
      <c r="F151" s="4">
        <f>CHOOSE( CONTROL!$C$33, 7.2541, 7.253) * CHOOSE(CONTROL!$C$16, $D$10, 100%, $F$10)</f>
        <v>7.2541000000000002</v>
      </c>
      <c r="G151" s="8">
        <f>CHOOSE( CONTROL!$C$33, 6.4479, 6.4468) * CHOOSE( CONTROL!$C$16, $D$10, 100%, $F$10)</f>
        <v>6.4478999999999997</v>
      </c>
      <c r="H151" s="4">
        <f>CHOOSE( CONTROL!$C$33, 7.4268, 7.4257) * CHOOSE(CONTROL!$C$16, $D$10, 100%, $F$10)</f>
        <v>7.4268000000000001</v>
      </c>
      <c r="I151" s="8">
        <f>CHOOSE( CONTROL!$C$33, 6.4057, 6.4046) * CHOOSE(CONTROL!$C$16, $D$10, 100%, $F$10)</f>
        <v>6.4057000000000004</v>
      </c>
      <c r="J151" s="4">
        <f>CHOOSE( CONTROL!$C$33, 6.2865, 6.2854) * CHOOSE(CONTROL!$C$16, $D$10, 100%, $F$10)</f>
        <v>6.2865000000000002</v>
      </c>
      <c r="K151" s="4"/>
      <c r="L151" s="9">
        <v>30.092199999999998</v>
      </c>
      <c r="M151" s="9">
        <v>11.6745</v>
      </c>
      <c r="N151" s="9">
        <v>4.7850000000000001</v>
      </c>
      <c r="O151" s="9">
        <v>0.36199999999999999</v>
      </c>
      <c r="P151" s="9">
        <v>1.2509999999999999</v>
      </c>
      <c r="Q151" s="9">
        <v>31.213799999999999</v>
      </c>
      <c r="R151" s="9"/>
      <c r="S151" s="11"/>
    </row>
    <row r="152" spans="1:19" ht="15" customHeight="1">
      <c r="A152" s="13">
        <v>45778</v>
      </c>
      <c r="B152" s="8">
        <f>CHOOSE( CONTROL!$C$33, 6.6506, 6.6491) * CHOOSE(CONTROL!$C$16, $D$10, 100%, $F$10)</f>
        <v>6.6505999999999998</v>
      </c>
      <c r="C152" s="8">
        <f>CHOOSE( CONTROL!$C$33, 6.6586, 6.6571) * CHOOSE(CONTROL!$C$16, $D$10, 100%, $F$10)</f>
        <v>6.6585999999999999</v>
      </c>
      <c r="D152" s="8">
        <f>CHOOSE( CONTROL!$C$33, 6.6809, 6.6793) * CHOOSE( CONTROL!$C$16, $D$10, 100%, $F$10)</f>
        <v>6.6809000000000003</v>
      </c>
      <c r="E152" s="12">
        <f>CHOOSE( CONTROL!$C$33, 6.6716, 6.67) * CHOOSE( CONTROL!$C$16, $D$10, 100%, $F$10)</f>
        <v>6.6715999999999998</v>
      </c>
      <c r="F152" s="4">
        <f>CHOOSE( CONTROL!$C$33, 7.4275, 7.426) * CHOOSE(CONTROL!$C$16, $D$10, 100%, $F$10)</f>
        <v>7.4275000000000002</v>
      </c>
      <c r="G152" s="8">
        <f>CHOOSE( CONTROL!$C$33, 6.6188, 6.6173) * CHOOSE( CONTROL!$C$16, $D$10, 100%, $F$10)</f>
        <v>6.6188000000000002</v>
      </c>
      <c r="H152" s="4">
        <f>CHOOSE( CONTROL!$C$33, 7.5978, 7.5962) * CHOOSE(CONTROL!$C$16, $D$10, 100%, $F$10)</f>
        <v>7.5978000000000003</v>
      </c>
      <c r="I152" s="8">
        <f>CHOOSE( CONTROL!$C$33, 6.5733, 6.5718) * CHOOSE(CONTROL!$C$16, $D$10, 100%, $F$10)</f>
        <v>6.5732999999999997</v>
      </c>
      <c r="J152" s="4">
        <f>CHOOSE( CONTROL!$C$33, 6.4544, 6.4529) * CHOOSE(CONTROL!$C$16, $D$10, 100%, $F$10)</f>
        <v>6.4543999999999997</v>
      </c>
      <c r="K152" s="4"/>
      <c r="L152" s="9">
        <v>30.7165</v>
      </c>
      <c r="M152" s="9">
        <v>12.063700000000001</v>
      </c>
      <c r="N152" s="9">
        <v>4.9444999999999997</v>
      </c>
      <c r="O152" s="9">
        <v>0.37409999999999999</v>
      </c>
      <c r="P152" s="9">
        <v>1.2927</v>
      </c>
      <c r="Q152" s="9">
        <v>32.254300000000001</v>
      </c>
      <c r="R152" s="9"/>
      <c r="S152" s="11"/>
    </row>
    <row r="153" spans="1:19" ht="15" customHeight="1">
      <c r="A153" s="13">
        <v>45809</v>
      </c>
      <c r="B153" s="8">
        <f>CHOOSE( CONTROL!$C$33, 6.5435, 6.5419) * CHOOSE(CONTROL!$C$16, $D$10, 100%, $F$10)</f>
        <v>6.5434999999999999</v>
      </c>
      <c r="C153" s="8">
        <f>CHOOSE( CONTROL!$C$33, 6.5515, 6.5499) * CHOOSE(CONTROL!$C$16, $D$10, 100%, $F$10)</f>
        <v>6.5514999999999999</v>
      </c>
      <c r="D153" s="8">
        <f>CHOOSE( CONTROL!$C$33, 6.5739, 6.5723) * CHOOSE( CONTROL!$C$16, $D$10, 100%, $F$10)</f>
        <v>6.5739000000000001</v>
      </c>
      <c r="E153" s="12">
        <f>CHOOSE( CONTROL!$C$33, 6.5646, 6.563) * CHOOSE( CONTROL!$C$16, $D$10, 100%, $F$10)</f>
        <v>6.5646000000000004</v>
      </c>
      <c r="F153" s="4">
        <f>CHOOSE( CONTROL!$C$33, 7.3204, 7.3188) * CHOOSE(CONTROL!$C$16, $D$10, 100%, $F$10)</f>
        <v>7.3204000000000002</v>
      </c>
      <c r="G153" s="8">
        <f>CHOOSE( CONTROL!$C$33, 6.5133, 6.5117) * CHOOSE( CONTROL!$C$16, $D$10, 100%, $F$10)</f>
        <v>6.5133000000000001</v>
      </c>
      <c r="H153" s="4">
        <f>CHOOSE( CONTROL!$C$33, 7.4921, 7.4906) * CHOOSE(CONTROL!$C$16, $D$10, 100%, $F$10)</f>
        <v>7.4920999999999998</v>
      </c>
      <c r="I153" s="8">
        <f>CHOOSE( CONTROL!$C$33, 6.4701, 6.4686) * CHOOSE(CONTROL!$C$16, $D$10, 100%, $F$10)</f>
        <v>6.4701000000000004</v>
      </c>
      <c r="J153" s="4">
        <f>CHOOSE( CONTROL!$C$33, 6.3506, 6.3491) * CHOOSE(CONTROL!$C$16, $D$10, 100%, $F$10)</f>
        <v>6.3506</v>
      </c>
      <c r="K153" s="4"/>
      <c r="L153" s="9">
        <v>29.7257</v>
      </c>
      <c r="M153" s="9">
        <v>11.6745</v>
      </c>
      <c r="N153" s="9">
        <v>4.7850000000000001</v>
      </c>
      <c r="O153" s="9">
        <v>0.36199999999999999</v>
      </c>
      <c r="P153" s="9">
        <v>1.2509999999999999</v>
      </c>
      <c r="Q153" s="9">
        <v>31.213799999999999</v>
      </c>
      <c r="R153" s="9"/>
      <c r="S153" s="11"/>
    </row>
    <row r="154" spans="1:19" ht="15" customHeight="1">
      <c r="A154" s="13">
        <v>45839</v>
      </c>
      <c r="B154" s="8">
        <f>CHOOSE( CONTROL!$C$33, 6.8256, 6.8241) * CHOOSE(CONTROL!$C$16, $D$10, 100%, $F$10)</f>
        <v>6.8255999999999997</v>
      </c>
      <c r="C154" s="8">
        <f>CHOOSE( CONTROL!$C$33, 6.8336, 6.8321) * CHOOSE(CONTROL!$C$16, $D$10, 100%, $F$10)</f>
        <v>6.8335999999999997</v>
      </c>
      <c r="D154" s="8">
        <f>CHOOSE( CONTROL!$C$33, 6.8562, 6.8547) * CHOOSE( CONTROL!$C$16, $D$10, 100%, $F$10)</f>
        <v>6.8562000000000003</v>
      </c>
      <c r="E154" s="12">
        <f>CHOOSE( CONTROL!$C$33, 6.8468, 6.8453) * CHOOSE( CONTROL!$C$16, $D$10, 100%, $F$10)</f>
        <v>6.8468</v>
      </c>
      <c r="F154" s="4">
        <f>CHOOSE( CONTROL!$C$33, 7.6025, 7.601) * CHOOSE(CONTROL!$C$16, $D$10, 100%, $F$10)</f>
        <v>7.6025</v>
      </c>
      <c r="G154" s="8">
        <f>CHOOSE( CONTROL!$C$33, 6.7917, 6.7901) * CHOOSE( CONTROL!$C$16, $D$10, 100%, $F$10)</f>
        <v>6.7916999999999996</v>
      </c>
      <c r="H154" s="4">
        <f>CHOOSE( CONTROL!$C$33, 7.7703, 7.7688) * CHOOSE(CONTROL!$C$16, $D$10, 100%, $F$10)</f>
        <v>7.7702999999999998</v>
      </c>
      <c r="I154" s="8">
        <f>CHOOSE( CONTROL!$C$33, 6.7442, 6.7427) * CHOOSE(CONTROL!$C$16, $D$10, 100%, $F$10)</f>
        <v>6.7442000000000002</v>
      </c>
      <c r="J154" s="4">
        <f>CHOOSE( CONTROL!$C$33, 6.6239, 6.6223) * CHOOSE(CONTROL!$C$16, $D$10, 100%, $F$10)</f>
        <v>6.6238999999999999</v>
      </c>
      <c r="K154" s="4"/>
      <c r="L154" s="9">
        <v>30.7165</v>
      </c>
      <c r="M154" s="9">
        <v>12.063700000000001</v>
      </c>
      <c r="N154" s="9">
        <v>4.9444999999999997</v>
      </c>
      <c r="O154" s="9">
        <v>0.37409999999999999</v>
      </c>
      <c r="P154" s="9">
        <v>1.2927</v>
      </c>
      <c r="Q154" s="9">
        <v>32.254300000000001</v>
      </c>
      <c r="R154" s="9"/>
      <c r="S154" s="11"/>
    </row>
    <row r="155" spans="1:19" ht="15" customHeight="1">
      <c r="A155" s="13">
        <v>45870</v>
      </c>
      <c r="B155" s="8">
        <f>CHOOSE( CONTROL!$C$33, 6.2977, 6.2961) * CHOOSE(CONTROL!$C$16, $D$10, 100%, $F$10)</f>
        <v>6.2976999999999999</v>
      </c>
      <c r="C155" s="8">
        <f>CHOOSE( CONTROL!$C$33, 6.3057, 6.3041) * CHOOSE(CONTROL!$C$16, $D$10, 100%, $F$10)</f>
        <v>6.3056999999999999</v>
      </c>
      <c r="D155" s="8">
        <f>CHOOSE( CONTROL!$C$33, 6.3284, 6.3268) * CHOOSE( CONTROL!$C$16, $D$10, 100%, $F$10)</f>
        <v>6.3284000000000002</v>
      </c>
      <c r="E155" s="12">
        <f>CHOOSE( CONTROL!$C$33, 6.319, 6.3174) * CHOOSE( CONTROL!$C$16, $D$10, 100%, $F$10)</f>
        <v>6.319</v>
      </c>
      <c r="F155" s="4">
        <f>CHOOSE( CONTROL!$C$33, 7.0746, 7.073) * CHOOSE(CONTROL!$C$16, $D$10, 100%, $F$10)</f>
        <v>7.0746000000000002</v>
      </c>
      <c r="G155" s="8">
        <f>CHOOSE( CONTROL!$C$33, 6.2712, 6.2696) * CHOOSE( CONTROL!$C$16, $D$10, 100%, $F$10)</f>
        <v>6.2712000000000003</v>
      </c>
      <c r="H155" s="4">
        <f>CHOOSE( CONTROL!$C$33, 7.2498, 7.2482) * CHOOSE(CONTROL!$C$16, $D$10, 100%, $F$10)</f>
        <v>7.2497999999999996</v>
      </c>
      <c r="I155" s="8">
        <f>CHOOSE( CONTROL!$C$33, 6.2329, 6.2314) * CHOOSE(CONTROL!$C$16, $D$10, 100%, $F$10)</f>
        <v>6.2328999999999999</v>
      </c>
      <c r="J155" s="4">
        <f>CHOOSE( CONTROL!$C$33, 6.1127, 6.1111) * CHOOSE(CONTROL!$C$16, $D$10, 100%, $F$10)</f>
        <v>6.1127000000000002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1.2927</v>
      </c>
      <c r="Q155" s="9">
        <v>32.254300000000001</v>
      </c>
      <c r="R155" s="9"/>
      <c r="S155" s="11"/>
    </row>
    <row r="156" spans="1:19" ht="15" customHeight="1">
      <c r="A156" s="13">
        <v>45901</v>
      </c>
      <c r="B156" s="8">
        <f>CHOOSE( CONTROL!$C$33, 6.1655, 6.1639) * CHOOSE(CONTROL!$C$16, $D$10, 100%, $F$10)</f>
        <v>6.1654999999999998</v>
      </c>
      <c r="C156" s="8">
        <f>CHOOSE( CONTROL!$C$33, 6.1735, 6.1719) * CHOOSE(CONTROL!$C$16, $D$10, 100%, $F$10)</f>
        <v>6.1734999999999998</v>
      </c>
      <c r="D156" s="8">
        <f>CHOOSE( CONTROL!$C$33, 6.196, 6.1945) * CHOOSE( CONTROL!$C$16, $D$10, 100%, $F$10)</f>
        <v>6.1959999999999997</v>
      </c>
      <c r="E156" s="12">
        <f>CHOOSE( CONTROL!$C$33, 6.1866, 6.1851) * CHOOSE( CONTROL!$C$16, $D$10, 100%, $F$10)</f>
        <v>6.1866000000000003</v>
      </c>
      <c r="F156" s="4">
        <f>CHOOSE( CONTROL!$C$33, 6.9424, 6.9408) * CHOOSE(CONTROL!$C$16, $D$10, 100%, $F$10)</f>
        <v>6.9424000000000001</v>
      </c>
      <c r="G156" s="8">
        <f>CHOOSE( CONTROL!$C$33, 6.1407, 6.1392) * CHOOSE( CONTROL!$C$16, $D$10, 100%, $F$10)</f>
        <v>6.1406999999999998</v>
      </c>
      <c r="H156" s="4">
        <f>CHOOSE( CONTROL!$C$33, 7.1194, 7.1179) * CHOOSE(CONTROL!$C$16, $D$10, 100%, $F$10)</f>
        <v>7.1193999999999997</v>
      </c>
      <c r="I156" s="8">
        <f>CHOOSE( CONTROL!$C$33, 6.1044, 6.1029) * CHOOSE(CONTROL!$C$16, $D$10, 100%, $F$10)</f>
        <v>6.1044</v>
      </c>
      <c r="J156" s="4">
        <f>CHOOSE( CONTROL!$C$33, 5.9846, 5.9831) * CHOOSE(CONTROL!$C$16, $D$10, 100%, $F$10)</f>
        <v>5.9846000000000004</v>
      </c>
      <c r="K156" s="4"/>
      <c r="L156" s="9">
        <v>29.7257</v>
      </c>
      <c r="M156" s="9">
        <v>11.6745</v>
      </c>
      <c r="N156" s="9">
        <v>4.7850000000000001</v>
      </c>
      <c r="O156" s="9">
        <v>0.36199999999999999</v>
      </c>
      <c r="P156" s="9">
        <v>1.2509999999999999</v>
      </c>
      <c r="Q156" s="9">
        <v>31.213799999999999</v>
      </c>
      <c r="R156" s="9"/>
      <c r="S156" s="11"/>
    </row>
    <row r="157" spans="1:19" ht="15" customHeight="1">
      <c r="A157" s="13">
        <v>45931</v>
      </c>
      <c r="B157" s="8">
        <f>CHOOSE( CONTROL!$C$33, 6.4378, 6.4367) * CHOOSE(CONTROL!$C$16, $D$10, 100%, $F$10)</f>
        <v>6.4378000000000002</v>
      </c>
      <c r="C157" s="8">
        <f>CHOOSE( CONTROL!$C$33, 6.4432, 6.442) * CHOOSE(CONTROL!$C$16, $D$10, 100%, $F$10)</f>
        <v>6.4432</v>
      </c>
      <c r="D157" s="8">
        <f>CHOOSE( CONTROL!$C$33, 6.4719, 6.4708) * CHOOSE( CONTROL!$C$16, $D$10, 100%, $F$10)</f>
        <v>6.4718999999999998</v>
      </c>
      <c r="E157" s="12">
        <f>CHOOSE( CONTROL!$C$33, 6.4619, 6.4607) * CHOOSE( CONTROL!$C$16, $D$10, 100%, $F$10)</f>
        <v>6.4619</v>
      </c>
      <c r="F157" s="4">
        <f>CHOOSE( CONTROL!$C$33, 7.2165, 7.2153) * CHOOSE(CONTROL!$C$16, $D$10, 100%, $F$10)</f>
        <v>7.2164999999999999</v>
      </c>
      <c r="G157" s="8">
        <f>CHOOSE( CONTROL!$C$33, 6.411, 6.4099) * CHOOSE( CONTROL!$C$16, $D$10, 100%, $F$10)</f>
        <v>6.4109999999999996</v>
      </c>
      <c r="H157" s="4">
        <f>CHOOSE( CONTROL!$C$33, 7.3896, 7.3885) * CHOOSE(CONTROL!$C$16, $D$10, 100%, $F$10)</f>
        <v>7.3895999999999997</v>
      </c>
      <c r="I157" s="8">
        <f>CHOOSE( CONTROL!$C$33, 6.3705, 6.3694) * CHOOSE(CONTROL!$C$16, $D$10, 100%, $F$10)</f>
        <v>6.3704999999999998</v>
      </c>
      <c r="J157" s="4">
        <f>CHOOSE( CONTROL!$C$33, 6.25, 6.2489) * CHOOSE(CONTROL!$C$16, $D$10, 100%, $F$10)</f>
        <v>6.25</v>
      </c>
      <c r="K157" s="4"/>
      <c r="L157" s="9">
        <v>31.095300000000002</v>
      </c>
      <c r="M157" s="9">
        <v>12.063700000000001</v>
      </c>
      <c r="N157" s="9">
        <v>4.9444999999999997</v>
      </c>
      <c r="O157" s="9">
        <v>0.37409999999999999</v>
      </c>
      <c r="P157" s="9">
        <v>1.2927</v>
      </c>
      <c r="Q157" s="9">
        <v>32.254300000000001</v>
      </c>
      <c r="R157" s="9"/>
      <c r="S157" s="11"/>
    </row>
    <row r="158" spans="1:19" ht="15" customHeight="1">
      <c r="A158" s="13">
        <v>45962</v>
      </c>
      <c r="B158" s="8">
        <f>CHOOSE( CONTROL!$C$33, 6.9441, 6.9429) * CHOOSE(CONTROL!$C$16, $D$10, 100%, $F$10)</f>
        <v>6.9440999999999997</v>
      </c>
      <c r="C158" s="8">
        <f>CHOOSE( CONTROL!$C$33, 6.9492, 6.948) * CHOOSE(CONTROL!$C$16, $D$10, 100%, $F$10)</f>
        <v>6.9492000000000003</v>
      </c>
      <c r="D158" s="8">
        <f>CHOOSE( CONTROL!$C$33, 6.9288, 6.9277) * CHOOSE( CONTROL!$C$16, $D$10, 100%, $F$10)</f>
        <v>6.9287999999999998</v>
      </c>
      <c r="E158" s="12">
        <f>CHOOSE( CONTROL!$C$33, 6.9357, 6.9346) * CHOOSE( CONTROL!$C$16, $D$10, 100%, $F$10)</f>
        <v>6.9356999999999998</v>
      </c>
      <c r="F158" s="4">
        <f>CHOOSE( CONTROL!$C$33, 7.6069, 7.6058) * CHOOSE(CONTROL!$C$16, $D$10, 100%, $F$10)</f>
        <v>7.6069000000000004</v>
      </c>
      <c r="G158" s="8">
        <f>CHOOSE( CONTROL!$C$33, 6.8831, 6.882) * CHOOSE( CONTROL!$C$16, $D$10, 100%, $F$10)</f>
        <v>6.8830999999999998</v>
      </c>
      <c r="H158" s="4">
        <f>CHOOSE( CONTROL!$C$33, 7.7747, 7.7736) * CHOOSE(CONTROL!$C$16, $D$10, 100%, $F$10)</f>
        <v>7.7747000000000002</v>
      </c>
      <c r="I158" s="8">
        <f>CHOOSE( CONTROL!$C$33, 6.9091, 6.908) * CHOOSE(CONTROL!$C$16, $D$10, 100%, $F$10)</f>
        <v>6.9090999999999996</v>
      </c>
      <c r="J158" s="4">
        <f>CHOOSE( CONTROL!$C$33, 6.7406, 6.7395) * CHOOSE(CONTROL!$C$16, $D$10, 100%, $F$10)</f>
        <v>6.7405999999999997</v>
      </c>
      <c r="K158" s="4"/>
      <c r="L158" s="9">
        <v>28.360600000000002</v>
      </c>
      <c r="M158" s="9">
        <v>11.6745</v>
      </c>
      <c r="N158" s="9">
        <v>4.7850000000000001</v>
      </c>
      <c r="O158" s="9">
        <v>0.36199999999999999</v>
      </c>
      <c r="P158" s="9">
        <v>1.2509999999999999</v>
      </c>
      <c r="Q158" s="9">
        <v>31.213799999999999</v>
      </c>
      <c r="R158" s="9"/>
      <c r="S158" s="11"/>
    </row>
    <row r="159" spans="1:19" ht="15" customHeight="1">
      <c r="A159" s="13">
        <v>45992</v>
      </c>
      <c r="B159" s="8">
        <f>CHOOSE( CONTROL!$C$33, 6.9314, 6.9303) * CHOOSE(CONTROL!$C$16, $D$10, 100%, $F$10)</f>
        <v>6.9314</v>
      </c>
      <c r="C159" s="8">
        <f>CHOOSE( CONTROL!$C$33, 6.9365, 6.9354) * CHOOSE(CONTROL!$C$16, $D$10, 100%, $F$10)</f>
        <v>6.9364999999999997</v>
      </c>
      <c r="D159" s="8">
        <f>CHOOSE( CONTROL!$C$33, 6.9176, 6.9165) * CHOOSE( CONTROL!$C$16, $D$10, 100%, $F$10)</f>
        <v>6.9176000000000002</v>
      </c>
      <c r="E159" s="12">
        <f>CHOOSE( CONTROL!$C$33, 6.924, 6.9229) * CHOOSE( CONTROL!$C$16, $D$10, 100%, $F$10)</f>
        <v>6.9240000000000004</v>
      </c>
      <c r="F159" s="4">
        <f>CHOOSE( CONTROL!$C$33, 7.5943, 7.5932) * CHOOSE(CONTROL!$C$16, $D$10, 100%, $F$10)</f>
        <v>7.5942999999999996</v>
      </c>
      <c r="G159" s="8">
        <f>CHOOSE( CONTROL!$C$33, 6.8717, 6.8706) * CHOOSE( CONTROL!$C$16, $D$10, 100%, $F$10)</f>
        <v>6.8716999999999997</v>
      </c>
      <c r="H159" s="4">
        <f>CHOOSE( CONTROL!$C$33, 7.7622, 7.7611) * CHOOSE(CONTROL!$C$16, $D$10, 100%, $F$10)</f>
        <v>7.7622</v>
      </c>
      <c r="I159" s="8">
        <f>CHOOSE( CONTROL!$C$33, 6.9014, 6.9003) * CHOOSE(CONTROL!$C$16, $D$10, 100%, $F$10)</f>
        <v>6.9013999999999998</v>
      </c>
      <c r="J159" s="4">
        <f>CHOOSE( CONTROL!$C$33, 6.7283, 6.7273) * CHOOSE(CONTROL!$C$16, $D$10, 100%, $F$10)</f>
        <v>6.7282999999999999</v>
      </c>
      <c r="K159" s="4"/>
      <c r="L159" s="9">
        <v>29.306000000000001</v>
      </c>
      <c r="M159" s="9">
        <v>12.063700000000001</v>
      </c>
      <c r="N159" s="9">
        <v>4.9444999999999997</v>
      </c>
      <c r="O159" s="9">
        <v>0.37409999999999999</v>
      </c>
      <c r="P159" s="9">
        <v>1.2927</v>
      </c>
      <c r="Q159" s="9">
        <v>32.254300000000001</v>
      </c>
      <c r="R159" s="9"/>
      <c r="S159" s="11"/>
    </row>
    <row r="160" spans="1:19" ht="15" customHeight="1">
      <c r="A160" s="13">
        <v>46023</v>
      </c>
      <c r="B160" s="8">
        <f>CHOOSE( CONTROL!$C$33, 7.1868, 7.1857) * CHOOSE(CONTROL!$C$16, $D$10, 100%, $F$10)</f>
        <v>7.1867999999999999</v>
      </c>
      <c r="C160" s="8">
        <f>CHOOSE( CONTROL!$C$33, 7.1919, 7.1908) * CHOOSE(CONTROL!$C$16, $D$10, 100%, $F$10)</f>
        <v>7.1919000000000004</v>
      </c>
      <c r="D160" s="8">
        <f>CHOOSE( CONTROL!$C$33, 7.1842, 7.1831) * CHOOSE( CONTROL!$C$16, $D$10, 100%, $F$10)</f>
        <v>7.1841999999999997</v>
      </c>
      <c r="E160" s="12">
        <f>CHOOSE( CONTROL!$C$33, 7.1865, 7.1854) * CHOOSE( CONTROL!$C$16, $D$10, 100%, $F$10)</f>
        <v>7.1864999999999997</v>
      </c>
      <c r="F160" s="4">
        <f>CHOOSE( CONTROL!$C$33, 7.8497, 7.8485) * CHOOSE(CONTROL!$C$16, $D$10, 100%, $F$10)</f>
        <v>7.8497000000000003</v>
      </c>
      <c r="G160" s="8">
        <f>CHOOSE( CONTROL!$C$33, 7.1294, 7.1283) * CHOOSE( CONTROL!$C$16, $D$10, 100%, $F$10)</f>
        <v>7.1294000000000004</v>
      </c>
      <c r="H160" s="4">
        <f>CHOOSE( CONTROL!$C$33, 8.014, 8.0129) * CHOOSE(CONTROL!$C$16, $D$10, 100%, $F$10)</f>
        <v>8.0139999999999993</v>
      </c>
      <c r="I160" s="8">
        <f>CHOOSE( CONTROL!$C$33, 7.1401, 7.139) * CHOOSE(CONTROL!$C$16, $D$10, 100%, $F$10)</f>
        <v>7.1401000000000003</v>
      </c>
      <c r="J160" s="4">
        <f>CHOOSE( CONTROL!$C$33, 6.9756, 6.9745) * CHOOSE(CONTROL!$C$16, $D$10, 100%, $F$10)</f>
        <v>6.9756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32.070099999999996</v>
      </c>
      <c r="R160" s="9"/>
      <c r="S160" s="11"/>
    </row>
    <row r="161" spans="1:19" ht="15" customHeight="1">
      <c r="A161" s="13">
        <v>46054</v>
      </c>
      <c r="B161" s="8">
        <f>CHOOSE( CONTROL!$C$33, 6.7211, 6.72) * CHOOSE(CONTROL!$C$16, $D$10, 100%, $F$10)</f>
        <v>6.7210999999999999</v>
      </c>
      <c r="C161" s="8">
        <f>CHOOSE( CONTROL!$C$33, 6.7262, 6.7251) * CHOOSE(CONTROL!$C$16, $D$10, 100%, $F$10)</f>
        <v>6.7262000000000004</v>
      </c>
      <c r="D161" s="8">
        <f>CHOOSE( CONTROL!$C$33, 6.7184, 6.7173) * CHOOSE( CONTROL!$C$16, $D$10, 100%, $F$10)</f>
        <v>6.7183999999999999</v>
      </c>
      <c r="E161" s="12">
        <f>CHOOSE( CONTROL!$C$33, 6.7207, 6.7196) * CHOOSE( CONTROL!$C$16, $D$10, 100%, $F$10)</f>
        <v>6.7206999999999999</v>
      </c>
      <c r="F161" s="4">
        <f>CHOOSE( CONTROL!$C$33, 7.384, 7.3829) * CHOOSE(CONTROL!$C$16, $D$10, 100%, $F$10)</f>
        <v>7.3840000000000003</v>
      </c>
      <c r="G161" s="8">
        <f>CHOOSE( CONTROL!$C$33, 6.6701, 6.669) * CHOOSE( CONTROL!$C$16, $D$10, 100%, $F$10)</f>
        <v>6.6700999999999997</v>
      </c>
      <c r="H161" s="4">
        <f>CHOOSE( CONTROL!$C$33, 7.5548, 7.5537) * CHOOSE(CONTROL!$C$16, $D$10, 100%, $F$10)</f>
        <v>7.5548000000000002</v>
      </c>
      <c r="I161" s="8">
        <f>CHOOSE( CONTROL!$C$33, 6.6884, 6.6873) * CHOOSE(CONTROL!$C$16, $D$10, 100%, $F$10)</f>
        <v>6.6883999999999997</v>
      </c>
      <c r="J161" s="4">
        <f>CHOOSE( CONTROL!$C$33, 6.5247, 6.5236) * CHOOSE(CONTROL!$C$16, $D$10, 100%, $F$10)</f>
        <v>6.5247000000000002</v>
      </c>
      <c r="K161" s="4"/>
      <c r="L161" s="9">
        <v>26.469899999999999</v>
      </c>
      <c r="M161" s="9">
        <v>10.8962</v>
      </c>
      <c r="N161" s="9">
        <v>4.4660000000000002</v>
      </c>
      <c r="O161" s="9">
        <v>0.33789999999999998</v>
      </c>
      <c r="P161" s="9">
        <v>1.1676</v>
      </c>
      <c r="Q161" s="9">
        <v>28.9666</v>
      </c>
      <c r="R161" s="9"/>
      <c r="S161" s="11"/>
    </row>
    <row r="162" spans="1:19" ht="15" customHeight="1">
      <c r="A162" s="13">
        <v>46082</v>
      </c>
      <c r="B162" s="8">
        <f>CHOOSE( CONTROL!$C$33, 6.5777, 6.5766) * CHOOSE(CONTROL!$C$16, $D$10, 100%, $F$10)</f>
        <v>6.5777000000000001</v>
      </c>
      <c r="C162" s="8">
        <f>CHOOSE( CONTROL!$C$33, 6.5828, 6.5817) * CHOOSE(CONTROL!$C$16, $D$10, 100%, $F$10)</f>
        <v>6.5827999999999998</v>
      </c>
      <c r="D162" s="8">
        <f>CHOOSE( CONTROL!$C$33, 6.5743, 6.5731) * CHOOSE( CONTROL!$C$16, $D$10, 100%, $F$10)</f>
        <v>6.5743</v>
      </c>
      <c r="E162" s="12">
        <f>CHOOSE( CONTROL!$C$33, 6.5769, 6.5757) * CHOOSE( CONTROL!$C$16, $D$10, 100%, $F$10)</f>
        <v>6.5769000000000002</v>
      </c>
      <c r="F162" s="4">
        <f>CHOOSE( CONTROL!$C$33, 7.2406, 7.2395) * CHOOSE(CONTROL!$C$16, $D$10, 100%, $F$10)</f>
        <v>7.2405999999999997</v>
      </c>
      <c r="G162" s="8">
        <f>CHOOSE( CONTROL!$C$33, 6.5281, 6.527) * CHOOSE( CONTROL!$C$16, $D$10, 100%, $F$10)</f>
        <v>6.5281000000000002</v>
      </c>
      <c r="H162" s="4">
        <f>CHOOSE( CONTROL!$C$33, 7.4134, 7.4123) * CHOOSE(CONTROL!$C$16, $D$10, 100%, $F$10)</f>
        <v>7.4134000000000002</v>
      </c>
      <c r="I162" s="8">
        <f>CHOOSE( CONTROL!$C$33, 6.5471, 6.5461) * CHOOSE(CONTROL!$C$16, $D$10, 100%, $F$10)</f>
        <v>6.5471000000000004</v>
      </c>
      <c r="J162" s="4">
        <f>CHOOSE( CONTROL!$C$33, 6.3859, 6.3848) * CHOOSE(CONTROL!$C$16, $D$10, 100%, $F$10)</f>
        <v>6.3859000000000004</v>
      </c>
      <c r="K162" s="4"/>
      <c r="L162" s="9">
        <v>29.306000000000001</v>
      </c>
      <c r="M162" s="9">
        <v>12.063700000000001</v>
      </c>
      <c r="N162" s="9">
        <v>4.9444999999999997</v>
      </c>
      <c r="O162" s="9">
        <v>0.37409999999999999</v>
      </c>
      <c r="P162" s="9">
        <v>1.2927</v>
      </c>
      <c r="Q162" s="9">
        <v>32.070099999999996</v>
      </c>
      <c r="R162" s="9"/>
      <c r="S162" s="11"/>
    </row>
    <row r="163" spans="1:19" ht="15" customHeight="1">
      <c r="A163" s="13">
        <v>46113</v>
      </c>
      <c r="B163" s="8">
        <f>CHOOSE( CONTROL!$C$33, 6.6787, 6.6776) * CHOOSE(CONTROL!$C$16, $D$10, 100%, $F$10)</f>
        <v>6.6787000000000001</v>
      </c>
      <c r="C163" s="8">
        <f>CHOOSE( CONTROL!$C$33, 6.6832, 6.6821) * CHOOSE(CONTROL!$C$16, $D$10, 100%, $F$10)</f>
        <v>6.6832000000000003</v>
      </c>
      <c r="D163" s="8">
        <f>CHOOSE( CONTROL!$C$33, 6.7121, 6.711) * CHOOSE( CONTROL!$C$16, $D$10, 100%, $F$10)</f>
        <v>6.7121000000000004</v>
      </c>
      <c r="E163" s="12">
        <f>CHOOSE( CONTROL!$C$33, 6.702, 6.7009) * CHOOSE( CONTROL!$C$16, $D$10, 100%, $F$10)</f>
        <v>6.702</v>
      </c>
      <c r="F163" s="4">
        <f>CHOOSE( CONTROL!$C$33, 7.457, 7.4559) * CHOOSE(CONTROL!$C$16, $D$10, 100%, $F$10)</f>
        <v>7.4569999999999999</v>
      </c>
      <c r="G163" s="8">
        <f>CHOOSE( CONTROL!$C$33, 6.6479, 6.6468) * CHOOSE( CONTROL!$C$16, $D$10, 100%, $F$10)</f>
        <v>6.6478999999999999</v>
      </c>
      <c r="H163" s="4">
        <f>CHOOSE( CONTROL!$C$33, 7.6268, 7.6257) * CHOOSE(CONTROL!$C$16, $D$10, 100%, $F$10)</f>
        <v>7.6268000000000002</v>
      </c>
      <c r="I163" s="8">
        <f>CHOOSE( CONTROL!$C$33, 6.6022, 6.6011) * CHOOSE(CONTROL!$C$16, $D$10, 100%, $F$10)</f>
        <v>6.6021999999999998</v>
      </c>
      <c r="J163" s="4">
        <f>CHOOSE( CONTROL!$C$33, 6.4829, 6.4818) * CHOOSE(CONTROL!$C$16, $D$10, 100%, $F$10)</f>
        <v>6.4828999999999999</v>
      </c>
      <c r="K163" s="4"/>
      <c r="L163" s="9">
        <v>30.092199999999998</v>
      </c>
      <c r="M163" s="9">
        <v>11.6745</v>
      </c>
      <c r="N163" s="9">
        <v>4.7850000000000001</v>
      </c>
      <c r="O163" s="9">
        <v>0.36199999999999999</v>
      </c>
      <c r="P163" s="9">
        <v>1.2509999999999999</v>
      </c>
      <c r="Q163" s="9">
        <v>31.035599999999999</v>
      </c>
      <c r="R163" s="9"/>
      <c r="S163" s="11"/>
    </row>
    <row r="164" spans="1:19" ht="15" customHeight="1">
      <c r="A164" s="13">
        <v>46143</v>
      </c>
      <c r="B164" s="8">
        <f>CHOOSE( CONTROL!$C$33, 6.8589, 6.8573) * CHOOSE(CONTROL!$C$16, $D$10, 100%, $F$10)</f>
        <v>6.8589000000000002</v>
      </c>
      <c r="C164" s="8">
        <f>CHOOSE( CONTROL!$C$33, 6.8669, 6.8653) * CHOOSE(CONTROL!$C$16, $D$10, 100%, $F$10)</f>
        <v>6.8669000000000002</v>
      </c>
      <c r="D164" s="8">
        <f>CHOOSE( CONTROL!$C$33, 6.8891, 6.8875) * CHOOSE( CONTROL!$C$16, $D$10, 100%, $F$10)</f>
        <v>6.8891</v>
      </c>
      <c r="E164" s="12">
        <f>CHOOSE( CONTROL!$C$33, 6.8798, 6.8782) * CHOOSE( CONTROL!$C$16, $D$10, 100%, $F$10)</f>
        <v>6.8798000000000004</v>
      </c>
      <c r="F164" s="4">
        <f>CHOOSE( CONTROL!$C$33, 7.6358, 7.6342) * CHOOSE(CONTROL!$C$16, $D$10, 100%, $F$10)</f>
        <v>7.6357999999999997</v>
      </c>
      <c r="G164" s="8">
        <f>CHOOSE( CONTROL!$C$33, 6.8242, 6.8226) * CHOOSE( CONTROL!$C$16, $D$10, 100%, $F$10)</f>
        <v>6.8242000000000003</v>
      </c>
      <c r="H164" s="4">
        <f>CHOOSE( CONTROL!$C$33, 7.8031, 7.8016) * CHOOSE(CONTROL!$C$16, $D$10, 100%, $F$10)</f>
        <v>7.8030999999999997</v>
      </c>
      <c r="I164" s="8">
        <f>CHOOSE( CONTROL!$C$33, 6.7751, 6.7736) * CHOOSE(CONTROL!$C$16, $D$10, 100%, $F$10)</f>
        <v>6.7751000000000001</v>
      </c>
      <c r="J164" s="4">
        <f>CHOOSE( CONTROL!$C$33, 6.656, 6.6545) * CHOOSE(CONTROL!$C$16, $D$10, 100%, $F$10)</f>
        <v>6.6559999999999997</v>
      </c>
      <c r="K164" s="4"/>
      <c r="L164" s="9">
        <v>30.7165</v>
      </c>
      <c r="M164" s="9">
        <v>12.063700000000001</v>
      </c>
      <c r="N164" s="9">
        <v>4.9444999999999997</v>
      </c>
      <c r="O164" s="9">
        <v>0.37409999999999999</v>
      </c>
      <c r="P164" s="9">
        <v>1.2927</v>
      </c>
      <c r="Q164" s="9">
        <v>32.070099999999996</v>
      </c>
      <c r="R164" s="9"/>
      <c r="S164" s="11"/>
    </row>
    <row r="165" spans="1:19" ht="15" customHeight="1">
      <c r="A165" s="13">
        <v>46174</v>
      </c>
      <c r="B165" s="8">
        <f>CHOOSE( CONTROL!$C$33, 6.7484, 6.7468) * CHOOSE(CONTROL!$C$16, $D$10, 100%, $F$10)</f>
        <v>6.7484000000000002</v>
      </c>
      <c r="C165" s="8">
        <f>CHOOSE( CONTROL!$C$33, 6.7564, 6.7548) * CHOOSE(CONTROL!$C$16, $D$10, 100%, $F$10)</f>
        <v>6.7564000000000002</v>
      </c>
      <c r="D165" s="8">
        <f>CHOOSE( CONTROL!$C$33, 6.7788, 6.7772) * CHOOSE( CONTROL!$C$16, $D$10, 100%, $F$10)</f>
        <v>6.7788000000000004</v>
      </c>
      <c r="E165" s="12">
        <f>CHOOSE( CONTROL!$C$33, 6.7695, 6.7679) * CHOOSE( CONTROL!$C$16, $D$10, 100%, $F$10)</f>
        <v>6.7694999999999999</v>
      </c>
      <c r="F165" s="4">
        <f>CHOOSE( CONTROL!$C$33, 7.5253, 7.5237) * CHOOSE(CONTROL!$C$16, $D$10, 100%, $F$10)</f>
        <v>7.5252999999999997</v>
      </c>
      <c r="G165" s="8">
        <f>CHOOSE( CONTROL!$C$33, 6.7153, 6.7138) * CHOOSE( CONTROL!$C$16, $D$10, 100%, $F$10)</f>
        <v>6.7153</v>
      </c>
      <c r="H165" s="4">
        <f>CHOOSE( CONTROL!$C$33, 7.6942, 7.6926) * CHOOSE(CONTROL!$C$16, $D$10, 100%, $F$10)</f>
        <v>7.6942000000000004</v>
      </c>
      <c r="I165" s="8">
        <f>CHOOSE( CONTROL!$C$33, 6.6686, 6.6671) * CHOOSE(CONTROL!$C$16, $D$10, 100%, $F$10)</f>
        <v>6.6685999999999996</v>
      </c>
      <c r="J165" s="4">
        <f>CHOOSE( CONTROL!$C$33, 6.5491, 6.5475) * CHOOSE(CONTROL!$C$16, $D$10, 100%, $F$10)</f>
        <v>6.5491000000000001</v>
      </c>
      <c r="K165" s="4"/>
      <c r="L165" s="9">
        <v>29.7257</v>
      </c>
      <c r="M165" s="9">
        <v>11.6745</v>
      </c>
      <c r="N165" s="9">
        <v>4.7850000000000001</v>
      </c>
      <c r="O165" s="9">
        <v>0.36199999999999999</v>
      </c>
      <c r="P165" s="9">
        <v>1.2509999999999999</v>
      </c>
      <c r="Q165" s="9">
        <v>31.035599999999999</v>
      </c>
      <c r="R165" s="9"/>
      <c r="S165" s="11"/>
    </row>
    <row r="166" spans="1:19" ht="15" customHeight="1">
      <c r="A166" s="13">
        <v>46204</v>
      </c>
      <c r="B166" s="8">
        <f>CHOOSE( CONTROL!$C$33, 7.0394, 7.0378) * CHOOSE(CONTROL!$C$16, $D$10, 100%, $F$10)</f>
        <v>7.0393999999999997</v>
      </c>
      <c r="C166" s="8">
        <f>CHOOSE( CONTROL!$C$33, 7.0473, 7.0458) * CHOOSE(CONTROL!$C$16, $D$10, 100%, $F$10)</f>
        <v>7.0472999999999999</v>
      </c>
      <c r="D166" s="8">
        <f>CHOOSE( CONTROL!$C$33, 7.07, 7.0684) * CHOOSE( CONTROL!$C$16, $D$10, 100%, $F$10)</f>
        <v>7.07</v>
      </c>
      <c r="E166" s="12">
        <f>CHOOSE( CONTROL!$C$33, 7.0606, 7.059) * CHOOSE( CONTROL!$C$16, $D$10, 100%, $F$10)</f>
        <v>7.0606</v>
      </c>
      <c r="F166" s="4">
        <f>CHOOSE( CONTROL!$C$33, 7.8163, 7.8147) * CHOOSE(CONTROL!$C$16, $D$10, 100%, $F$10)</f>
        <v>7.8163</v>
      </c>
      <c r="G166" s="8">
        <f>CHOOSE( CONTROL!$C$33, 7.0024, 7.0009) * CHOOSE( CONTROL!$C$16, $D$10, 100%, $F$10)</f>
        <v>7.0023999999999997</v>
      </c>
      <c r="H166" s="4">
        <f>CHOOSE( CONTROL!$C$33, 7.9811, 7.9795) * CHOOSE(CONTROL!$C$16, $D$10, 100%, $F$10)</f>
        <v>7.9810999999999996</v>
      </c>
      <c r="I166" s="8">
        <f>CHOOSE( CONTROL!$C$33, 6.9513, 6.9498) * CHOOSE(CONTROL!$C$16, $D$10, 100%, $F$10)</f>
        <v>6.9512999999999998</v>
      </c>
      <c r="J166" s="4">
        <f>CHOOSE( CONTROL!$C$33, 6.8308, 6.8293) * CHOOSE(CONTROL!$C$16, $D$10, 100%, $F$10)</f>
        <v>6.8308</v>
      </c>
      <c r="K166" s="4"/>
      <c r="L166" s="9">
        <v>30.7165</v>
      </c>
      <c r="M166" s="9">
        <v>12.063700000000001</v>
      </c>
      <c r="N166" s="9">
        <v>4.9444999999999997</v>
      </c>
      <c r="O166" s="9">
        <v>0.37409999999999999</v>
      </c>
      <c r="P166" s="9">
        <v>1.2927</v>
      </c>
      <c r="Q166" s="9">
        <v>32.070099999999996</v>
      </c>
      <c r="R166" s="9"/>
      <c r="S166" s="11"/>
    </row>
    <row r="167" spans="1:19" ht="15" customHeight="1">
      <c r="A167" s="13">
        <v>46235</v>
      </c>
      <c r="B167" s="8">
        <f>CHOOSE( CONTROL!$C$33, 6.4949, 6.4934) * CHOOSE(CONTROL!$C$16, $D$10, 100%, $F$10)</f>
        <v>6.4949000000000003</v>
      </c>
      <c r="C167" s="8">
        <f>CHOOSE( CONTROL!$C$33, 6.5029, 6.5014) * CHOOSE(CONTROL!$C$16, $D$10, 100%, $F$10)</f>
        <v>6.5029000000000003</v>
      </c>
      <c r="D167" s="8">
        <f>CHOOSE( CONTROL!$C$33, 6.5256, 6.524) * CHOOSE( CONTROL!$C$16, $D$10, 100%, $F$10)</f>
        <v>6.5255999999999998</v>
      </c>
      <c r="E167" s="12">
        <f>CHOOSE( CONTROL!$C$33, 6.5162, 6.5146) * CHOOSE( CONTROL!$C$16, $D$10, 100%, $F$10)</f>
        <v>6.5162000000000004</v>
      </c>
      <c r="F167" s="4">
        <f>CHOOSE( CONTROL!$C$33, 7.2718, 7.2703) * CHOOSE(CONTROL!$C$16, $D$10, 100%, $F$10)</f>
        <v>7.2717999999999998</v>
      </c>
      <c r="G167" s="8">
        <f>CHOOSE( CONTROL!$C$33, 6.4656, 6.4641) * CHOOSE( CONTROL!$C$16, $D$10, 100%, $F$10)</f>
        <v>6.4656000000000002</v>
      </c>
      <c r="H167" s="4">
        <f>CHOOSE( CONTROL!$C$33, 7.4442, 7.4427) * CHOOSE(CONTROL!$C$16, $D$10, 100%, $F$10)</f>
        <v>7.4442000000000004</v>
      </c>
      <c r="I167" s="8">
        <f>CHOOSE( CONTROL!$C$33, 6.424, 6.4225) * CHOOSE(CONTROL!$C$16, $D$10, 100%, $F$10)</f>
        <v>6.4240000000000004</v>
      </c>
      <c r="J167" s="4">
        <f>CHOOSE( CONTROL!$C$33, 6.3036, 6.3021) * CHOOSE(CONTROL!$C$16, $D$10, 100%, $F$10)</f>
        <v>6.3036000000000003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1.2927</v>
      </c>
      <c r="Q167" s="9">
        <v>32.070099999999996</v>
      </c>
      <c r="R167" s="9"/>
      <c r="S167" s="11"/>
    </row>
    <row r="168" spans="1:19" ht="15" customHeight="1">
      <c r="A168" s="13">
        <v>46266</v>
      </c>
      <c r="B168" s="8">
        <f>CHOOSE( CONTROL!$C$33, 6.3586, 6.357) * CHOOSE(CONTROL!$C$16, $D$10, 100%, $F$10)</f>
        <v>6.3586</v>
      </c>
      <c r="C168" s="8">
        <f>CHOOSE( CONTROL!$C$33, 6.3666, 6.365) * CHOOSE(CONTROL!$C$16, $D$10, 100%, $F$10)</f>
        <v>6.3666</v>
      </c>
      <c r="D168" s="8">
        <f>CHOOSE( CONTROL!$C$33, 6.3891, 6.3876) * CHOOSE( CONTROL!$C$16, $D$10, 100%, $F$10)</f>
        <v>6.3891</v>
      </c>
      <c r="E168" s="12">
        <f>CHOOSE( CONTROL!$C$33, 6.3797, 6.3782) * CHOOSE( CONTROL!$C$16, $D$10, 100%, $F$10)</f>
        <v>6.3796999999999997</v>
      </c>
      <c r="F168" s="4">
        <f>CHOOSE( CONTROL!$C$33, 7.1355, 7.1339) * CHOOSE(CONTROL!$C$16, $D$10, 100%, $F$10)</f>
        <v>7.1355000000000004</v>
      </c>
      <c r="G168" s="8">
        <f>CHOOSE( CONTROL!$C$33, 6.3311, 6.3296) * CHOOSE( CONTROL!$C$16, $D$10, 100%, $F$10)</f>
        <v>6.3311000000000002</v>
      </c>
      <c r="H168" s="4">
        <f>CHOOSE( CONTROL!$C$33, 7.3098, 7.3083) * CHOOSE(CONTROL!$C$16, $D$10, 100%, $F$10)</f>
        <v>7.3098000000000001</v>
      </c>
      <c r="I168" s="8">
        <f>CHOOSE( CONTROL!$C$33, 6.2915, 6.29) * CHOOSE(CONTROL!$C$16, $D$10, 100%, $F$10)</f>
        <v>6.2915000000000001</v>
      </c>
      <c r="J168" s="4">
        <f>CHOOSE( CONTROL!$C$33, 6.1716, 6.1701) * CHOOSE(CONTROL!$C$16, $D$10, 100%, $F$10)</f>
        <v>6.1715999999999998</v>
      </c>
      <c r="K168" s="4"/>
      <c r="L168" s="9">
        <v>29.7257</v>
      </c>
      <c r="M168" s="9">
        <v>11.6745</v>
      </c>
      <c r="N168" s="9">
        <v>4.7850000000000001</v>
      </c>
      <c r="O168" s="9">
        <v>0.36199999999999999</v>
      </c>
      <c r="P168" s="9">
        <v>1.2509999999999999</v>
      </c>
      <c r="Q168" s="9">
        <v>31.035599999999999</v>
      </c>
      <c r="R168" s="9"/>
      <c r="S168" s="11"/>
    </row>
    <row r="169" spans="1:19" ht="15" customHeight="1">
      <c r="A169" s="13">
        <v>46296</v>
      </c>
      <c r="B169" s="8">
        <f>CHOOSE( CONTROL!$C$33, 6.6395, 6.6384) * CHOOSE(CONTROL!$C$16, $D$10, 100%, $F$10)</f>
        <v>6.6395</v>
      </c>
      <c r="C169" s="8">
        <f>CHOOSE( CONTROL!$C$33, 6.6448, 6.6437) * CHOOSE(CONTROL!$C$16, $D$10, 100%, $F$10)</f>
        <v>6.6448</v>
      </c>
      <c r="D169" s="8">
        <f>CHOOSE( CONTROL!$C$33, 6.6736, 6.6725) * CHOOSE( CONTROL!$C$16, $D$10, 100%, $F$10)</f>
        <v>6.6736000000000004</v>
      </c>
      <c r="E169" s="12">
        <f>CHOOSE( CONTROL!$C$33, 6.6635, 6.6624) * CHOOSE( CONTROL!$C$16, $D$10, 100%, $F$10)</f>
        <v>6.6635</v>
      </c>
      <c r="F169" s="4">
        <f>CHOOSE( CONTROL!$C$33, 7.4181, 7.417) * CHOOSE(CONTROL!$C$16, $D$10, 100%, $F$10)</f>
        <v>7.4180999999999999</v>
      </c>
      <c r="G169" s="8">
        <f>CHOOSE( CONTROL!$C$33, 6.6099, 6.6088) * CHOOSE( CONTROL!$C$16, $D$10, 100%, $F$10)</f>
        <v>6.6098999999999997</v>
      </c>
      <c r="H169" s="4">
        <f>CHOOSE( CONTROL!$C$33, 7.5885, 7.5874) * CHOOSE(CONTROL!$C$16, $D$10, 100%, $F$10)</f>
        <v>7.5884999999999998</v>
      </c>
      <c r="I169" s="8">
        <f>CHOOSE( CONTROL!$C$33, 6.5659, 6.5648) * CHOOSE(CONTROL!$C$16, $D$10, 100%, $F$10)</f>
        <v>6.5659000000000001</v>
      </c>
      <c r="J169" s="4">
        <f>CHOOSE( CONTROL!$C$33, 6.4453, 6.4442) * CHOOSE(CONTROL!$C$16, $D$10, 100%, $F$10)</f>
        <v>6.4452999999999996</v>
      </c>
      <c r="K169" s="4"/>
      <c r="L169" s="9">
        <v>31.095300000000002</v>
      </c>
      <c r="M169" s="9">
        <v>12.063700000000001</v>
      </c>
      <c r="N169" s="9">
        <v>4.9444999999999997</v>
      </c>
      <c r="O169" s="9">
        <v>0.37409999999999999</v>
      </c>
      <c r="P169" s="9">
        <v>1.2927</v>
      </c>
      <c r="Q169" s="9">
        <v>32.070099999999996</v>
      </c>
      <c r="R169" s="9"/>
      <c r="S169" s="11"/>
    </row>
    <row r="170" spans="1:19" ht="15" customHeight="1">
      <c r="A170" s="13">
        <v>46327</v>
      </c>
      <c r="B170" s="8">
        <f>CHOOSE( CONTROL!$C$33, 7.1616, 7.1605) * CHOOSE(CONTROL!$C$16, $D$10, 100%, $F$10)</f>
        <v>7.1616</v>
      </c>
      <c r="C170" s="8">
        <f>CHOOSE( CONTROL!$C$33, 7.1667, 7.1656) * CHOOSE(CONTROL!$C$16, $D$10, 100%, $F$10)</f>
        <v>7.1666999999999996</v>
      </c>
      <c r="D170" s="8">
        <f>CHOOSE( CONTROL!$C$33, 7.1463, 7.1452) * CHOOSE( CONTROL!$C$16, $D$10, 100%, $F$10)</f>
        <v>7.1463000000000001</v>
      </c>
      <c r="E170" s="12">
        <f>CHOOSE( CONTROL!$C$33, 7.1532, 7.1521) * CHOOSE( CONTROL!$C$16, $D$10, 100%, $F$10)</f>
        <v>7.1532</v>
      </c>
      <c r="F170" s="4">
        <f>CHOOSE( CONTROL!$C$33, 7.8244, 7.8233) * CHOOSE(CONTROL!$C$16, $D$10, 100%, $F$10)</f>
        <v>7.8243999999999998</v>
      </c>
      <c r="G170" s="8">
        <f>CHOOSE( CONTROL!$C$33, 7.0976, 7.0965) * CHOOSE( CONTROL!$C$16, $D$10, 100%, $F$10)</f>
        <v>7.0975999999999999</v>
      </c>
      <c r="H170" s="4">
        <f>CHOOSE( CONTROL!$C$33, 7.9891, 7.988) * CHOOSE(CONTROL!$C$16, $D$10, 100%, $F$10)</f>
        <v>7.9890999999999996</v>
      </c>
      <c r="I170" s="8">
        <f>CHOOSE( CONTROL!$C$33, 7.1199, 7.1188) * CHOOSE(CONTROL!$C$16, $D$10, 100%, $F$10)</f>
        <v>7.1199000000000003</v>
      </c>
      <c r="J170" s="4">
        <f>CHOOSE( CONTROL!$C$33, 6.9512, 6.9501) * CHOOSE(CONTROL!$C$16, $D$10, 100%, $F$10)</f>
        <v>6.9512</v>
      </c>
      <c r="K170" s="4"/>
      <c r="L170" s="9">
        <v>28.360600000000002</v>
      </c>
      <c r="M170" s="9">
        <v>11.6745</v>
      </c>
      <c r="N170" s="9">
        <v>4.7850000000000001</v>
      </c>
      <c r="O170" s="9">
        <v>0.36199999999999999</v>
      </c>
      <c r="P170" s="9">
        <v>1.2509999999999999</v>
      </c>
      <c r="Q170" s="9">
        <v>31.035599999999999</v>
      </c>
      <c r="R170" s="9"/>
      <c r="S170" s="11"/>
    </row>
    <row r="171" spans="1:19" ht="15" customHeight="1">
      <c r="A171" s="13">
        <v>46357</v>
      </c>
      <c r="B171" s="8">
        <f>CHOOSE( CONTROL!$C$33, 7.1485, 7.1474) * CHOOSE(CONTROL!$C$16, $D$10, 100%, $F$10)</f>
        <v>7.1485000000000003</v>
      </c>
      <c r="C171" s="8">
        <f>CHOOSE( CONTROL!$C$33, 7.1536, 7.1525) * CHOOSE(CONTROL!$C$16, $D$10, 100%, $F$10)</f>
        <v>7.1536</v>
      </c>
      <c r="D171" s="8">
        <f>CHOOSE( CONTROL!$C$33, 7.1347, 7.1336) * CHOOSE( CONTROL!$C$16, $D$10, 100%, $F$10)</f>
        <v>7.1346999999999996</v>
      </c>
      <c r="E171" s="12">
        <f>CHOOSE( CONTROL!$C$33, 7.1411, 7.14) * CHOOSE( CONTROL!$C$16, $D$10, 100%, $F$10)</f>
        <v>7.1410999999999998</v>
      </c>
      <c r="F171" s="4">
        <f>CHOOSE( CONTROL!$C$33, 7.8114, 7.8103) * CHOOSE(CONTROL!$C$16, $D$10, 100%, $F$10)</f>
        <v>7.8113999999999999</v>
      </c>
      <c r="G171" s="8">
        <f>CHOOSE( CONTROL!$C$33, 7.0858, 7.0847) * CHOOSE( CONTROL!$C$16, $D$10, 100%, $F$10)</f>
        <v>7.0857999999999999</v>
      </c>
      <c r="H171" s="4">
        <f>CHOOSE( CONTROL!$C$33, 7.9763, 7.9751) * CHOOSE(CONTROL!$C$16, $D$10, 100%, $F$10)</f>
        <v>7.9763000000000002</v>
      </c>
      <c r="I171" s="8">
        <f>CHOOSE( CONTROL!$C$33, 7.1117, 7.1106) * CHOOSE(CONTROL!$C$16, $D$10, 100%, $F$10)</f>
        <v>7.1116999999999999</v>
      </c>
      <c r="J171" s="4">
        <f>CHOOSE( CONTROL!$C$33, 6.9386, 6.9375) * CHOOSE(CONTROL!$C$16, $D$10, 100%, $F$10)</f>
        <v>6.9386000000000001</v>
      </c>
      <c r="K171" s="4"/>
      <c r="L171" s="9">
        <v>29.306000000000001</v>
      </c>
      <c r="M171" s="9">
        <v>12.063700000000001</v>
      </c>
      <c r="N171" s="9">
        <v>4.9444999999999997</v>
      </c>
      <c r="O171" s="9">
        <v>0.37409999999999999</v>
      </c>
      <c r="P171" s="9">
        <v>1.2927</v>
      </c>
      <c r="Q171" s="9">
        <v>32.070099999999996</v>
      </c>
      <c r="R171" s="9"/>
      <c r="S171" s="11"/>
    </row>
    <row r="172" spans="1:19" ht="15" customHeight="1">
      <c r="A172" s="13">
        <v>46388</v>
      </c>
      <c r="B172" s="8">
        <f>CHOOSE( CONTROL!$C$33, 7.4596, 7.4585) * CHOOSE(CONTROL!$C$16, $D$10, 100%, $F$10)</f>
        <v>7.4596</v>
      </c>
      <c r="C172" s="8">
        <f>CHOOSE( CONTROL!$C$33, 7.4647, 7.4636) * CHOOSE(CONTROL!$C$16, $D$10, 100%, $F$10)</f>
        <v>7.4646999999999997</v>
      </c>
      <c r="D172" s="8">
        <f>CHOOSE( CONTROL!$C$33, 7.4571, 7.456) * CHOOSE( CONTROL!$C$16, $D$10, 100%, $F$10)</f>
        <v>7.4570999999999996</v>
      </c>
      <c r="E172" s="12">
        <f>CHOOSE( CONTROL!$C$33, 7.4593, 7.4582) * CHOOSE( CONTROL!$C$16, $D$10, 100%, $F$10)</f>
        <v>7.4592999999999998</v>
      </c>
      <c r="F172" s="4">
        <f>CHOOSE( CONTROL!$C$33, 8.1225, 8.1214) * CHOOSE(CONTROL!$C$16, $D$10, 100%, $F$10)</f>
        <v>8.1225000000000005</v>
      </c>
      <c r="G172" s="8">
        <f>CHOOSE( CONTROL!$C$33, 7.3984, 7.3973) * CHOOSE( CONTROL!$C$16, $D$10, 100%, $F$10)</f>
        <v>7.3983999999999996</v>
      </c>
      <c r="H172" s="4">
        <f>CHOOSE( CONTROL!$C$33, 8.283, 8.2819) * CHOOSE(CONTROL!$C$16, $D$10, 100%, $F$10)</f>
        <v>8.2829999999999995</v>
      </c>
      <c r="I172" s="8">
        <f>CHOOSE( CONTROL!$C$33, 7.4044, 7.4033) * CHOOSE(CONTROL!$C$16, $D$10, 100%, $F$10)</f>
        <v>7.4043999999999999</v>
      </c>
      <c r="J172" s="4">
        <f>CHOOSE( CONTROL!$C$33, 7.2398, 7.2387) * CHOOSE(CONTROL!$C$16, $D$10, 100%, $F$10)</f>
        <v>7.2397999999999998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31.885999999999999</v>
      </c>
      <c r="R172" s="9"/>
      <c r="S172" s="11"/>
    </row>
    <row r="173" spans="1:19" ht="15" customHeight="1">
      <c r="A173" s="13">
        <v>46419</v>
      </c>
      <c r="B173" s="8">
        <f>CHOOSE( CONTROL!$C$33, 6.9763, 6.9752) * CHOOSE(CONTROL!$C$16, $D$10, 100%, $F$10)</f>
        <v>6.9763000000000002</v>
      </c>
      <c r="C173" s="8">
        <f>CHOOSE( CONTROL!$C$33, 6.9814, 6.9803) * CHOOSE(CONTROL!$C$16, $D$10, 100%, $F$10)</f>
        <v>6.9813999999999998</v>
      </c>
      <c r="D173" s="8">
        <f>CHOOSE( CONTROL!$C$33, 6.9736, 6.9725) * CHOOSE( CONTROL!$C$16, $D$10, 100%, $F$10)</f>
        <v>6.9736000000000002</v>
      </c>
      <c r="E173" s="12">
        <f>CHOOSE( CONTROL!$C$33, 6.9759, 6.9748) * CHOOSE( CONTROL!$C$16, $D$10, 100%, $F$10)</f>
        <v>6.9759000000000002</v>
      </c>
      <c r="F173" s="4">
        <f>CHOOSE( CONTROL!$C$33, 7.6392, 7.6381) * CHOOSE(CONTROL!$C$16, $D$10, 100%, $F$10)</f>
        <v>7.6391999999999998</v>
      </c>
      <c r="G173" s="8">
        <f>CHOOSE( CONTROL!$C$33, 6.9217, 6.9206) * CHOOSE( CONTROL!$C$16, $D$10, 100%, $F$10)</f>
        <v>6.9217000000000004</v>
      </c>
      <c r="H173" s="4">
        <f>CHOOSE( CONTROL!$C$33, 7.8065, 7.8054) * CHOOSE(CONTROL!$C$16, $D$10, 100%, $F$10)</f>
        <v>7.8064999999999998</v>
      </c>
      <c r="I173" s="8">
        <f>CHOOSE( CONTROL!$C$33, 6.9356, 6.9345) * CHOOSE(CONTROL!$C$16, $D$10, 100%, $F$10)</f>
        <v>6.9356</v>
      </c>
      <c r="J173" s="4">
        <f>CHOOSE( CONTROL!$C$33, 6.7718, 6.7708) * CHOOSE(CONTROL!$C$16, $D$10, 100%, $F$10)</f>
        <v>6.7717999999999998</v>
      </c>
      <c r="K173" s="4"/>
      <c r="L173" s="9">
        <v>26.469899999999999</v>
      </c>
      <c r="M173" s="9">
        <v>10.8962</v>
      </c>
      <c r="N173" s="9">
        <v>4.4660000000000002</v>
      </c>
      <c r="O173" s="9">
        <v>0.33789999999999998</v>
      </c>
      <c r="P173" s="9">
        <v>1.1676</v>
      </c>
      <c r="Q173" s="9">
        <v>28.8002</v>
      </c>
      <c r="R173" s="9"/>
      <c r="S173" s="11"/>
    </row>
    <row r="174" spans="1:19" ht="15" customHeight="1">
      <c r="A174" s="13">
        <v>46447</v>
      </c>
      <c r="B174" s="8">
        <f>CHOOSE( CONTROL!$C$33, 6.8275, 6.8264) * CHOOSE(CONTROL!$C$16, $D$10, 100%, $F$10)</f>
        <v>6.8274999999999997</v>
      </c>
      <c r="C174" s="8">
        <f>CHOOSE( CONTROL!$C$33, 6.8326, 6.8315) * CHOOSE(CONTROL!$C$16, $D$10, 100%, $F$10)</f>
        <v>6.8326000000000002</v>
      </c>
      <c r="D174" s="8">
        <f>CHOOSE( CONTROL!$C$33, 6.824, 6.8229) * CHOOSE( CONTROL!$C$16, $D$10, 100%, $F$10)</f>
        <v>6.8239999999999998</v>
      </c>
      <c r="E174" s="12">
        <f>CHOOSE( CONTROL!$C$33, 6.8266, 6.8255) * CHOOSE( CONTROL!$C$16, $D$10, 100%, $F$10)</f>
        <v>6.8266</v>
      </c>
      <c r="F174" s="4">
        <f>CHOOSE( CONTROL!$C$33, 7.4903, 7.4892) * CHOOSE(CONTROL!$C$16, $D$10, 100%, $F$10)</f>
        <v>7.4903000000000004</v>
      </c>
      <c r="G174" s="8">
        <f>CHOOSE( CONTROL!$C$33, 6.7744, 6.7733) * CHOOSE( CONTROL!$C$16, $D$10, 100%, $F$10)</f>
        <v>6.7744</v>
      </c>
      <c r="H174" s="4">
        <f>CHOOSE( CONTROL!$C$33, 7.6597, 7.6586) * CHOOSE(CONTROL!$C$16, $D$10, 100%, $F$10)</f>
        <v>7.6597</v>
      </c>
      <c r="I174" s="8">
        <f>CHOOSE( CONTROL!$C$33, 6.7891, 6.788) * CHOOSE(CONTROL!$C$16, $D$10, 100%, $F$10)</f>
        <v>6.7891000000000004</v>
      </c>
      <c r="J174" s="4">
        <f>CHOOSE( CONTROL!$C$33, 6.6277, 6.6266) * CHOOSE(CONTROL!$C$16, $D$10, 100%, $F$10)</f>
        <v>6.6276999999999999</v>
      </c>
      <c r="K174" s="4"/>
      <c r="L174" s="9">
        <v>29.306000000000001</v>
      </c>
      <c r="M174" s="9">
        <v>12.063700000000001</v>
      </c>
      <c r="N174" s="9">
        <v>4.9444999999999997</v>
      </c>
      <c r="O174" s="9">
        <v>0.37409999999999999</v>
      </c>
      <c r="P174" s="9">
        <v>1.2927</v>
      </c>
      <c r="Q174" s="9">
        <v>31.885999999999999</v>
      </c>
      <c r="R174" s="9"/>
      <c r="S174" s="11"/>
    </row>
    <row r="175" spans="1:19" ht="15" customHeight="1">
      <c r="A175" s="13">
        <v>46478</v>
      </c>
      <c r="B175" s="8">
        <f>CHOOSE( CONTROL!$C$33, 6.9323, 6.9311) * CHOOSE(CONTROL!$C$16, $D$10, 100%, $F$10)</f>
        <v>6.9322999999999997</v>
      </c>
      <c r="C175" s="8">
        <f>CHOOSE( CONTROL!$C$33, 6.9368, 6.9357) * CHOOSE(CONTROL!$C$16, $D$10, 100%, $F$10)</f>
        <v>6.9367999999999999</v>
      </c>
      <c r="D175" s="8">
        <f>CHOOSE( CONTROL!$C$33, 6.9657, 6.9645) * CHOOSE( CONTROL!$C$16, $D$10, 100%, $F$10)</f>
        <v>6.9657</v>
      </c>
      <c r="E175" s="12">
        <f>CHOOSE( CONTROL!$C$33, 6.9556, 6.9545) * CHOOSE( CONTROL!$C$16, $D$10, 100%, $F$10)</f>
        <v>6.9555999999999996</v>
      </c>
      <c r="F175" s="4">
        <f>CHOOSE( CONTROL!$C$33, 7.7105, 7.7094) * CHOOSE(CONTROL!$C$16, $D$10, 100%, $F$10)</f>
        <v>7.7104999999999997</v>
      </c>
      <c r="G175" s="8">
        <f>CHOOSE( CONTROL!$C$33, 6.8979, 6.8968) * CHOOSE( CONTROL!$C$16, $D$10, 100%, $F$10)</f>
        <v>6.8978999999999999</v>
      </c>
      <c r="H175" s="4">
        <f>CHOOSE( CONTROL!$C$33, 7.8768, 7.8757) * CHOOSE(CONTROL!$C$16, $D$10, 100%, $F$10)</f>
        <v>7.8768000000000002</v>
      </c>
      <c r="I175" s="8">
        <f>CHOOSE( CONTROL!$C$33, 6.8479, 6.8468) * CHOOSE(CONTROL!$C$16, $D$10, 100%, $F$10)</f>
        <v>6.8479000000000001</v>
      </c>
      <c r="J175" s="4">
        <f>CHOOSE( CONTROL!$C$33, 6.7284, 6.7273) * CHOOSE(CONTROL!$C$16, $D$10, 100%, $F$10)</f>
        <v>6.7283999999999997</v>
      </c>
      <c r="K175" s="4"/>
      <c r="L175" s="9">
        <v>30.092199999999998</v>
      </c>
      <c r="M175" s="9">
        <v>11.6745</v>
      </c>
      <c r="N175" s="9">
        <v>4.7850000000000001</v>
      </c>
      <c r="O175" s="9">
        <v>0.36199999999999999</v>
      </c>
      <c r="P175" s="9">
        <v>1.2509999999999999</v>
      </c>
      <c r="Q175" s="9">
        <v>30.857399999999998</v>
      </c>
      <c r="R175" s="9"/>
      <c r="S175" s="11"/>
    </row>
    <row r="176" spans="1:19" ht="15" customHeight="1">
      <c r="A176" s="13">
        <v>46508</v>
      </c>
      <c r="B176" s="8">
        <f>CHOOSE( CONTROL!$C$33, 7.1192, 7.1176) * CHOOSE(CONTROL!$C$16, $D$10, 100%, $F$10)</f>
        <v>7.1192000000000002</v>
      </c>
      <c r="C176" s="8">
        <f>CHOOSE( CONTROL!$C$33, 7.1272, 7.1256) * CHOOSE(CONTROL!$C$16, $D$10, 100%, $F$10)</f>
        <v>7.1272000000000002</v>
      </c>
      <c r="D176" s="8">
        <f>CHOOSE( CONTROL!$C$33, 7.1494, 7.1479) * CHOOSE( CONTROL!$C$16, $D$10, 100%, $F$10)</f>
        <v>7.1494</v>
      </c>
      <c r="E176" s="12">
        <f>CHOOSE( CONTROL!$C$33, 7.1401, 7.1386) * CHOOSE( CONTROL!$C$16, $D$10, 100%, $F$10)</f>
        <v>7.1401000000000003</v>
      </c>
      <c r="F176" s="4">
        <f>CHOOSE( CONTROL!$C$33, 7.8961, 7.8945) * CHOOSE(CONTROL!$C$16, $D$10, 100%, $F$10)</f>
        <v>7.8960999999999997</v>
      </c>
      <c r="G176" s="8">
        <f>CHOOSE( CONTROL!$C$33, 7.0808, 7.0793) * CHOOSE( CONTROL!$C$16, $D$10, 100%, $F$10)</f>
        <v>7.0808</v>
      </c>
      <c r="H176" s="4">
        <f>CHOOSE( CONTROL!$C$33, 8.0598, 8.0583) * CHOOSE(CONTROL!$C$16, $D$10, 100%, $F$10)</f>
        <v>8.0597999999999992</v>
      </c>
      <c r="I176" s="8">
        <f>CHOOSE( CONTROL!$C$33, 7.0273, 7.0257) * CHOOSE(CONTROL!$C$16, $D$10, 100%, $F$10)</f>
        <v>7.0273000000000003</v>
      </c>
      <c r="J176" s="4">
        <f>CHOOSE( CONTROL!$C$33, 6.9081, 6.9066) * CHOOSE(CONTROL!$C$16, $D$10, 100%, $F$10)</f>
        <v>6.9081000000000001</v>
      </c>
      <c r="K176" s="4"/>
      <c r="L176" s="9">
        <v>30.7165</v>
      </c>
      <c r="M176" s="9">
        <v>12.063700000000001</v>
      </c>
      <c r="N176" s="9">
        <v>4.9444999999999997</v>
      </c>
      <c r="O176" s="9">
        <v>0.37409999999999999</v>
      </c>
      <c r="P176" s="9">
        <v>1.2927</v>
      </c>
      <c r="Q176" s="9">
        <v>31.885999999999999</v>
      </c>
      <c r="R176" s="9"/>
      <c r="S176" s="11"/>
    </row>
    <row r="177" spans="1:19" ht="15" customHeight="1">
      <c r="A177" s="13">
        <v>46539</v>
      </c>
      <c r="B177" s="8">
        <f>CHOOSE( CONTROL!$C$33, 7.0045, 7.0029) * CHOOSE(CONTROL!$C$16, $D$10, 100%, $F$10)</f>
        <v>7.0045000000000002</v>
      </c>
      <c r="C177" s="8">
        <f>CHOOSE( CONTROL!$C$33, 7.0125, 7.0109) * CHOOSE(CONTROL!$C$16, $D$10, 100%, $F$10)</f>
        <v>7.0125000000000002</v>
      </c>
      <c r="D177" s="8">
        <f>CHOOSE( CONTROL!$C$33, 7.0349, 7.0333) * CHOOSE( CONTROL!$C$16, $D$10, 100%, $F$10)</f>
        <v>7.0349000000000004</v>
      </c>
      <c r="E177" s="12">
        <f>CHOOSE( CONTROL!$C$33, 7.0256, 7.024) * CHOOSE( CONTROL!$C$16, $D$10, 100%, $F$10)</f>
        <v>7.0255999999999998</v>
      </c>
      <c r="F177" s="4">
        <f>CHOOSE( CONTROL!$C$33, 7.7814, 7.7799) * CHOOSE(CONTROL!$C$16, $D$10, 100%, $F$10)</f>
        <v>7.7813999999999997</v>
      </c>
      <c r="G177" s="8">
        <f>CHOOSE( CONTROL!$C$33, 6.9679, 6.9664) * CHOOSE( CONTROL!$C$16, $D$10, 100%, $F$10)</f>
        <v>6.9679000000000002</v>
      </c>
      <c r="H177" s="4">
        <f>CHOOSE( CONTROL!$C$33, 7.9467, 7.9452) * CHOOSE(CONTROL!$C$16, $D$10, 100%, $F$10)</f>
        <v>7.9466999999999999</v>
      </c>
      <c r="I177" s="8">
        <f>CHOOSE( CONTROL!$C$33, 6.9167, 6.9152) * CHOOSE(CONTROL!$C$16, $D$10, 100%, $F$10)</f>
        <v>6.9166999999999996</v>
      </c>
      <c r="J177" s="4">
        <f>CHOOSE( CONTROL!$C$33, 6.7971, 6.7955) * CHOOSE(CONTROL!$C$16, $D$10, 100%, $F$10)</f>
        <v>6.7971000000000004</v>
      </c>
      <c r="K177" s="4"/>
      <c r="L177" s="9">
        <v>29.7257</v>
      </c>
      <c r="M177" s="9">
        <v>11.6745</v>
      </c>
      <c r="N177" s="9">
        <v>4.7850000000000001</v>
      </c>
      <c r="O177" s="9">
        <v>0.36199999999999999</v>
      </c>
      <c r="P177" s="9">
        <v>1.2509999999999999</v>
      </c>
      <c r="Q177" s="9">
        <v>30.857399999999998</v>
      </c>
      <c r="R177" s="9"/>
      <c r="S177" s="11"/>
    </row>
    <row r="178" spans="1:19" ht="15" customHeight="1">
      <c r="A178" s="13">
        <v>46569</v>
      </c>
      <c r="B178" s="8">
        <f>CHOOSE( CONTROL!$C$33, 7.3065, 7.3049) * CHOOSE(CONTROL!$C$16, $D$10, 100%, $F$10)</f>
        <v>7.3064999999999998</v>
      </c>
      <c r="C178" s="8">
        <f>CHOOSE( CONTROL!$C$33, 7.3145, 7.3129) * CHOOSE(CONTROL!$C$16, $D$10, 100%, $F$10)</f>
        <v>7.3144999999999998</v>
      </c>
      <c r="D178" s="8">
        <f>CHOOSE( CONTROL!$C$33, 7.3371, 7.3356) * CHOOSE( CONTROL!$C$16, $D$10, 100%, $F$10)</f>
        <v>7.3371000000000004</v>
      </c>
      <c r="E178" s="12">
        <f>CHOOSE( CONTROL!$C$33, 7.3277, 7.3262) * CHOOSE( CONTROL!$C$16, $D$10, 100%, $F$10)</f>
        <v>7.3277000000000001</v>
      </c>
      <c r="F178" s="4">
        <f>CHOOSE( CONTROL!$C$33, 8.0834, 8.0819) * CHOOSE(CONTROL!$C$16, $D$10, 100%, $F$10)</f>
        <v>8.0833999999999993</v>
      </c>
      <c r="G178" s="8">
        <f>CHOOSE( CONTROL!$C$33, 7.2659, 7.2643) * CHOOSE( CONTROL!$C$16, $D$10, 100%, $F$10)</f>
        <v>7.2659000000000002</v>
      </c>
      <c r="H178" s="4">
        <f>CHOOSE( CONTROL!$C$33, 8.2445, 8.2429) * CHOOSE(CONTROL!$C$16, $D$10, 100%, $F$10)</f>
        <v>8.2445000000000004</v>
      </c>
      <c r="I178" s="8">
        <f>CHOOSE( CONTROL!$C$33, 7.2101, 7.2086) * CHOOSE(CONTROL!$C$16, $D$10, 100%, $F$10)</f>
        <v>7.2100999999999997</v>
      </c>
      <c r="J178" s="4">
        <f>CHOOSE( CONTROL!$C$33, 7.0895, 7.088) * CHOOSE(CONTROL!$C$16, $D$10, 100%, $F$10)</f>
        <v>7.0895000000000001</v>
      </c>
      <c r="K178" s="4"/>
      <c r="L178" s="9">
        <v>30.7165</v>
      </c>
      <c r="M178" s="9">
        <v>12.063700000000001</v>
      </c>
      <c r="N178" s="9">
        <v>4.9444999999999997</v>
      </c>
      <c r="O178" s="9">
        <v>0.37409999999999999</v>
      </c>
      <c r="P178" s="9">
        <v>1.2927</v>
      </c>
      <c r="Q178" s="9">
        <v>31.885999999999999</v>
      </c>
      <c r="R178" s="9"/>
      <c r="S178" s="11"/>
    </row>
    <row r="179" spans="1:19" ht="15" customHeight="1">
      <c r="A179" s="13">
        <v>46600</v>
      </c>
      <c r="B179" s="8">
        <f>CHOOSE( CONTROL!$C$33, 6.7415, 6.7399) * CHOOSE(CONTROL!$C$16, $D$10, 100%, $F$10)</f>
        <v>6.7415000000000003</v>
      </c>
      <c r="C179" s="8">
        <f>CHOOSE( CONTROL!$C$33, 6.7495, 6.7479) * CHOOSE(CONTROL!$C$16, $D$10, 100%, $F$10)</f>
        <v>6.7495000000000003</v>
      </c>
      <c r="D179" s="8">
        <f>CHOOSE( CONTROL!$C$33, 6.7721, 6.7706) * CHOOSE( CONTROL!$C$16, $D$10, 100%, $F$10)</f>
        <v>6.7721</v>
      </c>
      <c r="E179" s="12">
        <f>CHOOSE( CONTROL!$C$33, 6.7627, 6.7612) * CHOOSE( CONTROL!$C$16, $D$10, 100%, $F$10)</f>
        <v>6.7626999999999997</v>
      </c>
      <c r="F179" s="4">
        <f>CHOOSE( CONTROL!$C$33, 7.5184, 7.5168) * CHOOSE(CONTROL!$C$16, $D$10, 100%, $F$10)</f>
        <v>7.5183999999999997</v>
      </c>
      <c r="G179" s="8">
        <f>CHOOSE( CONTROL!$C$33, 6.7087, 6.7072) * CHOOSE( CONTROL!$C$16, $D$10, 100%, $F$10)</f>
        <v>6.7087000000000003</v>
      </c>
      <c r="H179" s="4">
        <f>CHOOSE( CONTROL!$C$33, 7.6873, 7.6858) * CHOOSE(CONTROL!$C$16, $D$10, 100%, $F$10)</f>
        <v>7.6872999999999996</v>
      </c>
      <c r="I179" s="8">
        <f>CHOOSE( CONTROL!$C$33, 6.6628, 6.6613) * CHOOSE(CONTROL!$C$16, $D$10, 100%, $F$10)</f>
        <v>6.6627999999999998</v>
      </c>
      <c r="J179" s="4">
        <f>CHOOSE( CONTROL!$C$33, 6.5423, 6.5408) * CHOOSE(CONTROL!$C$16, $D$10, 100%, $F$10)</f>
        <v>6.5423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1.2927</v>
      </c>
      <c r="Q179" s="9">
        <v>31.885999999999999</v>
      </c>
      <c r="R179" s="9"/>
      <c r="S179" s="11"/>
    </row>
    <row r="180" spans="1:19" ht="15" customHeight="1">
      <c r="A180" s="13">
        <v>46631</v>
      </c>
      <c r="B180" s="8">
        <f>CHOOSE( CONTROL!$C$33, 6.6, 6.5984) * CHOOSE(CONTROL!$C$16, $D$10, 100%, $F$10)</f>
        <v>6.6</v>
      </c>
      <c r="C180" s="8">
        <f>CHOOSE( CONTROL!$C$33, 6.608, 6.6064) * CHOOSE(CONTROL!$C$16, $D$10, 100%, $F$10)</f>
        <v>6.6079999999999997</v>
      </c>
      <c r="D180" s="8">
        <f>CHOOSE( CONTROL!$C$33, 6.6305, 6.6289) * CHOOSE( CONTROL!$C$16, $D$10, 100%, $F$10)</f>
        <v>6.6304999999999996</v>
      </c>
      <c r="E180" s="12">
        <f>CHOOSE( CONTROL!$C$33, 6.6211, 6.6195) * CHOOSE( CONTROL!$C$16, $D$10, 100%, $F$10)</f>
        <v>6.6211000000000002</v>
      </c>
      <c r="F180" s="4">
        <f>CHOOSE( CONTROL!$C$33, 7.3769, 7.3753) * CHOOSE(CONTROL!$C$16, $D$10, 100%, $F$10)</f>
        <v>7.3769</v>
      </c>
      <c r="G180" s="8">
        <f>CHOOSE( CONTROL!$C$33, 6.5691, 6.5676) * CHOOSE( CONTROL!$C$16, $D$10, 100%, $F$10)</f>
        <v>6.5690999999999997</v>
      </c>
      <c r="H180" s="4">
        <f>CHOOSE( CONTROL!$C$33, 7.5478, 7.5463) * CHOOSE(CONTROL!$C$16, $D$10, 100%, $F$10)</f>
        <v>7.5477999999999996</v>
      </c>
      <c r="I180" s="8">
        <f>CHOOSE( CONTROL!$C$33, 6.5253, 6.5238) * CHOOSE(CONTROL!$C$16, $D$10, 100%, $F$10)</f>
        <v>6.5252999999999997</v>
      </c>
      <c r="J180" s="4">
        <f>CHOOSE( CONTROL!$C$33, 6.4053, 6.4038) * CHOOSE(CONTROL!$C$16, $D$10, 100%, $F$10)</f>
        <v>6.4053000000000004</v>
      </c>
      <c r="K180" s="4"/>
      <c r="L180" s="9">
        <v>29.7257</v>
      </c>
      <c r="M180" s="9">
        <v>11.6745</v>
      </c>
      <c r="N180" s="9">
        <v>4.7850000000000001</v>
      </c>
      <c r="O180" s="9">
        <v>0.36199999999999999</v>
      </c>
      <c r="P180" s="9">
        <v>1.2509999999999999</v>
      </c>
      <c r="Q180" s="9">
        <v>30.857399999999998</v>
      </c>
      <c r="R180" s="9"/>
      <c r="S180" s="11"/>
    </row>
    <row r="181" spans="1:19" ht="15" customHeight="1">
      <c r="A181" s="13">
        <v>46661</v>
      </c>
      <c r="B181" s="8">
        <f>CHOOSE( CONTROL!$C$33, 6.8916, 6.8905) * CHOOSE(CONTROL!$C$16, $D$10, 100%, $F$10)</f>
        <v>6.8916000000000004</v>
      </c>
      <c r="C181" s="8">
        <f>CHOOSE( CONTROL!$C$33, 6.8969, 6.8958) * CHOOSE(CONTROL!$C$16, $D$10, 100%, $F$10)</f>
        <v>6.8968999999999996</v>
      </c>
      <c r="D181" s="8">
        <f>CHOOSE( CONTROL!$C$33, 6.9257, 6.9246) * CHOOSE( CONTROL!$C$16, $D$10, 100%, $F$10)</f>
        <v>6.9257</v>
      </c>
      <c r="E181" s="12">
        <f>CHOOSE( CONTROL!$C$33, 6.9156, 6.9145) * CHOOSE( CONTROL!$C$16, $D$10, 100%, $F$10)</f>
        <v>6.9156000000000004</v>
      </c>
      <c r="F181" s="4">
        <f>CHOOSE( CONTROL!$C$33, 7.6702, 7.6691) * CHOOSE(CONTROL!$C$16, $D$10, 100%, $F$10)</f>
        <v>7.6702000000000004</v>
      </c>
      <c r="G181" s="8">
        <f>CHOOSE( CONTROL!$C$33, 6.8585, 6.8574) * CHOOSE( CONTROL!$C$16, $D$10, 100%, $F$10)</f>
        <v>6.8585000000000003</v>
      </c>
      <c r="H181" s="4">
        <f>CHOOSE( CONTROL!$C$33, 7.8371, 7.836) * CHOOSE(CONTROL!$C$16, $D$10, 100%, $F$10)</f>
        <v>7.8371000000000004</v>
      </c>
      <c r="I181" s="8">
        <f>CHOOSE( CONTROL!$C$33, 6.8101, 6.809) * CHOOSE(CONTROL!$C$16, $D$10, 100%, $F$10)</f>
        <v>6.8101000000000003</v>
      </c>
      <c r="J181" s="4">
        <f>CHOOSE( CONTROL!$C$33, 6.6894, 6.6883) * CHOOSE(CONTROL!$C$16, $D$10, 100%, $F$10)</f>
        <v>6.6894</v>
      </c>
      <c r="K181" s="4"/>
      <c r="L181" s="9">
        <v>31.095300000000002</v>
      </c>
      <c r="M181" s="9">
        <v>12.063700000000001</v>
      </c>
      <c r="N181" s="9">
        <v>4.9444999999999997</v>
      </c>
      <c r="O181" s="9">
        <v>0.37409999999999999</v>
      </c>
      <c r="P181" s="9">
        <v>1.2927</v>
      </c>
      <c r="Q181" s="9">
        <v>31.885999999999999</v>
      </c>
      <c r="R181" s="9"/>
      <c r="S181" s="11"/>
    </row>
    <row r="182" spans="1:19" ht="15" customHeight="1">
      <c r="A182" s="13">
        <v>46692</v>
      </c>
      <c r="B182" s="8">
        <f>CHOOSE( CONTROL!$C$33, 7.4335, 7.4323) * CHOOSE(CONTROL!$C$16, $D$10, 100%, $F$10)</f>
        <v>7.4335000000000004</v>
      </c>
      <c r="C182" s="8">
        <f>CHOOSE( CONTROL!$C$33, 7.4386, 7.4374) * CHOOSE(CONTROL!$C$16, $D$10, 100%, $F$10)</f>
        <v>7.4386000000000001</v>
      </c>
      <c r="D182" s="8">
        <f>CHOOSE( CONTROL!$C$33, 7.4182, 7.4171) * CHOOSE( CONTROL!$C$16, $D$10, 100%, $F$10)</f>
        <v>7.4181999999999997</v>
      </c>
      <c r="E182" s="12">
        <f>CHOOSE( CONTROL!$C$33, 7.4251, 7.424) * CHOOSE( CONTROL!$C$16, $D$10, 100%, $F$10)</f>
        <v>7.4250999999999996</v>
      </c>
      <c r="F182" s="4">
        <f>CHOOSE( CONTROL!$C$33, 8.0963, 8.0952) * CHOOSE(CONTROL!$C$16, $D$10, 100%, $F$10)</f>
        <v>8.0962999999999994</v>
      </c>
      <c r="G182" s="8">
        <f>CHOOSE( CONTROL!$C$33, 7.3657, 7.3646) * CHOOSE( CONTROL!$C$16, $D$10, 100%, $F$10)</f>
        <v>7.3657000000000004</v>
      </c>
      <c r="H182" s="4">
        <f>CHOOSE( CONTROL!$C$33, 8.2572, 8.2561) * CHOOSE(CONTROL!$C$16, $D$10, 100%, $F$10)</f>
        <v>8.2571999999999992</v>
      </c>
      <c r="I182" s="8">
        <f>CHOOSE( CONTROL!$C$33, 7.3832, 7.3822) * CHOOSE(CONTROL!$C$16, $D$10, 100%, $F$10)</f>
        <v>7.3832000000000004</v>
      </c>
      <c r="J182" s="4">
        <f>CHOOSE( CONTROL!$C$33, 7.2145, 7.2134) * CHOOSE(CONTROL!$C$16, $D$10, 100%, $F$10)</f>
        <v>7.2145000000000001</v>
      </c>
      <c r="K182" s="4"/>
      <c r="L182" s="9">
        <v>28.360600000000002</v>
      </c>
      <c r="M182" s="9">
        <v>11.6745</v>
      </c>
      <c r="N182" s="9">
        <v>4.7850000000000001</v>
      </c>
      <c r="O182" s="9">
        <v>0.36199999999999999</v>
      </c>
      <c r="P182" s="9">
        <v>1.2509999999999999</v>
      </c>
      <c r="Q182" s="9">
        <v>30.857399999999998</v>
      </c>
      <c r="R182" s="9"/>
      <c r="S182" s="11"/>
    </row>
    <row r="183" spans="1:19" ht="15" customHeight="1">
      <c r="A183" s="13">
        <v>46722</v>
      </c>
      <c r="B183" s="8">
        <f>CHOOSE( CONTROL!$C$33, 7.4199, 7.4188) * CHOOSE(CONTROL!$C$16, $D$10, 100%, $F$10)</f>
        <v>7.4199000000000002</v>
      </c>
      <c r="C183" s="8">
        <f>CHOOSE( CONTROL!$C$33, 7.425, 7.4239) * CHOOSE(CONTROL!$C$16, $D$10, 100%, $F$10)</f>
        <v>7.4249999999999998</v>
      </c>
      <c r="D183" s="8">
        <f>CHOOSE( CONTROL!$C$33, 7.4061, 7.405) * CHOOSE( CONTROL!$C$16, $D$10, 100%, $F$10)</f>
        <v>7.4061000000000003</v>
      </c>
      <c r="E183" s="12">
        <f>CHOOSE( CONTROL!$C$33, 7.4125, 7.4114) * CHOOSE( CONTROL!$C$16, $D$10, 100%, $F$10)</f>
        <v>7.4124999999999996</v>
      </c>
      <c r="F183" s="4">
        <f>CHOOSE( CONTROL!$C$33, 8.0828, 8.0817) * CHOOSE(CONTROL!$C$16, $D$10, 100%, $F$10)</f>
        <v>8.0828000000000007</v>
      </c>
      <c r="G183" s="8">
        <f>CHOOSE( CONTROL!$C$33, 7.3534, 7.3523) * CHOOSE( CONTROL!$C$16, $D$10, 100%, $F$10)</f>
        <v>7.3533999999999997</v>
      </c>
      <c r="H183" s="4">
        <f>CHOOSE( CONTROL!$C$33, 8.2439, 8.2427) * CHOOSE(CONTROL!$C$16, $D$10, 100%, $F$10)</f>
        <v>8.2439</v>
      </c>
      <c r="I183" s="8">
        <f>CHOOSE( CONTROL!$C$33, 7.3746, 7.3736) * CHOOSE(CONTROL!$C$16, $D$10, 100%, $F$10)</f>
        <v>7.3746</v>
      </c>
      <c r="J183" s="4">
        <f>CHOOSE( CONTROL!$C$33, 7.2014, 7.2003) * CHOOSE(CONTROL!$C$16, $D$10, 100%, $F$10)</f>
        <v>7.2013999999999996</v>
      </c>
      <c r="K183" s="4"/>
      <c r="L183" s="9">
        <v>29.306000000000001</v>
      </c>
      <c r="M183" s="9">
        <v>12.063700000000001</v>
      </c>
      <c r="N183" s="9">
        <v>4.9444999999999997</v>
      </c>
      <c r="O183" s="9">
        <v>0.37409999999999999</v>
      </c>
      <c r="P183" s="9">
        <v>1.2927</v>
      </c>
      <c r="Q183" s="9">
        <v>31.885999999999999</v>
      </c>
      <c r="R183" s="9"/>
      <c r="S183" s="11"/>
    </row>
    <row r="184" spans="1:19" ht="15" customHeight="1">
      <c r="A184" s="13">
        <v>46753</v>
      </c>
      <c r="B184" s="8">
        <f>CHOOSE( CONTROL!$C$33, 7.7325, 7.7313) * CHOOSE(CONTROL!$C$16, $D$10, 100%, $F$10)</f>
        <v>7.7324999999999999</v>
      </c>
      <c r="C184" s="8">
        <f>CHOOSE( CONTROL!$C$33, 7.7376, 7.7364) * CHOOSE(CONTROL!$C$16, $D$10, 100%, $F$10)</f>
        <v>7.7375999999999996</v>
      </c>
      <c r="D184" s="8">
        <f>CHOOSE( CONTROL!$C$33, 7.7299, 7.7288) * CHOOSE( CONTROL!$C$16, $D$10, 100%, $F$10)</f>
        <v>7.7298999999999998</v>
      </c>
      <c r="E184" s="12">
        <f>CHOOSE( CONTROL!$C$33, 7.7322, 7.731) * CHOOSE( CONTROL!$C$16, $D$10, 100%, $F$10)</f>
        <v>7.7321999999999997</v>
      </c>
      <c r="F184" s="4">
        <f>CHOOSE( CONTROL!$C$33, 8.3953, 8.3942) * CHOOSE(CONTROL!$C$16, $D$10, 100%, $F$10)</f>
        <v>8.3953000000000007</v>
      </c>
      <c r="G184" s="8">
        <f>CHOOSE( CONTROL!$C$33, 7.6674, 7.6663) * CHOOSE( CONTROL!$C$16, $D$10, 100%, $F$10)</f>
        <v>7.6673999999999998</v>
      </c>
      <c r="H184" s="4">
        <f>CHOOSE( CONTROL!$C$33, 8.552, 8.5509) * CHOOSE(CONTROL!$C$16, $D$10, 100%, $F$10)</f>
        <v>8.5519999999999996</v>
      </c>
      <c r="I184" s="8">
        <f>CHOOSE( CONTROL!$C$33, 7.6687, 7.6676) * CHOOSE(CONTROL!$C$16, $D$10, 100%, $F$10)</f>
        <v>7.6687000000000003</v>
      </c>
      <c r="J184" s="4">
        <f>CHOOSE( CONTROL!$C$33, 7.504, 7.5029) * CHOOSE(CONTROL!$C$16, $D$10, 100%, $F$10)</f>
        <v>7.5039999999999996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31.701799999999999</v>
      </c>
      <c r="R184" s="9"/>
      <c r="S184" s="11"/>
    </row>
    <row r="185" spans="1:19" ht="15" customHeight="1">
      <c r="A185" s="13">
        <v>46784</v>
      </c>
      <c r="B185" s="8">
        <f>CHOOSE( CONTROL!$C$33, 7.2315, 7.2304) * CHOOSE(CONTROL!$C$16, $D$10, 100%, $F$10)</f>
        <v>7.2314999999999996</v>
      </c>
      <c r="C185" s="8">
        <f>CHOOSE( CONTROL!$C$33, 7.2366, 7.2355) * CHOOSE(CONTROL!$C$16, $D$10, 100%, $F$10)</f>
        <v>7.2366000000000001</v>
      </c>
      <c r="D185" s="8">
        <f>CHOOSE( CONTROL!$C$33, 7.2288, 7.2277) * CHOOSE( CONTROL!$C$16, $D$10, 100%, $F$10)</f>
        <v>7.2287999999999997</v>
      </c>
      <c r="E185" s="12">
        <f>CHOOSE( CONTROL!$C$33, 7.2311, 7.23) * CHOOSE( CONTROL!$C$16, $D$10, 100%, $F$10)</f>
        <v>7.2310999999999996</v>
      </c>
      <c r="F185" s="4">
        <f>CHOOSE( CONTROL!$C$33, 7.8944, 7.8933) * CHOOSE(CONTROL!$C$16, $D$10, 100%, $F$10)</f>
        <v>7.8944000000000001</v>
      </c>
      <c r="G185" s="8">
        <f>CHOOSE( CONTROL!$C$33, 7.1734, 7.1723) * CHOOSE( CONTROL!$C$16, $D$10, 100%, $F$10)</f>
        <v>7.1734</v>
      </c>
      <c r="H185" s="4">
        <f>CHOOSE( CONTROL!$C$33, 8.0581, 8.057) * CHOOSE(CONTROL!$C$16, $D$10, 100%, $F$10)</f>
        <v>8.0580999999999996</v>
      </c>
      <c r="I185" s="8">
        <f>CHOOSE( CONTROL!$C$33, 7.1828, 7.1817) * CHOOSE(CONTROL!$C$16, $D$10, 100%, $F$10)</f>
        <v>7.1828000000000003</v>
      </c>
      <c r="J185" s="4">
        <f>CHOOSE( CONTROL!$C$33, 7.0189, 7.0179) * CHOOSE(CONTROL!$C$16, $D$10, 100%, $F$10)</f>
        <v>7.0189000000000004</v>
      </c>
      <c r="K185" s="4"/>
      <c r="L185" s="9">
        <v>27.415299999999998</v>
      </c>
      <c r="M185" s="9">
        <v>11.285299999999999</v>
      </c>
      <c r="N185" s="9">
        <v>4.6254999999999997</v>
      </c>
      <c r="O185" s="9">
        <v>0.34989999999999999</v>
      </c>
      <c r="P185" s="9">
        <v>1.2093</v>
      </c>
      <c r="Q185" s="9">
        <v>29.656600000000001</v>
      </c>
      <c r="R185" s="9"/>
      <c r="S185" s="11"/>
    </row>
    <row r="186" spans="1:19" ht="15" customHeight="1">
      <c r="A186" s="13">
        <v>46813</v>
      </c>
      <c r="B186" s="8">
        <f>CHOOSE( CONTROL!$C$33, 7.0772, 7.0761) * CHOOSE(CONTROL!$C$16, $D$10, 100%, $F$10)</f>
        <v>7.0772000000000004</v>
      </c>
      <c r="C186" s="8">
        <f>CHOOSE( CONTROL!$C$33, 7.0823, 7.0812) * CHOOSE(CONTROL!$C$16, $D$10, 100%, $F$10)</f>
        <v>7.0823</v>
      </c>
      <c r="D186" s="8">
        <f>CHOOSE( CONTROL!$C$33, 7.0738, 7.0727) * CHOOSE( CONTROL!$C$16, $D$10, 100%, $F$10)</f>
        <v>7.0738000000000003</v>
      </c>
      <c r="E186" s="12">
        <f>CHOOSE( CONTROL!$C$33, 7.0764, 7.0753) * CHOOSE( CONTROL!$C$16, $D$10, 100%, $F$10)</f>
        <v>7.0763999999999996</v>
      </c>
      <c r="F186" s="4">
        <f>CHOOSE( CONTROL!$C$33, 7.7401, 7.739) * CHOOSE(CONTROL!$C$16, $D$10, 100%, $F$10)</f>
        <v>7.7401</v>
      </c>
      <c r="G186" s="8">
        <f>CHOOSE( CONTROL!$C$33, 7.0207, 7.0196) * CHOOSE( CONTROL!$C$16, $D$10, 100%, $F$10)</f>
        <v>7.0206999999999997</v>
      </c>
      <c r="H186" s="4">
        <f>CHOOSE( CONTROL!$C$33, 7.906, 7.9049) * CHOOSE(CONTROL!$C$16, $D$10, 100%, $F$10)</f>
        <v>7.9059999999999997</v>
      </c>
      <c r="I186" s="8">
        <f>CHOOSE( CONTROL!$C$33, 7.0311, 7.03) * CHOOSE(CONTROL!$C$16, $D$10, 100%, $F$10)</f>
        <v>7.0311000000000003</v>
      </c>
      <c r="J186" s="4">
        <f>CHOOSE( CONTROL!$C$33, 6.8696, 6.8685) * CHOOSE(CONTROL!$C$16, $D$10, 100%, $F$10)</f>
        <v>6.8696000000000002</v>
      </c>
      <c r="K186" s="4"/>
      <c r="L186" s="9">
        <v>29.306000000000001</v>
      </c>
      <c r="M186" s="9">
        <v>12.063700000000001</v>
      </c>
      <c r="N186" s="9">
        <v>4.9444999999999997</v>
      </c>
      <c r="O186" s="9">
        <v>0.37409999999999999</v>
      </c>
      <c r="P186" s="9">
        <v>1.2927</v>
      </c>
      <c r="Q186" s="9">
        <v>31.701799999999999</v>
      </c>
      <c r="R186" s="9"/>
      <c r="S186" s="11"/>
    </row>
    <row r="187" spans="1:19" ht="15" customHeight="1">
      <c r="A187" s="13">
        <v>46844</v>
      </c>
      <c r="B187" s="8">
        <f>CHOOSE( CONTROL!$C$33, 7.1858, 7.1847) * CHOOSE(CONTROL!$C$16, $D$10, 100%, $F$10)</f>
        <v>7.1858000000000004</v>
      </c>
      <c r="C187" s="8">
        <f>CHOOSE( CONTROL!$C$33, 7.1903, 7.1892) * CHOOSE(CONTROL!$C$16, $D$10, 100%, $F$10)</f>
        <v>7.1902999999999997</v>
      </c>
      <c r="D187" s="8">
        <f>CHOOSE( CONTROL!$C$33, 7.2192, 7.2181) * CHOOSE( CONTROL!$C$16, $D$10, 100%, $F$10)</f>
        <v>7.2191999999999998</v>
      </c>
      <c r="E187" s="12">
        <f>CHOOSE( CONTROL!$C$33, 7.2091, 7.208) * CHOOSE( CONTROL!$C$16, $D$10, 100%, $F$10)</f>
        <v>7.2091000000000003</v>
      </c>
      <c r="F187" s="4">
        <f>CHOOSE( CONTROL!$C$33, 7.9641, 7.963) * CHOOSE(CONTROL!$C$16, $D$10, 100%, $F$10)</f>
        <v>7.9641000000000002</v>
      </c>
      <c r="G187" s="8">
        <f>CHOOSE( CONTROL!$C$33, 7.148, 7.1468) * CHOOSE( CONTROL!$C$16, $D$10, 100%, $F$10)</f>
        <v>7.1479999999999997</v>
      </c>
      <c r="H187" s="4">
        <f>CHOOSE( CONTROL!$C$33, 8.1268, 8.1257) * CHOOSE(CONTROL!$C$16, $D$10, 100%, $F$10)</f>
        <v>8.1267999999999994</v>
      </c>
      <c r="I187" s="8">
        <f>CHOOSE( CONTROL!$C$33, 7.0935, 7.0924) * CHOOSE(CONTROL!$C$16, $D$10, 100%, $F$10)</f>
        <v>7.0934999999999997</v>
      </c>
      <c r="J187" s="4">
        <f>CHOOSE( CONTROL!$C$33, 6.9739, 6.9729) * CHOOSE(CONTROL!$C$16, $D$10, 100%, $F$10)</f>
        <v>6.9739000000000004</v>
      </c>
      <c r="K187" s="4"/>
      <c r="L187" s="9">
        <v>30.092199999999998</v>
      </c>
      <c r="M187" s="9">
        <v>11.6745</v>
      </c>
      <c r="N187" s="9">
        <v>4.7850000000000001</v>
      </c>
      <c r="O187" s="9">
        <v>0.36199999999999999</v>
      </c>
      <c r="P187" s="9">
        <v>1.2509999999999999</v>
      </c>
      <c r="Q187" s="9">
        <v>30.679200000000002</v>
      </c>
      <c r="R187" s="9"/>
      <c r="S187" s="11"/>
    </row>
    <row r="188" spans="1:19" ht="15" customHeight="1">
      <c r="A188" s="13">
        <v>46874</v>
      </c>
      <c r="B188" s="8">
        <f>CHOOSE( CONTROL!$C$33, 7.3795, 7.3779) * CHOOSE(CONTROL!$C$16, $D$10, 100%, $F$10)</f>
        <v>7.3795000000000002</v>
      </c>
      <c r="C188" s="8">
        <f>CHOOSE( CONTROL!$C$33, 7.3875, 7.3859) * CHOOSE(CONTROL!$C$16, $D$10, 100%, $F$10)</f>
        <v>7.3875000000000002</v>
      </c>
      <c r="D188" s="8">
        <f>CHOOSE( CONTROL!$C$33, 7.4097, 7.4082) * CHOOSE( CONTROL!$C$16, $D$10, 100%, $F$10)</f>
        <v>7.4097</v>
      </c>
      <c r="E188" s="12">
        <f>CHOOSE( CONTROL!$C$33, 7.4004, 7.3989) * CHOOSE( CONTROL!$C$16, $D$10, 100%, $F$10)</f>
        <v>7.4004000000000003</v>
      </c>
      <c r="F188" s="4">
        <f>CHOOSE( CONTROL!$C$33, 8.1564, 8.1549) * CHOOSE(CONTROL!$C$16, $D$10, 100%, $F$10)</f>
        <v>8.1563999999999997</v>
      </c>
      <c r="G188" s="8">
        <f>CHOOSE( CONTROL!$C$33, 7.3375, 7.336) * CHOOSE( CONTROL!$C$16, $D$10, 100%, $F$10)</f>
        <v>7.3375000000000004</v>
      </c>
      <c r="H188" s="4">
        <f>CHOOSE( CONTROL!$C$33, 8.3165, 8.3149) * CHOOSE(CONTROL!$C$16, $D$10, 100%, $F$10)</f>
        <v>8.3164999999999996</v>
      </c>
      <c r="I188" s="8">
        <f>CHOOSE( CONTROL!$C$33, 7.2795, 7.2779) * CHOOSE(CONTROL!$C$16, $D$10, 100%, $F$10)</f>
        <v>7.2794999999999996</v>
      </c>
      <c r="J188" s="4">
        <f>CHOOSE( CONTROL!$C$33, 7.1602, 7.1587) * CHOOSE(CONTROL!$C$16, $D$10, 100%, $F$10)</f>
        <v>7.1601999999999997</v>
      </c>
      <c r="K188" s="4"/>
      <c r="L188" s="9">
        <v>30.7165</v>
      </c>
      <c r="M188" s="9">
        <v>12.063700000000001</v>
      </c>
      <c r="N188" s="9">
        <v>4.9444999999999997</v>
      </c>
      <c r="O188" s="9">
        <v>0.37409999999999999</v>
      </c>
      <c r="P188" s="9">
        <v>1.2927</v>
      </c>
      <c r="Q188" s="9">
        <v>31.701799999999999</v>
      </c>
      <c r="R188" s="9"/>
      <c r="S188" s="11"/>
    </row>
    <row r="189" spans="1:19" ht="15" customHeight="1">
      <c r="A189" s="13">
        <v>46905</v>
      </c>
      <c r="B189" s="8">
        <f>CHOOSE( CONTROL!$C$33, 7.2606, 7.2591) * CHOOSE(CONTROL!$C$16, $D$10, 100%, $F$10)</f>
        <v>7.2606000000000002</v>
      </c>
      <c r="C189" s="8">
        <f>CHOOSE( CONTROL!$C$33, 7.2686, 7.2671) * CHOOSE(CONTROL!$C$16, $D$10, 100%, $F$10)</f>
        <v>7.2686000000000002</v>
      </c>
      <c r="D189" s="8">
        <f>CHOOSE( CONTROL!$C$33, 7.291, 7.2895) * CHOOSE( CONTROL!$C$16, $D$10, 100%, $F$10)</f>
        <v>7.2910000000000004</v>
      </c>
      <c r="E189" s="12">
        <f>CHOOSE( CONTROL!$C$33, 7.2817, 7.2802) * CHOOSE( CONTROL!$C$16, $D$10, 100%, $F$10)</f>
        <v>7.2816999999999998</v>
      </c>
      <c r="F189" s="4">
        <f>CHOOSE( CONTROL!$C$33, 8.0376, 8.036) * CHOOSE(CONTROL!$C$16, $D$10, 100%, $F$10)</f>
        <v>8.0375999999999994</v>
      </c>
      <c r="G189" s="8">
        <f>CHOOSE( CONTROL!$C$33, 7.2205, 7.2189) * CHOOSE( CONTROL!$C$16, $D$10, 100%, $F$10)</f>
        <v>7.2205000000000004</v>
      </c>
      <c r="H189" s="4">
        <f>CHOOSE( CONTROL!$C$33, 8.1993, 8.1977) * CHOOSE(CONTROL!$C$16, $D$10, 100%, $F$10)</f>
        <v>8.1992999999999991</v>
      </c>
      <c r="I189" s="8">
        <f>CHOOSE( CONTROL!$C$33, 7.1649, 7.1634) * CHOOSE(CONTROL!$C$16, $D$10, 100%, $F$10)</f>
        <v>7.1649000000000003</v>
      </c>
      <c r="J189" s="4">
        <f>CHOOSE( CONTROL!$C$33, 7.0451, 7.0436) * CHOOSE(CONTROL!$C$16, $D$10, 100%, $F$10)</f>
        <v>7.0450999999999997</v>
      </c>
      <c r="K189" s="4"/>
      <c r="L189" s="9">
        <v>29.7257</v>
      </c>
      <c r="M189" s="9">
        <v>11.6745</v>
      </c>
      <c r="N189" s="9">
        <v>4.7850000000000001</v>
      </c>
      <c r="O189" s="9">
        <v>0.36199999999999999</v>
      </c>
      <c r="P189" s="9">
        <v>1.2509999999999999</v>
      </c>
      <c r="Q189" s="9">
        <v>30.679200000000002</v>
      </c>
      <c r="R189" s="9"/>
      <c r="S189" s="11"/>
    </row>
    <row r="190" spans="1:19" ht="15" customHeight="1">
      <c r="A190" s="13">
        <v>46935</v>
      </c>
      <c r="B190" s="8">
        <f>CHOOSE( CONTROL!$C$33, 7.5737, 7.5721) * CHOOSE(CONTROL!$C$16, $D$10, 100%, $F$10)</f>
        <v>7.5736999999999997</v>
      </c>
      <c r="C190" s="8">
        <f>CHOOSE( CONTROL!$C$33, 7.5817, 7.5801) * CHOOSE(CONTROL!$C$16, $D$10, 100%, $F$10)</f>
        <v>7.5816999999999997</v>
      </c>
      <c r="D190" s="8">
        <f>CHOOSE( CONTROL!$C$33, 7.6043, 7.6027) * CHOOSE( CONTROL!$C$16, $D$10, 100%, $F$10)</f>
        <v>7.6043000000000003</v>
      </c>
      <c r="E190" s="12">
        <f>CHOOSE( CONTROL!$C$33, 7.5949, 7.5933) * CHOOSE( CONTROL!$C$16, $D$10, 100%, $F$10)</f>
        <v>7.5949</v>
      </c>
      <c r="F190" s="4">
        <f>CHOOSE( CONTROL!$C$33, 8.3506, 8.349) * CHOOSE(CONTROL!$C$16, $D$10, 100%, $F$10)</f>
        <v>8.3506</v>
      </c>
      <c r="G190" s="8">
        <f>CHOOSE( CONTROL!$C$33, 7.5293, 7.5277) * CHOOSE( CONTROL!$C$16, $D$10, 100%, $F$10)</f>
        <v>7.5293000000000001</v>
      </c>
      <c r="H190" s="4">
        <f>CHOOSE( CONTROL!$C$33, 8.5079, 8.5064) * CHOOSE(CONTROL!$C$16, $D$10, 100%, $F$10)</f>
        <v>8.5078999999999994</v>
      </c>
      <c r="I190" s="8">
        <f>CHOOSE( CONTROL!$C$33, 7.4689, 7.4674) * CHOOSE(CONTROL!$C$16, $D$10, 100%, $F$10)</f>
        <v>7.4688999999999997</v>
      </c>
      <c r="J190" s="4">
        <f>CHOOSE( CONTROL!$C$33, 7.3482, 7.3466) * CHOOSE(CONTROL!$C$16, $D$10, 100%, $F$10)</f>
        <v>7.3482000000000003</v>
      </c>
      <c r="K190" s="4"/>
      <c r="L190" s="9">
        <v>30.7165</v>
      </c>
      <c r="M190" s="9">
        <v>12.063700000000001</v>
      </c>
      <c r="N190" s="9">
        <v>4.9444999999999997</v>
      </c>
      <c r="O190" s="9">
        <v>0.37409999999999999</v>
      </c>
      <c r="P190" s="9">
        <v>1.2927</v>
      </c>
      <c r="Q190" s="9">
        <v>31.701799999999999</v>
      </c>
      <c r="R190" s="9"/>
      <c r="S190" s="11"/>
    </row>
    <row r="191" spans="1:19" ht="15" customHeight="1">
      <c r="A191" s="13">
        <v>46966</v>
      </c>
      <c r="B191" s="8">
        <f>CHOOSE( CONTROL!$C$33, 6.988, 6.9864) * CHOOSE(CONTROL!$C$16, $D$10, 100%, $F$10)</f>
        <v>6.9880000000000004</v>
      </c>
      <c r="C191" s="8">
        <f>CHOOSE( CONTROL!$C$33, 6.996, 6.9944) * CHOOSE(CONTROL!$C$16, $D$10, 100%, $F$10)</f>
        <v>6.9960000000000004</v>
      </c>
      <c r="D191" s="8">
        <f>CHOOSE( CONTROL!$C$33, 7.0187, 7.0171) * CHOOSE( CONTROL!$C$16, $D$10, 100%, $F$10)</f>
        <v>7.0186999999999999</v>
      </c>
      <c r="E191" s="12">
        <f>CHOOSE( CONTROL!$C$33, 7.0093, 7.0077) * CHOOSE( CONTROL!$C$16, $D$10, 100%, $F$10)</f>
        <v>7.0092999999999996</v>
      </c>
      <c r="F191" s="4">
        <f>CHOOSE( CONTROL!$C$33, 7.7649, 7.7633) * CHOOSE(CONTROL!$C$16, $D$10, 100%, $F$10)</f>
        <v>7.7648999999999999</v>
      </c>
      <c r="G191" s="8">
        <f>CHOOSE( CONTROL!$C$33, 6.9518, 6.9503) * CHOOSE( CONTROL!$C$16, $D$10, 100%, $F$10)</f>
        <v>6.9518000000000004</v>
      </c>
      <c r="H191" s="4">
        <f>CHOOSE( CONTROL!$C$33, 7.9304, 7.9289) * CHOOSE(CONTROL!$C$16, $D$10, 100%, $F$10)</f>
        <v>7.9303999999999997</v>
      </c>
      <c r="I191" s="8">
        <f>CHOOSE( CONTROL!$C$33, 6.9017, 6.9002) * CHOOSE(CONTROL!$C$16, $D$10, 100%, $F$10)</f>
        <v>6.9016999999999999</v>
      </c>
      <c r="J191" s="4">
        <f>CHOOSE( CONTROL!$C$33, 6.7811, 6.7795) * CHOOSE(CONTROL!$C$16, $D$10, 100%, $F$10)</f>
        <v>6.7811000000000003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1.2927</v>
      </c>
      <c r="Q191" s="9">
        <v>31.701799999999999</v>
      </c>
      <c r="R191" s="9"/>
      <c r="S191" s="11"/>
    </row>
    <row r="192" spans="1:19" ht="15" customHeight="1">
      <c r="A192" s="13">
        <v>46997</v>
      </c>
      <c r="B192" s="8">
        <f>CHOOSE( CONTROL!$C$33, 6.8413, 6.8398) * CHOOSE(CONTROL!$C$16, $D$10, 100%, $F$10)</f>
        <v>6.8413000000000004</v>
      </c>
      <c r="C192" s="8">
        <f>CHOOSE( CONTROL!$C$33, 6.8493, 6.8478) * CHOOSE(CONTROL!$C$16, $D$10, 100%, $F$10)</f>
        <v>6.8493000000000004</v>
      </c>
      <c r="D192" s="8">
        <f>CHOOSE( CONTROL!$C$33, 6.8719, 6.8703) * CHOOSE( CONTROL!$C$16, $D$10, 100%, $F$10)</f>
        <v>6.8719000000000001</v>
      </c>
      <c r="E192" s="12">
        <f>CHOOSE( CONTROL!$C$33, 6.8625, 6.8609) * CHOOSE( CONTROL!$C$16, $D$10, 100%, $F$10)</f>
        <v>6.8624999999999998</v>
      </c>
      <c r="F192" s="4">
        <f>CHOOSE( CONTROL!$C$33, 7.6182, 7.6167) * CHOOSE(CONTROL!$C$16, $D$10, 100%, $F$10)</f>
        <v>7.6181999999999999</v>
      </c>
      <c r="G192" s="8">
        <f>CHOOSE( CONTROL!$C$33, 6.8071, 6.8056) * CHOOSE( CONTROL!$C$16, $D$10, 100%, $F$10)</f>
        <v>6.8071000000000002</v>
      </c>
      <c r="H192" s="4">
        <f>CHOOSE( CONTROL!$C$33, 7.7858, 7.7843) * CHOOSE(CONTROL!$C$16, $D$10, 100%, $F$10)</f>
        <v>7.7858000000000001</v>
      </c>
      <c r="I192" s="8">
        <f>CHOOSE( CONTROL!$C$33, 6.7592, 6.7576) * CHOOSE(CONTROL!$C$16, $D$10, 100%, $F$10)</f>
        <v>6.7591999999999999</v>
      </c>
      <c r="J192" s="4">
        <f>CHOOSE( CONTROL!$C$33, 6.6391, 6.6375) * CHOOSE(CONTROL!$C$16, $D$10, 100%, $F$10)</f>
        <v>6.6391</v>
      </c>
      <c r="K192" s="4"/>
      <c r="L192" s="9">
        <v>29.7257</v>
      </c>
      <c r="M192" s="9">
        <v>11.6745</v>
      </c>
      <c r="N192" s="9">
        <v>4.7850000000000001</v>
      </c>
      <c r="O192" s="9">
        <v>0.36199999999999999</v>
      </c>
      <c r="P192" s="9">
        <v>1.2509999999999999</v>
      </c>
      <c r="Q192" s="9">
        <v>30.679200000000002</v>
      </c>
      <c r="R192" s="9"/>
      <c r="S192" s="11"/>
    </row>
    <row r="193" spans="1:19" ht="15" customHeight="1">
      <c r="A193" s="13">
        <v>47027</v>
      </c>
      <c r="B193" s="8">
        <f>CHOOSE( CONTROL!$C$33, 7.1437, 7.1425) * CHOOSE(CONTROL!$C$16, $D$10, 100%, $F$10)</f>
        <v>7.1436999999999999</v>
      </c>
      <c r="C193" s="8">
        <f>CHOOSE( CONTROL!$C$33, 7.149, 7.1479) * CHOOSE(CONTROL!$C$16, $D$10, 100%, $F$10)</f>
        <v>7.149</v>
      </c>
      <c r="D193" s="8">
        <f>CHOOSE( CONTROL!$C$33, 7.1778, 7.1767) * CHOOSE( CONTROL!$C$16, $D$10, 100%, $F$10)</f>
        <v>7.1778000000000004</v>
      </c>
      <c r="E193" s="12">
        <f>CHOOSE( CONTROL!$C$33, 7.1677, 7.1666) * CHOOSE( CONTROL!$C$16, $D$10, 100%, $F$10)</f>
        <v>7.1677</v>
      </c>
      <c r="F193" s="4">
        <f>CHOOSE( CONTROL!$C$33, 7.9223, 7.9212) * CHOOSE(CONTROL!$C$16, $D$10, 100%, $F$10)</f>
        <v>7.9222999999999999</v>
      </c>
      <c r="G193" s="8">
        <f>CHOOSE( CONTROL!$C$33, 7.107, 7.1059) * CHOOSE( CONTROL!$C$16, $D$10, 100%, $F$10)</f>
        <v>7.1070000000000002</v>
      </c>
      <c r="H193" s="4">
        <f>CHOOSE( CONTROL!$C$33, 8.0856, 8.0845) * CHOOSE(CONTROL!$C$16, $D$10, 100%, $F$10)</f>
        <v>8.0855999999999995</v>
      </c>
      <c r="I193" s="8">
        <f>CHOOSE( CONTROL!$C$33, 7.0543, 7.0532) * CHOOSE(CONTROL!$C$16, $D$10, 100%, $F$10)</f>
        <v>7.0542999999999996</v>
      </c>
      <c r="J193" s="4">
        <f>CHOOSE( CONTROL!$C$33, 6.9335, 6.9324) * CHOOSE(CONTROL!$C$16, $D$10, 100%, $F$10)</f>
        <v>6.9335000000000004</v>
      </c>
      <c r="K193" s="4"/>
      <c r="L193" s="9">
        <v>31.095300000000002</v>
      </c>
      <c r="M193" s="9">
        <v>12.063700000000001</v>
      </c>
      <c r="N193" s="9">
        <v>4.9444999999999997</v>
      </c>
      <c r="O193" s="9">
        <v>0.37409999999999999</v>
      </c>
      <c r="P193" s="9">
        <v>1.2927</v>
      </c>
      <c r="Q193" s="9">
        <v>31.701799999999999</v>
      </c>
      <c r="R193" s="9"/>
      <c r="S193" s="11"/>
    </row>
    <row r="194" spans="1:19" ht="15" customHeight="1">
      <c r="A194" s="13">
        <v>47058</v>
      </c>
      <c r="B194" s="8">
        <f>CHOOSE( CONTROL!$C$33, 7.7053, 7.7042) * CHOOSE(CONTROL!$C$16, $D$10, 100%, $F$10)</f>
        <v>7.7053000000000003</v>
      </c>
      <c r="C194" s="8">
        <f>CHOOSE( CONTROL!$C$33, 7.7104, 7.7093) * CHOOSE(CONTROL!$C$16, $D$10, 100%, $F$10)</f>
        <v>7.7103999999999999</v>
      </c>
      <c r="D194" s="8">
        <f>CHOOSE( CONTROL!$C$33, 7.6901, 7.689) * CHOOSE( CONTROL!$C$16, $D$10, 100%, $F$10)</f>
        <v>7.6901000000000002</v>
      </c>
      <c r="E194" s="12">
        <f>CHOOSE( CONTROL!$C$33, 7.697, 7.6959) * CHOOSE( CONTROL!$C$16, $D$10, 100%, $F$10)</f>
        <v>7.6970000000000001</v>
      </c>
      <c r="F194" s="4">
        <f>CHOOSE( CONTROL!$C$33, 8.3682, 8.3671) * CHOOSE(CONTROL!$C$16, $D$10, 100%, $F$10)</f>
        <v>8.3681999999999999</v>
      </c>
      <c r="G194" s="8">
        <f>CHOOSE( CONTROL!$C$33, 7.6338, 7.6327) * CHOOSE( CONTROL!$C$16, $D$10, 100%, $F$10)</f>
        <v>7.6337999999999999</v>
      </c>
      <c r="H194" s="4">
        <f>CHOOSE( CONTROL!$C$33, 8.5253, 8.5242) * CHOOSE(CONTROL!$C$16, $D$10, 100%, $F$10)</f>
        <v>8.5252999999999997</v>
      </c>
      <c r="I194" s="8">
        <f>CHOOSE( CONTROL!$C$33, 7.6466, 7.6456) * CHOOSE(CONTROL!$C$16, $D$10, 100%, $F$10)</f>
        <v>7.6466000000000003</v>
      </c>
      <c r="J194" s="4">
        <f>CHOOSE( CONTROL!$C$33, 7.4777, 7.4767) * CHOOSE(CONTROL!$C$16, $D$10, 100%, $F$10)</f>
        <v>7.4776999999999996</v>
      </c>
      <c r="K194" s="4"/>
      <c r="L194" s="9">
        <v>28.360600000000002</v>
      </c>
      <c r="M194" s="9">
        <v>11.6745</v>
      </c>
      <c r="N194" s="9">
        <v>4.7850000000000001</v>
      </c>
      <c r="O194" s="9">
        <v>0.36199999999999999</v>
      </c>
      <c r="P194" s="9">
        <v>1.2509999999999999</v>
      </c>
      <c r="Q194" s="9">
        <v>30.679200000000002</v>
      </c>
      <c r="R194" s="9"/>
      <c r="S194" s="11"/>
    </row>
    <row r="195" spans="1:19" ht="15" customHeight="1">
      <c r="A195" s="13">
        <v>47088</v>
      </c>
      <c r="B195" s="8">
        <f>CHOOSE( CONTROL!$C$33, 7.6913, 7.6902) * CHOOSE(CONTROL!$C$16, $D$10, 100%, $F$10)</f>
        <v>7.6913</v>
      </c>
      <c r="C195" s="8">
        <f>CHOOSE( CONTROL!$C$33, 7.6964, 7.6953) * CHOOSE(CONTROL!$C$16, $D$10, 100%, $F$10)</f>
        <v>7.6963999999999997</v>
      </c>
      <c r="D195" s="8">
        <f>CHOOSE( CONTROL!$C$33, 7.6775, 7.6764) * CHOOSE( CONTROL!$C$16, $D$10, 100%, $F$10)</f>
        <v>7.6775000000000002</v>
      </c>
      <c r="E195" s="12">
        <f>CHOOSE( CONTROL!$C$33, 7.6839, 7.6828) * CHOOSE( CONTROL!$C$16, $D$10, 100%, $F$10)</f>
        <v>7.6839000000000004</v>
      </c>
      <c r="F195" s="4">
        <f>CHOOSE( CONTROL!$C$33, 8.3542, 8.353) * CHOOSE(CONTROL!$C$16, $D$10, 100%, $F$10)</f>
        <v>8.3542000000000005</v>
      </c>
      <c r="G195" s="8">
        <f>CHOOSE( CONTROL!$C$33, 7.621, 7.6199) * CHOOSE( CONTROL!$C$16, $D$10, 100%, $F$10)</f>
        <v>7.6210000000000004</v>
      </c>
      <c r="H195" s="4">
        <f>CHOOSE( CONTROL!$C$33, 8.5115, 8.5103) * CHOOSE(CONTROL!$C$16, $D$10, 100%, $F$10)</f>
        <v>8.5114999999999998</v>
      </c>
      <c r="I195" s="8">
        <f>CHOOSE( CONTROL!$C$33, 7.6376, 7.6365) * CHOOSE(CONTROL!$C$16, $D$10, 100%, $F$10)</f>
        <v>7.6375999999999999</v>
      </c>
      <c r="J195" s="4">
        <f>CHOOSE( CONTROL!$C$33, 7.4641, 7.4631) * CHOOSE(CONTROL!$C$16, $D$10, 100%, $F$10)</f>
        <v>7.4641000000000002</v>
      </c>
      <c r="K195" s="4"/>
      <c r="L195" s="9">
        <v>29.306000000000001</v>
      </c>
      <c r="M195" s="9">
        <v>12.063700000000001</v>
      </c>
      <c r="N195" s="9">
        <v>4.9444999999999997</v>
      </c>
      <c r="O195" s="9">
        <v>0.37409999999999999</v>
      </c>
      <c r="P195" s="9">
        <v>1.2927</v>
      </c>
      <c r="Q195" s="9">
        <v>31.701799999999999</v>
      </c>
      <c r="R195" s="9"/>
      <c r="S195" s="11"/>
    </row>
    <row r="196" spans="1:19" ht="15" customHeight="1">
      <c r="A196" s="13">
        <v>47119</v>
      </c>
      <c r="B196" s="8">
        <f>CHOOSE( CONTROL!$C$33, 8.0599, 8.0587) * CHOOSE(CONTROL!$C$16, $D$10, 100%, $F$10)</f>
        <v>8.0599000000000007</v>
      </c>
      <c r="C196" s="8">
        <f>CHOOSE( CONTROL!$C$33, 8.065, 8.0638) * CHOOSE(CONTROL!$C$16, $D$10, 100%, $F$10)</f>
        <v>8.0649999999999995</v>
      </c>
      <c r="D196" s="8">
        <f>CHOOSE( CONTROL!$C$33, 8.0573, 8.0562) * CHOOSE( CONTROL!$C$16, $D$10, 100%, $F$10)</f>
        <v>8.0572999999999997</v>
      </c>
      <c r="E196" s="12">
        <f>CHOOSE( CONTROL!$C$33, 8.0596, 8.0584) * CHOOSE( CONTROL!$C$16, $D$10, 100%, $F$10)</f>
        <v>8.0595999999999997</v>
      </c>
      <c r="F196" s="4">
        <f>CHOOSE( CONTROL!$C$33, 8.7227, 8.7216) * CHOOSE(CONTROL!$C$16, $D$10, 100%, $F$10)</f>
        <v>8.7226999999999997</v>
      </c>
      <c r="G196" s="8">
        <f>CHOOSE( CONTROL!$C$33, 7.9903, 7.9892) * CHOOSE( CONTROL!$C$16, $D$10, 100%, $F$10)</f>
        <v>7.9903000000000004</v>
      </c>
      <c r="H196" s="4">
        <f>CHOOSE( CONTROL!$C$33, 8.8749, 8.8738) * CHOOSE(CONTROL!$C$16, $D$10, 100%, $F$10)</f>
        <v>8.8749000000000002</v>
      </c>
      <c r="I196" s="8">
        <f>CHOOSE( CONTROL!$C$33, 7.9859, 7.9848) * CHOOSE(CONTROL!$C$16, $D$10, 100%, $F$10)</f>
        <v>7.9859</v>
      </c>
      <c r="J196" s="4">
        <f>CHOOSE( CONTROL!$C$33, 7.821, 7.8199) * CHOOSE(CONTROL!$C$16, $D$10, 100%, $F$10)</f>
        <v>7.8209999999999997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31.517700000000001</v>
      </c>
      <c r="R196" s="9"/>
      <c r="S196" s="11"/>
    </row>
    <row r="197" spans="1:19" ht="15" customHeight="1">
      <c r="A197" s="13">
        <v>47150</v>
      </c>
      <c r="B197" s="8">
        <f>CHOOSE( CONTROL!$C$33, 7.5378, 7.5366) * CHOOSE(CONTROL!$C$16, $D$10, 100%, $F$10)</f>
        <v>7.5377999999999998</v>
      </c>
      <c r="C197" s="8">
        <f>CHOOSE( CONTROL!$C$33, 7.5429, 7.5417) * CHOOSE(CONTROL!$C$16, $D$10, 100%, $F$10)</f>
        <v>7.5429000000000004</v>
      </c>
      <c r="D197" s="8">
        <f>CHOOSE( CONTROL!$C$33, 7.535, 7.5339) * CHOOSE( CONTROL!$C$16, $D$10, 100%, $F$10)</f>
        <v>7.5350000000000001</v>
      </c>
      <c r="E197" s="12">
        <f>CHOOSE( CONTROL!$C$33, 7.5373, 7.5362) * CHOOSE( CONTROL!$C$16, $D$10, 100%, $F$10)</f>
        <v>7.5373000000000001</v>
      </c>
      <c r="F197" s="4">
        <f>CHOOSE( CONTROL!$C$33, 8.2006, 8.1995) * CHOOSE(CONTROL!$C$16, $D$10, 100%, $F$10)</f>
        <v>8.2005999999999997</v>
      </c>
      <c r="G197" s="8">
        <f>CHOOSE( CONTROL!$C$33, 7.4753, 7.4742) * CHOOSE( CONTROL!$C$16, $D$10, 100%, $F$10)</f>
        <v>7.4752999999999998</v>
      </c>
      <c r="H197" s="4">
        <f>CHOOSE( CONTROL!$C$33, 8.3601, 8.359) * CHOOSE(CONTROL!$C$16, $D$10, 100%, $F$10)</f>
        <v>8.3600999999999992</v>
      </c>
      <c r="I197" s="8">
        <f>CHOOSE( CONTROL!$C$33, 7.4795, 7.4784) * CHOOSE(CONTROL!$C$16, $D$10, 100%, $F$10)</f>
        <v>7.4794999999999998</v>
      </c>
      <c r="J197" s="4">
        <f>CHOOSE( CONTROL!$C$33, 7.3155, 7.3144) * CHOOSE(CONTROL!$C$16, $D$10, 100%, $F$10)</f>
        <v>7.3155000000000001</v>
      </c>
      <c r="K197" s="4"/>
      <c r="L197" s="9">
        <v>26.469899999999999</v>
      </c>
      <c r="M197" s="9">
        <v>10.8962</v>
      </c>
      <c r="N197" s="9">
        <v>4.4660000000000002</v>
      </c>
      <c r="O197" s="9">
        <v>0.33789999999999998</v>
      </c>
      <c r="P197" s="9">
        <v>1.1676</v>
      </c>
      <c r="Q197" s="9">
        <v>28.467600000000001</v>
      </c>
      <c r="R197" s="9"/>
      <c r="S197" s="11"/>
    </row>
    <row r="198" spans="1:19" ht="15" customHeight="1">
      <c r="A198" s="13">
        <v>47178</v>
      </c>
      <c r="B198" s="8">
        <f>CHOOSE( CONTROL!$C$33, 7.377, 7.3758) * CHOOSE(CONTROL!$C$16, $D$10, 100%, $F$10)</f>
        <v>7.3769999999999998</v>
      </c>
      <c r="C198" s="8">
        <f>CHOOSE( CONTROL!$C$33, 7.3821, 7.3809) * CHOOSE(CONTROL!$C$16, $D$10, 100%, $F$10)</f>
        <v>7.3821000000000003</v>
      </c>
      <c r="D198" s="8">
        <f>CHOOSE( CONTROL!$C$33, 7.3735, 7.3724) * CHOOSE( CONTROL!$C$16, $D$10, 100%, $F$10)</f>
        <v>7.3734999999999999</v>
      </c>
      <c r="E198" s="12">
        <f>CHOOSE( CONTROL!$C$33, 7.3761, 7.375) * CHOOSE( CONTROL!$C$16, $D$10, 100%, $F$10)</f>
        <v>7.3761000000000001</v>
      </c>
      <c r="F198" s="4">
        <f>CHOOSE( CONTROL!$C$33, 8.0398, 8.0387) * CHOOSE(CONTROL!$C$16, $D$10, 100%, $F$10)</f>
        <v>8.0397999999999996</v>
      </c>
      <c r="G198" s="8">
        <f>CHOOSE( CONTROL!$C$33, 7.3162, 7.3151) * CHOOSE( CONTROL!$C$16, $D$10, 100%, $F$10)</f>
        <v>7.3162000000000003</v>
      </c>
      <c r="H198" s="4">
        <f>CHOOSE( CONTROL!$C$33, 8.2015, 8.2004) * CHOOSE(CONTROL!$C$16, $D$10, 100%, $F$10)</f>
        <v>8.2014999999999993</v>
      </c>
      <c r="I198" s="8">
        <f>CHOOSE( CONTROL!$C$33, 7.3214, 7.3204) * CHOOSE(CONTROL!$C$16, $D$10, 100%, $F$10)</f>
        <v>7.3213999999999997</v>
      </c>
      <c r="J198" s="4">
        <f>CHOOSE( CONTROL!$C$33, 7.1598, 7.1587) * CHOOSE(CONTROL!$C$16, $D$10, 100%, $F$10)</f>
        <v>7.1597999999999997</v>
      </c>
      <c r="K198" s="4"/>
      <c r="L198" s="9">
        <v>29.306000000000001</v>
      </c>
      <c r="M198" s="9">
        <v>12.063700000000001</v>
      </c>
      <c r="N198" s="9">
        <v>4.9444999999999997</v>
      </c>
      <c r="O198" s="9">
        <v>0.37409999999999999</v>
      </c>
      <c r="P198" s="9">
        <v>1.2927</v>
      </c>
      <c r="Q198" s="9">
        <v>31.517700000000001</v>
      </c>
      <c r="R198" s="9"/>
      <c r="S198" s="11"/>
    </row>
    <row r="199" spans="1:19" ht="15" customHeight="1">
      <c r="A199" s="13">
        <v>47209</v>
      </c>
      <c r="B199" s="8">
        <f>CHOOSE( CONTROL!$C$33, 7.4901, 7.489) * CHOOSE(CONTROL!$C$16, $D$10, 100%, $F$10)</f>
        <v>7.4901</v>
      </c>
      <c r="C199" s="8">
        <f>CHOOSE( CONTROL!$C$33, 7.4946, 7.4935) * CHOOSE(CONTROL!$C$16, $D$10, 100%, $F$10)</f>
        <v>7.4946000000000002</v>
      </c>
      <c r="D199" s="8">
        <f>CHOOSE( CONTROL!$C$33, 7.5235, 7.5224) * CHOOSE( CONTROL!$C$16, $D$10, 100%, $F$10)</f>
        <v>7.5235000000000003</v>
      </c>
      <c r="E199" s="12">
        <f>CHOOSE( CONTROL!$C$33, 7.5134, 7.5123) * CHOOSE( CONTROL!$C$16, $D$10, 100%, $F$10)</f>
        <v>7.5133999999999999</v>
      </c>
      <c r="F199" s="4">
        <f>CHOOSE( CONTROL!$C$33, 8.2684, 8.2673) * CHOOSE(CONTROL!$C$16, $D$10, 100%, $F$10)</f>
        <v>8.2683999999999997</v>
      </c>
      <c r="G199" s="8">
        <f>CHOOSE( CONTROL!$C$33, 7.448, 7.4469) * CHOOSE( CONTROL!$C$16, $D$10, 100%, $F$10)</f>
        <v>7.4480000000000004</v>
      </c>
      <c r="H199" s="4">
        <f>CHOOSE( CONTROL!$C$33, 8.4269, 8.4258) * CHOOSE(CONTROL!$C$16, $D$10, 100%, $F$10)</f>
        <v>8.4268999999999998</v>
      </c>
      <c r="I199" s="8">
        <f>CHOOSE( CONTROL!$C$33, 7.3883, 7.3872) * CHOOSE(CONTROL!$C$16, $D$10, 100%, $F$10)</f>
        <v>7.3883000000000001</v>
      </c>
      <c r="J199" s="4">
        <f>CHOOSE( CONTROL!$C$33, 7.2686, 7.2675) * CHOOSE(CONTROL!$C$16, $D$10, 100%, $F$10)</f>
        <v>7.2686000000000002</v>
      </c>
      <c r="K199" s="4"/>
      <c r="L199" s="9">
        <v>30.092199999999998</v>
      </c>
      <c r="M199" s="9">
        <v>11.6745</v>
      </c>
      <c r="N199" s="9">
        <v>4.7850000000000001</v>
      </c>
      <c r="O199" s="9">
        <v>0.36199999999999999</v>
      </c>
      <c r="P199" s="9">
        <v>1.2509999999999999</v>
      </c>
      <c r="Q199" s="9">
        <v>30.501000000000001</v>
      </c>
      <c r="R199" s="9"/>
      <c r="S199" s="11"/>
    </row>
    <row r="200" spans="1:19" ht="15" customHeight="1">
      <c r="A200" s="13">
        <v>47239</v>
      </c>
      <c r="B200" s="8">
        <f>CHOOSE( CONTROL!$C$33, 7.6919, 7.6903) * CHOOSE(CONTROL!$C$16, $D$10, 100%, $F$10)</f>
        <v>7.6919000000000004</v>
      </c>
      <c r="C200" s="8">
        <f>CHOOSE( CONTROL!$C$33, 7.6999, 7.6983) * CHOOSE(CONTROL!$C$16, $D$10, 100%, $F$10)</f>
        <v>7.6999000000000004</v>
      </c>
      <c r="D200" s="8">
        <f>CHOOSE( CONTROL!$C$33, 7.7221, 7.7206) * CHOOSE( CONTROL!$C$16, $D$10, 100%, $F$10)</f>
        <v>7.7221000000000002</v>
      </c>
      <c r="E200" s="12">
        <f>CHOOSE( CONTROL!$C$33, 7.7128, 7.7113) * CHOOSE( CONTROL!$C$16, $D$10, 100%, $F$10)</f>
        <v>7.7127999999999997</v>
      </c>
      <c r="F200" s="4">
        <f>CHOOSE( CONTROL!$C$33, 8.4688, 8.4672) * CHOOSE(CONTROL!$C$16, $D$10, 100%, $F$10)</f>
        <v>8.4687999999999999</v>
      </c>
      <c r="G200" s="8">
        <f>CHOOSE( CONTROL!$C$33, 7.6456, 7.644) * CHOOSE( CONTROL!$C$16, $D$10, 100%, $F$10)</f>
        <v>7.6456</v>
      </c>
      <c r="H200" s="4">
        <f>CHOOSE( CONTROL!$C$33, 8.6245, 8.623) * CHOOSE(CONTROL!$C$16, $D$10, 100%, $F$10)</f>
        <v>8.6244999999999994</v>
      </c>
      <c r="I200" s="8">
        <f>CHOOSE( CONTROL!$C$33, 7.5821, 7.5806) * CHOOSE(CONTROL!$C$16, $D$10, 100%, $F$10)</f>
        <v>7.5820999999999996</v>
      </c>
      <c r="J200" s="4">
        <f>CHOOSE( CONTROL!$C$33, 7.4627, 7.4611) * CHOOSE(CONTROL!$C$16, $D$10, 100%, $F$10)</f>
        <v>7.4626999999999999</v>
      </c>
      <c r="K200" s="4"/>
      <c r="L200" s="9">
        <v>30.7165</v>
      </c>
      <c r="M200" s="9">
        <v>12.063700000000001</v>
      </c>
      <c r="N200" s="9">
        <v>4.9444999999999997</v>
      </c>
      <c r="O200" s="9">
        <v>0.37409999999999999</v>
      </c>
      <c r="P200" s="9">
        <v>1.2927</v>
      </c>
      <c r="Q200" s="9">
        <v>31.517700000000001</v>
      </c>
      <c r="R200" s="9"/>
      <c r="S200" s="11"/>
    </row>
    <row r="201" spans="1:19" ht="15" customHeight="1">
      <c r="A201" s="13">
        <v>47270</v>
      </c>
      <c r="B201" s="8">
        <f>CHOOSE( CONTROL!$C$33, 7.568, 7.5664) * CHOOSE(CONTROL!$C$16, $D$10, 100%, $F$10)</f>
        <v>7.5679999999999996</v>
      </c>
      <c r="C201" s="8">
        <f>CHOOSE( CONTROL!$C$33, 7.576, 7.5744) * CHOOSE(CONTROL!$C$16, $D$10, 100%, $F$10)</f>
        <v>7.5759999999999996</v>
      </c>
      <c r="D201" s="8">
        <f>CHOOSE( CONTROL!$C$33, 7.5984, 7.5968) * CHOOSE( CONTROL!$C$16, $D$10, 100%, $F$10)</f>
        <v>7.5983999999999998</v>
      </c>
      <c r="E201" s="12">
        <f>CHOOSE( CONTROL!$C$33, 7.5891, 7.5875) * CHOOSE( CONTROL!$C$16, $D$10, 100%, $F$10)</f>
        <v>7.5891000000000002</v>
      </c>
      <c r="F201" s="4">
        <f>CHOOSE( CONTROL!$C$33, 8.3449, 8.3434) * CHOOSE(CONTROL!$C$16, $D$10, 100%, $F$10)</f>
        <v>8.3449000000000009</v>
      </c>
      <c r="G201" s="8">
        <f>CHOOSE( CONTROL!$C$33, 7.5235, 7.522) * CHOOSE( CONTROL!$C$16, $D$10, 100%, $F$10)</f>
        <v>7.5235000000000003</v>
      </c>
      <c r="H201" s="4">
        <f>CHOOSE( CONTROL!$C$33, 8.5024, 8.5008) * CHOOSE(CONTROL!$C$16, $D$10, 100%, $F$10)</f>
        <v>8.5023999999999997</v>
      </c>
      <c r="I201" s="8">
        <f>CHOOSE( CONTROL!$C$33, 7.4626, 7.4611) * CHOOSE(CONTROL!$C$16, $D$10, 100%, $F$10)</f>
        <v>7.4626000000000001</v>
      </c>
      <c r="J201" s="4">
        <f>CHOOSE( CONTROL!$C$33, 7.3427, 7.3412) * CHOOSE(CONTROL!$C$16, $D$10, 100%, $F$10)</f>
        <v>7.3426999999999998</v>
      </c>
      <c r="K201" s="4"/>
      <c r="L201" s="9">
        <v>29.7257</v>
      </c>
      <c r="M201" s="9">
        <v>11.6745</v>
      </c>
      <c r="N201" s="9">
        <v>4.7850000000000001</v>
      </c>
      <c r="O201" s="9">
        <v>0.36199999999999999</v>
      </c>
      <c r="P201" s="9">
        <v>1.2509999999999999</v>
      </c>
      <c r="Q201" s="9">
        <v>30.501000000000001</v>
      </c>
      <c r="R201" s="9"/>
      <c r="S201" s="11"/>
    </row>
    <row r="202" spans="1:19" ht="15" customHeight="1">
      <c r="A202" s="13">
        <v>47300</v>
      </c>
      <c r="B202" s="8">
        <f>CHOOSE( CONTROL!$C$33, 7.8942, 7.8927) * CHOOSE(CONTROL!$C$16, $D$10, 100%, $F$10)</f>
        <v>7.8941999999999997</v>
      </c>
      <c r="C202" s="8">
        <f>CHOOSE( CONTROL!$C$33, 7.9022, 7.9007) * CHOOSE(CONTROL!$C$16, $D$10, 100%, $F$10)</f>
        <v>7.9021999999999997</v>
      </c>
      <c r="D202" s="8">
        <f>CHOOSE( CONTROL!$C$33, 7.9249, 7.9233) * CHOOSE( CONTROL!$C$16, $D$10, 100%, $F$10)</f>
        <v>7.9249000000000001</v>
      </c>
      <c r="E202" s="12">
        <f>CHOOSE( CONTROL!$C$33, 7.9155, 7.9139) * CHOOSE( CONTROL!$C$16, $D$10, 100%, $F$10)</f>
        <v>7.9154999999999998</v>
      </c>
      <c r="F202" s="4">
        <f>CHOOSE( CONTROL!$C$33, 8.6712, 8.6696) * CHOOSE(CONTROL!$C$16, $D$10, 100%, $F$10)</f>
        <v>8.6712000000000007</v>
      </c>
      <c r="G202" s="8">
        <f>CHOOSE( CONTROL!$C$33, 7.8454, 7.8438) * CHOOSE( CONTROL!$C$16, $D$10, 100%, $F$10)</f>
        <v>7.8453999999999997</v>
      </c>
      <c r="H202" s="4">
        <f>CHOOSE( CONTROL!$C$33, 8.824, 8.8225) * CHOOSE(CONTROL!$C$16, $D$10, 100%, $F$10)</f>
        <v>8.8239999999999998</v>
      </c>
      <c r="I202" s="8">
        <f>CHOOSE( CONTROL!$C$33, 7.7795, 7.778) * CHOOSE(CONTROL!$C$16, $D$10, 100%, $F$10)</f>
        <v>7.7794999999999996</v>
      </c>
      <c r="J202" s="4">
        <f>CHOOSE( CONTROL!$C$33, 7.6586, 7.6571) * CHOOSE(CONTROL!$C$16, $D$10, 100%, $F$10)</f>
        <v>7.6585999999999999</v>
      </c>
      <c r="K202" s="4"/>
      <c r="L202" s="9">
        <v>30.7165</v>
      </c>
      <c r="M202" s="9">
        <v>12.063700000000001</v>
      </c>
      <c r="N202" s="9">
        <v>4.9444999999999997</v>
      </c>
      <c r="O202" s="9">
        <v>0.37409999999999999</v>
      </c>
      <c r="P202" s="9">
        <v>1.2927</v>
      </c>
      <c r="Q202" s="9">
        <v>31.517700000000001</v>
      </c>
      <c r="R202" s="9"/>
      <c r="S202" s="11"/>
    </row>
    <row r="203" spans="1:19" ht="15" customHeight="1">
      <c r="A203" s="13">
        <v>47331</v>
      </c>
      <c r="B203" s="8">
        <f>CHOOSE( CONTROL!$C$33, 7.2838, 7.2823) * CHOOSE(CONTROL!$C$16, $D$10, 100%, $F$10)</f>
        <v>7.2838000000000003</v>
      </c>
      <c r="C203" s="8">
        <f>CHOOSE( CONTROL!$C$33, 7.2918, 7.2903) * CHOOSE(CONTROL!$C$16, $D$10, 100%, $F$10)</f>
        <v>7.2918000000000003</v>
      </c>
      <c r="D203" s="8">
        <f>CHOOSE( CONTROL!$C$33, 7.3145, 7.3129) * CHOOSE( CONTROL!$C$16, $D$10, 100%, $F$10)</f>
        <v>7.3144999999999998</v>
      </c>
      <c r="E203" s="12">
        <f>CHOOSE( CONTROL!$C$33, 7.3051, 7.3035) * CHOOSE( CONTROL!$C$16, $D$10, 100%, $F$10)</f>
        <v>7.3051000000000004</v>
      </c>
      <c r="F203" s="4">
        <f>CHOOSE( CONTROL!$C$33, 8.0607, 8.0592) * CHOOSE(CONTROL!$C$16, $D$10, 100%, $F$10)</f>
        <v>8.0607000000000006</v>
      </c>
      <c r="G203" s="8">
        <f>CHOOSE( CONTROL!$C$33, 7.2435, 7.242) * CHOOSE( CONTROL!$C$16, $D$10, 100%, $F$10)</f>
        <v>7.2435</v>
      </c>
      <c r="H203" s="4">
        <f>CHOOSE( CONTROL!$C$33, 8.2221, 8.2206) * CHOOSE(CONTROL!$C$16, $D$10, 100%, $F$10)</f>
        <v>8.2220999999999993</v>
      </c>
      <c r="I203" s="8">
        <f>CHOOSE( CONTROL!$C$33, 7.1883, 7.1868) * CHOOSE(CONTROL!$C$16, $D$10, 100%, $F$10)</f>
        <v>7.1882999999999999</v>
      </c>
      <c r="J203" s="4">
        <f>CHOOSE( CONTROL!$C$33, 7.0675, 7.066) * CHOOSE(CONTROL!$C$16, $D$10, 100%, $F$10)</f>
        <v>7.0674999999999999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1.2927</v>
      </c>
      <c r="Q203" s="9">
        <v>31.517700000000001</v>
      </c>
      <c r="R203" s="9"/>
      <c r="S203" s="11"/>
    </row>
    <row r="204" spans="1:19" ht="15" customHeight="1">
      <c r="A204" s="13">
        <v>47362</v>
      </c>
      <c r="B204" s="8">
        <f>CHOOSE( CONTROL!$C$33, 7.131, 7.1294) * CHOOSE(CONTROL!$C$16, $D$10, 100%, $F$10)</f>
        <v>7.1310000000000002</v>
      </c>
      <c r="C204" s="8">
        <f>CHOOSE( CONTROL!$C$33, 7.139, 7.1374) * CHOOSE(CONTROL!$C$16, $D$10, 100%, $F$10)</f>
        <v>7.1390000000000002</v>
      </c>
      <c r="D204" s="8">
        <f>CHOOSE( CONTROL!$C$33, 7.1615, 7.1599) * CHOOSE( CONTROL!$C$16, $D$10, 100%, $F$10)</f>
        <v>7.1615000000000002</v>
      </c>
      <c r="E204" s="12">
        <f>CHOOSE( CONTROL!$C$33, 7.1521, 7.1505) * CHOOSE( CONTROL!$C$16, $D$10, 100%, $F$10)</f>
        <v>7.1520999999999999</v>
      </c>
      <c r="F204" s="4">
        <f>CHOOSE( CONTROL!$C$33, 7.9079, 7.9063) * CHOOSE(CONTROL!$C$16, $D$10, 100%, $F$10)</f>
        <v>7.9078999999999997</v>
      </c>
      <c r="G204" s="8">
        <f>CHOOSE( CONTROL!$C$33, 7.0927, 7.0912) * CHOOSE( CONTROL!$C$16, $D$10, 100%, $F$10)</f>
        <v>7.0926999999999998</v>
      </c>
      <c r="H204" s="4">
        <f>CHOOSE( CONTROL!$C$33, 8.0714, 8.0699) * CHOOSE(CONTROL!$C$16, $D$10, 100%, $F$10)</f>
        <v>8.0714000000000006</v>
      </c>
      <c r="I204" s="8">
        <f>CHOOSE( CONTROL!$C$33, 7.0398, 7.0382) * CHOOSE(CONTROL!$C$16, $D$10, 100%, $F$10)</f>
        <v>7.0397999999999996</v>
      </c>
      <c r="J204" s="4">
        <f>CHOOSE( CONTROL!$C$33, 6.9195, 6.918) * CHOOSE(CONTROL!$C$16, $D$10, 100%, $F$10)</f>
        <v>6.9195000000000002</v>
      </c>
      <c r="K204" s="4"/>
      <c r="L204" s="9">
        <v>29.7257</v>
      </c>
      <c r="M204" s="9">
        <v>11.6745</v>
      </c>
      <c r="N204" s="9">
        <v>4.7850000000000001</v>
      </c>
      <c r="O204" s="9">
        <v>0.36199999999999999</v>
      </c>
      <c r="P204" s="9">
        <v>1.2509999999999999</v>
      </c>
      <c r="Q204" s="9">
        <v>30.501000000000001</v>
      </c>
      <c r="R204" s="9"/>
      <c r="S204" s="11"/>
    </row>
    <row r="205" spans="1:19" ht="15" customHeight="1">
      <c r="A205" s="13">
        <v>47392</v>
      </c>
      <c r="B205" s="8">
        <f>CHOOSE( CONTROL!$C$33, 7.4462, 7.4451) * CHOOSE(CONTROL!$C$16, $D$10, 100%, $F$10)</f>
        <v>7.4462000000000002</v>
      </c>
      <c r="C205" s="8">
        <f>CHOOSE( CONTROL!$C$33, 7.4515, 7.4504) * CHOOSE(CONTROL!$C$16, $D$10, 100%, $F$10)</f>
        <v>7.4515000000000002</v>
      </c>
      <c r="D205" s="8">
        <f>CHOOSE( CONTROL!$C$33, 7.4803, 7.4792) * CHOOSE( CONTROL!$C$16, $D$10, 100%, $F$10)</f>
        <v>7.4802999999999997</v>
      </c>
      <c r="E205" s="12">
        <f>CHOOSE( CONTROL!$C$33, 7.4702, 7.4691) * CHOOSE( CONTROL!$C$16, $D$10, 100%, $F$10)</f>
        <v>7.4702000000000002</v>
      </c>
      <c r="F205" s="4">
        <f>CHOOSE( CONTROL!$C$33, 8.2248, 8.2237) * CHOOSE(CONTROL!$C$16, $D$10, 100%, $F$10)</f>
        <v>8.2248000000000001</v>
      </c>
      <c r="G205" s="8">
        <f>CHOOSE( CONTROL!$C$33, 7.4053, 7.4042) * CHOOSE( CONTROL!$C$16, $D$10, 100%, $F$10)</f>
        <v>7.4053000000000004</v>
      </c>
      <c r="H205" s="4">
        <f>CHOOSE( CONTROL!$C$33, 8.3839, 8.3828) * CHOOSE(CONTROL!$C$16, $D$10, 100%, $F$10)</f>
        <v>8.3839000000000006</v>
      </c>
      <c r="I205" s="8">
        <f>CHOOSE( CONTROL!$C$33, 7.3474, 7.3463) * CHOOSE(CONTROL!$C$16, $D$10, 100%, $F$10)</f>
        <v>7.3474000000000004</v>
      </c>
      <c r="J205" s="4">
        <f>CHOOSE( CONTROL!$C$33, 7.2264, 7.2253) * CHOOSE(CONTROL!$C$16, $D$10, 100%, $F$10)</f>
        <v>7.2263999999999999</v>
      </c>
      <c r="K205" s="4"/>
      <c r="L205" s="9">
        <v>31.095300000000002</v>
      </c>
      <c r="M205" s="9">
        <v>12.063700000000001</v>
      </c>
      <c r="N205" s="9">
        <v>4.9444999999999997</v>
      </c>
      <c r="O205" s="9">
        <v>0.37409999999999999</v>
      </c>
      <c r="P205" s="9">
        <v>1.2927</v>
      </c>
      <c r="Q205" s="9">
        <v>31.517700000000001</v>
      </c>
      <c r="R205" s="9"/>
      <c r="S205" s="11"/>
    </row>
    <row r="206" spans="1:19" ht="15" customHeight="1">
      <c r="A206" s="13">
        <v>47423</v>
      </c>
      <c r="B206" s="8">
        <f>CHOOSE( CONTROL!$C$33, 8.0316, 8.0305) * CHOOSE(CONTROL!$C$16, $D$10, 100%, $F$10)</f>
        <v>8.0315999999999992</v>
      </c>
      <c r="C206" s="8">
        <f>CHOOSE( CONTROL!$C$33, 8.0367, 8.0356) * CHOOSE(CONTROL!$C$16, $D$10, 100%, $F$10)</f>
        <v>8.0366999999999997</v>
      </c>
      <c r="D206" s="8">
        <f>CHOOSE( CONTROL!$C$33, 8.0164, 8.0152) * CHOOSE( CONTROL!$C$16, $D$10, 100%, $F$10)</f>
        <v>8.0164000000000009</v>
      </c>
      <c r="E206" s="12">
        <f>CHOOSE( CONTROL!$C$33, 8.0233, 8.0221) * CHOOSE( CONTROL!$C$16, $D$10, 100%, $F$10)</f>
        <v>8.0233000000000008</v>
      </c>
      <c r="F206" s="4">
        <f>CHOOSE( CONTROL!$C$33, 8.6945, 8.6933) * CHOOSE(CONTROL!$C$16, $D$10, 100%, $F$10)</f>
        <v>8.6944999999999997</v>
      </c>
      <c r="G206" s="8">
        <f>CHOOSE( CONTROL!$C$33, 7.9555, 7.9544) * CHOOSE( CONTROL!$C$16, $D$10, 100%, $F$10)</f>
        <v>7.9554999999999998</v>
      </c>
      <c r="H206" s="4">
        <f>CHOOSE( CONTROL!$C$33, 8.847, 8.8459) * CHOOSE(CONTROL!$C$16, $D$10, 100%, $F$10)</f>
        <v>8.8469999999999995</v>
      </c>
      <c r="I206" s="8">
        <f>CHOOSE( CONTROL!$C$33, 7.9627, 7.9616) * CHOOSE(CONTROL!$C$16, $D$10, 100%, $F$10)</f>
        <v>7.9626999999999999</v>
      </c>
      <c r="J206" s="4">
        <f>CHOOSE( CONTROL!$C$33, 7.7937, 7.7926) * CHOOSE(CONTROL!$C$16, $D$10, 100%, $F$10)</f>
        <v>7.7937000000000003</v>
      </c>
      <c r="K206" s="4"/>
      <c r="L206" s="9">
        <v>28.360600000000002</v>
      </c>
      <c r="M206" s="9">
        <v>11.6745</v>
      </c>
      <c r="N206" s="9">
        <v>4.7850000000000001</v>
      </c>
      <c r="O206" s="9">
        <v>0.36199999999999999</v>
      </c>
      <c r="P206" s="9">
        <v>1.2509999999999999</v>
      </c>
      <c r="Q206" s="9">
        <v>30.501000000000001</v>
      </c>
      <c r="R206" s="9"/>
      <c r="S206" s="11"/>
    </row>
    <row r="207" spans="1:19" ht="15" customHeight="1">
      <c r="A207" s="13">
        <v>47453</v>
      </c>
      <c r="B207" s="8">
        <f>CHOOSE( CONTROL!$C$33, 8.017, 8.0158) * CHOOSE(CONTROL!$C$16, $D$10, 100%, $F$10)</f>
        <v>8.0169999999999995</v>
      </c>
      <c r="C207" s="8">
        <f>CHOOSE( CONTROL!$C$33, 8.0221, 8.0209) * CHOOSE(CONTROL!$C$16, $D$10, 100%, $F$10)</f>
        <v>8.0221</v>
      </c>
      <c r="D207" s="8">
        <f>CHOOSE( CONTROL!$C$33, 8.0032, 8.0021) * CHOOSE( CONTROL!$C$16, $D$10, 100%, $F$10)</f>
        <v>8.0031999999999996</v>
      </c>
      <c r="E207" s="12">
        <f>CHOOSE( CONTROL!$C$33, 8.0096, 8.0084) * CHOOSE( CONTROL!$C$16, $D$10, 100%, $F$10)</f>
        <v>8.0096000000000007</v>
      </c>
      <c r="F207" s="4">
        <f>CHOOSE( CONTROL!$C$33, 8.6798, 8.6787) * CHOOSE(CONTROL!$C$16, $D$10, 100%, $F$10)</f>
        <v>8.6798000000000002</v>
      </c>
      <c r="G207" s="8">
        <f>CHOOSE( CONTROL!$C$33, 7.9421, 7.941) * CHOOSE( CONTROL!$C$16, $D$10, 100%, $F$10)</f>
        <v>7.9420999999999999</v>
      </c>
      <c r="H207" s="4">
        <f>CHOOSE( CONTROL!$C$33, 8.8326, 8.8315) * CHOOSE(CONTROL!$C$16, $D$10, 100%, $F$10)</f>
        <v>8.8325999999999993</v>
      </c>
      <c r="I207" s="8">
        <f>CHOOSE( CONTROL!$C$33, 7.9531, 7.952) * CHOOSE(CONTROL!$C$16, $D$10, 100%, $F$10)</f>
        <v>7.9531000000000001</v>
      </c>
      <c r="J207" s="4">
        <f>CHOOSE( CONTROL!$C$33, 7.7795, 7.7784) * CHOOSE(CONTROL!$C$16, $D$10, 100%, $F$10)</f>
        <v>7.7794999999999996</v>
      </c>
      <c r="K207" s="4"/>
      <c r="L207" s="9">
        <v>29.306000000000001</v>
      </c>
      <c r="M207" s="9">
        <v>12.063700000000001</v>
      </c>
      <c r="N207" s="9">
        <v>4.9444999999999997</v>
      </c>
      <c r="O207" s="9">
        <v>0.37409999999999999</v>
      </c>
      <c r="P207" s="9">
        <v>1.2927</v>
      </c>
      <c r="Q207" s="9">
        <v>31.517700000000001</v>
      </c>
      <c r="R207" s="9"/>
      <c r="S207" s="11"/>
    </row>
    <row r="208" spans="1:19" ht="15" customHeight="1">
      <c r="A208" s="13">
        <v>47484</v>
      </c>
      <c r="B208" s="8">
        <f>CHOOSE( CONTROL!$C$33, 8.3873, 8.3861) * CHOOSE(CONTROL!$C$16, $D$10, 100%, $F$10)</f>
        <v>8.3872999999999998</v>
      </c>
      <c r="C208" s="8">
        <f>CHOOSE( CONTROL!$C$33, 8.3924, 8.3912) * CHOOSE(CONTROL!$C$16, $D$10, 100%, $F$10)</f>
        <v>8.3924000000000003</v>
      </c>
      <c r="D208" s="8">
        <f>CHOOSE( CONTROL!$C$33, 8.3847, 8.3836) * CHOOSE( CONTROL!$C$16, $D$10, 100%, $F$10)</f>
        <v>8.3847000000000005</v>
      </c>
      <c r="E208" s="12">
        <f>CHOOSE( CONTROL!$C$33, 8.387, 8.3858) * CHOOSE( CONTROL!$C$16, $D$10, 100%, $F$10)</f>
        <v>8.3870000000000005</v>
      </c>
      <c r="F208" s="4">
        <f>CHOOSE( CONTROL!$C$33, 9.0501, 9.049) * CHOOSE(CONTROL!$C$16, $D$10, 100%, $F$10)</f>
        <v>9.0501000000000005</v>
      </c>
      <c r="G208" s="8">
        <f>CHOOSE( CONTROL!$C$33, 8.3131, 8.312) * CHOOSE( CONTROL!$C$16, $D$10, 100%, $F$10)</f>
        <v>8.3131000000000004</v>
      </c>
      <c r="H208" s="4">
        <f>CHOOSE( CONTROL!$C$33, 9.1977, 9.1966) * CHOOSE(CONTROL!$C$16, $D$10, 100%, $F$10)</f>
        <v>9.1976999999999993</v>
      </c>
      <c r="I208" s="8">
        <f>CHOOSE( CONTROL!$C$33, 8.3031, 8.302) * CHOOSE(CONTROL!$C$16, $D$10, 100%, $F$10)</f>
        <v>8.3031000000000006</v>
      </c>
      <c r="J208" s="4">
        <f>CHOOSE( CONTROL!$C$33, 8.138, 8.137) * CHOOSE(CONTROL!$C$16, $D$10, 100%, $F$10)</f>
        <v>8.1379999999999999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31.333600000000001</v>
      </c>
      <c r="R208" s="9"/>
      <c r="S208" s="11"/>
    </row>
    <row r="209" spans="1:19" ht="15" customHeight="1">
      <c r="A209" s="13">
        <v>47515</v>
      </c>
      <c r="B209" s="8">
        <f>CHOOSE( CONTROL!$C$33, 7.844, 7.8429) * CHOOSE(CONTROL!$C$16, $D$10, 100%, $F$10)</f>
        <v>7.8440000000000003</v>
      </c>
      <c r="C209" s="8">
        <f>CHOOSE( CONTROL!$C$33, 7.8491, 7.848) * CHOOSE(CONTROL!$C$16, $D$10, 100%, $F$10)</f>
        <v>7.8491</v>
      </c>
      <c r="D209" s="8">
        <f>CHOOSE( CONTROL!$C$33, 7.8413, 7.8402) * CHOOSE( CONTROL!$C$16, $D$10, 100%, $F$10)</f>
        <v>7.8413000000000004</v>
      </c>
      <c r="E209" s="12">
        <f>CHOOSE( CONTROL!$C$33, 7.8436, 7.8425) * CHOOSE( CONTROL!$C$16, $D$10, 100%, $F$10)</f>
        <v>7.8436000000000003</v>
      </c>
      <c r="F209" s="4">
        <f>CHOOSE( CONTROL!$C$33, 8.5069, 8.5057) * CHOOSE(CONTROL!$C$16, $D$10, 100%, $F$10)</f>
        <v>8.5068999999999999</v>
      </c>
      <c r="G209" s="8">
        <f>CHOOSE( CONTROL!$C$33, 7.7773, 7.7762) * CHOOSE( CONTROL!$C$16, $D$10, 100%, $F$10)</f>
        <v>7.7773000000000003</v>
      </c>
      <c r="H209" s="4">
        <f>CHOOSE( CONTROL!$C$33, 8.662, 8.6609) * CHOOSE(CONTROL!$C$16, $D$10, 100%, $F$10)</f>
        <v>8.6620000000000008</v>
      </c>
      <c r="I209" s="8">
        <f>CHOOSE( CONTROL!$C$33, 7.7762, 7.7751) * CHOOSE(CONTROL!$C$16, $D$10, 100%, $F$10)</f>
        <v>7.7762000000000002</v>
      </c>
      <c r="J209" s="4">
        <f>CHOOSE( CONTROL!$C$33, 7.612, 7.6109) * CHOOSE(CONTROL!$C$16, $D$10, 100%, $F$10)</f>
        <v>7.6120000000000001</v>
      </c>
      <c r="K209" s="4"/>
      <c r="L209" s="9">
        <v>26.469899999999999</v>
      </c>
      <c r="M209" s="9">
        <v>10.8962</v>
      </c>
      <c r="N209" s="9">
        <v>4.4660000000000002</v>
      </c>
      <c r="O209" s="9">
        <v>0.33789999999999998</v>
      </c>
      <c r="P209" s="9">
        <v>1.1676</v>
      </c>
      <c r="Q209" s="9">
        <v>28.301300000000001</v>
      </c>
      <c r="R209" s="9"/>
      <c r="S209" s="11"/>
    </row>
    <row r="210" spans="1:19" ht="15" customHeight="1">
      <c r="A210" s="13">
        <v>47543</v>
      </c>
      <c r="B210" s="8">
        <f>CHOOSE( CONTROL!$C$33, 7.6767, 7.6756) * CHOOSE(CONTROL!$C$16, $D$10, 100%, $F$10)</f>
        <v>7.6767000000000003</v>
      </c>
      <c r="C210" s="8">
        <f>CHOOSE( CONTROL!$C$33, 7.6818, 7.6807) * CHOOSE(CONTROL!$C$16, $D$10, 100%, $F$10)</f>
        <v>7.6818</v>
      </c>
      <c r="D210" s="8">
        <f>CHOOSE( CONTROL!$C$33, 7.6732, 7.6721) * CHOOSE( CONTROL!$C$16, $D$10, 100%, $F$10)</f>
        <v>7.6731999999999996</v>
      </c>
      <c r="E210" s="12">
        <f>CHOOSE( CONTROL!$C$33, 7.6758, 7.6747) * CHOOSE( CONTROL!$C$16, $D$10, 100%, $F$10)</f>
        <v>7.6757999999999997</v>
      </c>
      <c r="F210" s="4">
        <f>CHOOSE( CONTROL!$C$33, 8.3395, 8.3384) * CHOOSE(CONTROL!$C$16, $D$10, 100%, $F$10)</f>
        <v>8.3394999999999992</v>
      </c>
      <c r="G210" s="8">
        <f>CHOOSE( CONTROL!$C$33, 7.6118, 7.6107) * CHOOSE( CONTROL!$C$16, $D$10, 100%, $F$10)</f>
        <v>7.6117999999999997</v>
      </c>
      <c r="H210" s="4">
        <f>CHOOSE( CONTROL!$C$33, 8.497, 8.4959) * CHOOSE(CONTROL!$C$16, $D$10, 100%, $F$10)</f>
        <v>8.4969999999999999</v>
      </c>
      <c r="I210" s="8">
        <f>CHOOSE( CONTROL!$C$33, 7.6118, 7.6107) * CHOOSE(CONTROL!$C$16, $D$10, 100%, $F$10)</f>
        <v>7.6117999999999997</v>
      </c>
      <c r="J210" s="4">
        <f>CHOOSE( CONTROL!$C$33, 7.45, 7.4489) * CHOOSE(CONTROL!$C$16, $D$10, 100%, $F$10)</f>
        <v>7.45</v>
      </c>
      <c r="K210" s="4"/>
      <c r="L210" s="9">
        <v>29.306000000000001</v>
      </c>
      <c r="M210" s="9">
        <v>12.063700000000001</v>
      </c>
      <c r="N210" s="9">
        <v>4.9444999999999997</v>
      </c>
      <c r="O210" s="9">
        <v>0.37409999999999999</v>
      </c>
      <c r="P210" s="9">
        <v>1.2927</v>
      </c>
      <c r="Q210" s="9">
        <v>31.333600000000001</v>
      </c>
      <c r="R210" s="9"/>
      <c r="S210" s="11"/>
    </row>
    <row r="211" spans="1:19" ht="15" customHeight="1">
      <c r="A211" s="13">
        <v>47574</v>
      </c>
      <c r="B211" s="8">
        <f>CHOOSE( CONTROL!$C$33, 7.7944, 7.7932) * CHOOSE(CONTROL!$C$16, $D$10, 100%, $F$10)</f>
        <v>7.7944000000000004</v>
      </c>
      <c r="C211" s="8">
        <f>CHOOSE( CONTROL!$C$33, 7.7989, 7.7978) * CHOOSE(CONTROL!$C$16, $D$10, 100%, $F$10)</f>
        <v>7.7988999999999997</v>
      </c>
      <c r="D211" s="8">
        <f>CHOOSE( CONTROL!$C$33, 7.8278, 7.8266) * CHOOSE( CONTROL!$C$16, $D$10, 100%, $F$10)</f>
        <v>7.8277999999999999</v>
      </c>
      <c r="E211" s="12">
        <f>CHOOSE( CONTROL!$C$33, 7.8177, 7.8166) * CHOOSE( CONTROL!$C$16, $D$10, 100%, $F$10)</f>
        <v>7.8177000000000003</v>
      </c>
      <c r="F211" s="4">
        <f>CHOOSE( CONTROL!$C$33, 8.5727, 8.5715) * CHOOSE(CONTROL!$C$16, $D$10, 100%, $F$10)</f>
        <v>8.5726999999999993</v>
      </c>
      <c r="G211" s="8">
        <f>CHOOSE( CONTROL!$C$33, 7.748, 7.7469) * CHOOSE( CONTROL!$C$16, $D$10, 100%, $F$10)</f>
        <v>7.7480000000000002</v>
      </c>
      <c r="H211" s="4">
        <f>CHOOSE( CONTROL!$C$33, 8.7269, 8.7258) * CHOOSE(CONTROL!$C$16, $D$10, 100%, $F$10)</f>
        <v>8.7269000000000005</v>
      </c>
      <c r="I211" s="8">
        <f>CHOOSE( CONTROL!$C$33, 7.6831, 7.682) * CHOOSE(CONTROL!$C$16, $D$10, 100%, $F$10)</f>
        <v>7.6830999999999996</v>
      </c>
      <c r="J211" s="4">
        <f>CHOOSE( CONTROL!$C$33, 7.5632, 7.5621) * CHOOSE(CONTROL!$C$16, $D$10, 100%, $F$10)</f>
        <v>7.5632000000000001</v>
      </c>
      <c r="K211" s="4"/>
      <c r="L211" s="9">
        <v>30.092199999999998</v>
      </c>
      <c r="M211" s="9">
        <v>11.6745</v>
      </c>
      <c r="N211" s="9">
        <v>4.7850000000000001</v>
      </c>
      <c r="O211" s="9">
        <v>0.36199999999999999</v>
      </c>
      <c r="P211" s="9">
        <v>1.2509999999999999</v>
      </c>
      <c r="Q211" s="9">
        <v>30.322800000000001</v>
      </c>
      <c r="R211" s="9"/>
      <c r="S211" s="11"/>
    </row>
    <row r="212" spans="1:19" ht="15" customHeight="1">
      <c r="A212" s="13">
        <v>47604</v>
      </c>
      <c r="B212" s="8">
        <f>CHOOSE( CONTROL!$C$33, 8.0043, 8.0027) * CHOOSE(CONTROL!$C$16, $D$10, 100%, $F$10)</f>
        <v>8.0043000000000006</v>
      </c>
      <c r="C212" s="8">
        <f>CHOOSE( CONTROL!$C$33, 8.0123, 8.0107) * CHOOSE(CONTROL!$C$16, $D$10, 100%, $F$10)</f>
        <v>8.0122999999999998</v>
      </c>
      <c r="D212" s="8">
        <f>CHOOSE( CONTROL!$C$33, 8.0345, 8.0329) * CHOOSE( CONTROL!$C$16, $D$10, 100%, $F$10)</f>
        <v>8.0344999999999995</v>
      </c>
      <c r="E212" s="12">
        <f>CHOOSE( CONTROL!$C$33, 8.0252, 8.0236) * CHOOSE( CONTROL!$C$16, $D$10, 100%, $F$10)</f>
        <v>8.0251999999999999</v>
      </c>
      <c r="F212" s="4">
        <f>CHOOSE( CONTROL!$C$33, 8.7812, 8.7796) * CHOOSE(CONTROL!$C$16, $D$10, 100%, $F$10)</f>
        <v>8.7812000000000001</v>
      </c>
      <c r="G212" s="8">
        <f>CHOOSE( CONTROL!$C$33, 7.9536, 7.952) * CHOOSE( CONTROL!$C$16, $D$10, 100%, $F$10)</f>
        <v>7.9535999999999998</v>
      </c>
      <c r="H212" s="4">
        <f>CHOOSE( CONTROL!$C$33, 8.9325, 8.931) * CHOOSE(CONTROL!$C$16, $D$10, 100%, $F$10)</f>
        <v>8.9324999999999992</v>
      </c>
      <c r="I212" s="8">
        <f>CHOOSE( CONTROL!$C$33, 7.8847, 7.8832) * CHOOSE(CONTROL!$C$16, $D$10, 100%, $F$10)</f>
        <v>7.8846999999999996</v>
      </c>
      <c r="J212" s="4">
        <f>CHOOSE( CONTROL!$C$33, 7.7651, 7.7636) * CHOOSE(CONTROL!$C$16, $D$10, 100%, $F$10)</f>
        <v>7.7651000000000003</v>
      </c>
      <c r="K212" s="4"/>
      <c r="L212" s="9">
        <v>30.7165</v>
      </c>
      <c r="M212" s="9">
        <v>12.063700000000001</v>
      </c>
      <c r="N212" s="9">
        <v>4.9444999999999997</v>
      </c>
      <c r="O212" s="9">
        <v>0.37409999999999999</v>
      </c>
      <c r="P212" s="9">
        <v>1.2927</v>
      </c>
      <c r="Q212" s="9">
        <v>31.333600000000001</v>
      </c>
      <c r="R212" s="9"/>
      <c r="S212" s="11"/>
    </row>
    <row r="213" spans="1:19" ht="15" customHeight="1">
      <c r="A213" s="13">
        <v>47635</v>
      </c>
      <c r="B213" s="8">
        <f>CHOOSE( CONTROL!$C$33, 7.8754, 7.8738) * CHOOSE(CONTROL!$C$16, $D$10, 100%, $F$10)</f>
        <v>7.8754</v>
      </c>
      <c r="C213" s="8">
        <f>CHOOSE( CONTROL!$C$33, 7.8834, 7.8818) * CHOOSE(CONTROL!$C$16, $D$10, 100%, $F$10)</f>
        <v>7.8834</v>
      </c>
      <c r="D213" s="8">
        <f>CHOOSE( CONTROL!$C$33, 7.9058, 7.9042) * CHOOSE( CONTROL!$C$16, $D$10, 100%, $F$10)</f>
        <v>7.9058000000000002</v>
      </c>
      <c r="E213" s="12">
        <f>CHOOSE( CONTROL!$C$33, 7.8965, 7.8949) * CHOOSE( CONTROL!$C$16, $D$10, 100%, $F$10)</f>
        <v>7.8964999999999996</v>
      </c>
      <c r="F213" s="4">
        <f>CHOOSE( CONTROL!$C$33, 8.6523, 8.6507) * CHOOSE(CONTROL!$C$16, $D$10, 100%, $F$10)</f>
        <v>8.6523000000000003</v>
      </c>
      <c r="G213" s="8">
        <f>CHOOSE( CONTROL!$C$33, 7.8266, 7.8251) * CHOOSE( CONTROL!$C$16, $D$10, 100%, $F$10)</f>
        <v>7.8266</v>
      </c>
      <c r="H213" s="4">
        <f>CHOOSE( CONTROL!$C$33, 8.8054, 8.8039) * CHOOSE(CONTROL!$C$16, $D$10, 100%, $F$10)</f>
        <v>8.8054000000000006</v>
      </c>
      <c r="I213" s="8">
        <f>CHOOSE( CONTROL!$C$33, 7.7604, 7.7589) * CHOOSE(CONTROL!$C$16, $D$10, 100%, $F$10)</f>
        <v>7.7603999999999997</v>
      </c>
      <c r="J213" s="4">
        <f>CHOOSE( CONTROL!$C$33, 7.6403, 7.6388) * CHOOSE(CONTROL!$C$16, $D$10, 100%, $F$10)</f>
        <v>7.6402999999999999</v>
      </c>
      <c r="K213" s="4"/>
      <c r="L213" s="9">
        <v>29.7257</v>
      </c>
      <c r="M213" s="9">
        <v>11.6745</v>
      </c>
      <c r="N213" s="9">
        <v>4.7850000000000001</v>
      </c>
      <c r="O213" s="9">
        <v>0.36199999999999999</v>
      </c>
      <c r="P213" s="9">
        <v>1.2509999999999999</v>
      </c>
      <c r="Q213" s="9">
        <v>30.322800000000001</v>
      </c>
      <c r="R213" s="9"/>
      <c r="S213" s="11"/>
    </row>
    <row r="214" spans="1:19" ht="15" customHeight="1">
      <c r="A214" s="13">
        <v>47665</v>
      </c>
      <c r="B214" s="8">
        <f>CHOOSE( CONTROL!$C$33, 8.2148, 8.2133) * CHOOSE(CONTROL!$C$16, $D$10, 100%, $F$10)</f>
        <v>8.2148000000000003</v>
      </c>
      <c r="C214" s="8">
        <f>CHOOSE( CONTROL!$C$33, 8.2228, 8.2213) * CHOOSE(CONTROL!$C$16, $D$10, 100%, $F$10)</f>
        <v>8.2227999999999994</v>
      </c>
      <c r="D214" s="8">
        <f>CHOOSE( CONTROL!$C$33, 8.2454, 8.2439) * CHOOSE( CONTROL!$C$16, $D$10, 100%, $F$10)</f>
        <v>8.2454000000000001</v>
      </c>
      <c r="E214" s="12">
        <f>CHOOSE( CONTROL!$C$33, 8.236, 8.2345) * CHOOSE( CONTROL!$C$16, $D$10, 100%, $F$10)</f>
        <v>8.2360000000000007</v>
      </c>
      <c r="F214" s="4">
        <f>CHOOSE( CONTROL!$C$33, 8.9917, 8.9902) * CHOOSE(CONTROL!$C$16, $D$10, 100%, $F$10)</f>
        <v>8.9916999999999998</v>
      </c>
      <c r="G214" s="8">
        <f>CHOOSE( CONTROL!$C$33, 8.1615, 8.16) * CHOOSE( CONTROL!$C$16, $D$10, 100%, $F$10)</f>
        <v>8.1615000000000002</v>
      </c>
      <c r="H214" s="4">
        <f>CHOOSE( CONTROL!$C$33, 9.1401, 9.1386) * CHOOSE(CONTROL!$C$16, $D$10, 100%, $F$10)</f>
        <v>9.1401000000000003</v>
      </c>
      <c r="I214" s="8">
        <f>CHOOSE( CONTROL!$C$33, 8.0901, 8.0885) * CHOOSE(CONTROL!$C$16, $D$10, 100%, $F$10)</f>
        <v>8.0900999999999996</v>
      </c>
      <c r="J214" s="4">
        <f>CHOOSE( CONTROL!$C$33, 7.969, 7.9675) * CHOOSE(CONTROL!$C$16, $D$10, 100%, $F$10)</f>
        <v>7.9690000000000003</v>
      </c>
      <c r="K214" s="4"/>
      <c r="L214" s="9">
        <v>30.7165</v>
      </c>
      <c r="M214" s="9">
        <v>12.063700000000001</v>
      </c>
      <c r="N214" s="9">
        <v>4.9444999999999997</v>
      </c>
      <c r="O214" s="9">
        <v>0.37409999999999999</v>
      </c>
      <c r="P214" s="9">
        <v>1.2927</v>
      </c>
      <c r="Q214" s="9">
        <v>31.333600000000001</v>
      </c>
      <c r="R214" s="9"/>
      <c r="S214" s="11"/>
    </row>
    <row r="215" spans="1:19" ht="15" customHeight="1">
      <c r="A215" s="13">
        <v>47696</v>
      </c>
      <c r="B215" s="8">
        <f>CHOOSE( CONTROL!$C$33, 7.5797, 7.5781) * CHOOSE(CONTROL!$C$16, $D$10, 100%, $F$10)</f>
        <v>7.5796999999999999</v>
      </c>
      <c r="C215" s="8">
        <f>CHOOSE( CONTROL!$C$33, 7.5877, 7.5861) * CHOOSE(CONTROL!$C$16, $D$10, 100%, $F$10)</f>
        <v>7.5876999999999999</v>
      </c>
      <c r="D215" s="8">
        <f>CHOOSE( CONTROL!$C$33, 7.6103, 7.6088) * CHOOSE( CONTROL!$C$16, $D$10, 100%, $F$10)</f>
        <v>7.6102999999999996</v>
      </c>
      <c r="E215" s="12">
        <f>CHOOSE( CONTROL!$C$33, 7.6009, 7.5994) * CHOOSE( CONTROL!$C$16, $D$10, 100%, $F$10)</f>
        <v>7.6009000000000002</v>
      </c>
      <c r="F215" s="4">
        <f>CHOOSE( CONTROL!$C$33, 8.3566, 8.355) * CHOOSE(CONTROL!$C$16, $D$10, 100%, $F$10)</f>
        <v>8.3566000000000003</v>
      </c>
      <c r="G215" s="8">
        <f>CHOOSE( CONTROL!$C$33, 7.5352, 7.5337) * CHOOSE( CONTROL!$C$16, $D$10, 100%, $F$10)</f>
        <v>7.5351999999999997</v>
      </c>
      <c r="H215" s="4">
        <f>CHOOSE( CONTROL!$C$33, 8.5138, 8.5123) * CHOOSE(CONTROL!$C$16, $D$10, 100%, $F$10)</f>
        <v>8.5137999999999998</v>
      </c>
      <c r="I215" s="8">
        <f>CHOOSE( CONTROL!$C$33, 7.4749, 7.4734) * CHOOSE(CONTROL!$C$16, $D$10, 100%, $F$10)</f>
        <v>7.4748999999999999</v>
      </c>
      <c r="J215" s="4">
        <f>CHOOSE( CONTROL!$C$33, 7.354, 7.3525) * CHOOSE(CONTROL!$C$16, $D$10, 100%, $F$10)</f>
        <v>7.3540000000000001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1.2927</v>
      </c>
      <c r="Q215" s="9">
        <v>31.333600000000001</v>
      </c>
      <c r="R215" s="9"/>
      <c r="S215" s="11"/>
    </row>
    <row r="216" spans="1:19" ht="15" customHeight="1">
      <c r="A216" s="13">
        <v>47727</v>
      </c>
      <c r="B216" s="8">
        <f>CHOOSE( CONTROL!$C$33, 7.4206, 7.419) * CHOOSE(CONTROL!$C$16, $D$10, 100%, $F$10)</f>
        <v>7.4206000000000003</v>
      </c>
      <c r="C216" s="8">
        <f>CHOOSE( CONTROL!$C$33, 7.4286, 7.427) * CHOOSE(CONTROL!$C$16, $D$10, 100%, $F$10)</f>
        <v>7.4286000000000003</v>
      </c>
      <c r="D216" s="8">
        <f>CHOOSE( CONTROL!$C$33, 7.4512, 7.4496) * CHOOSE( CONTROL!$C$16, $D$10, 100%, $F$10)</f>
        <v>7.4512</v>
      </c>
      <c r="E216" s="12">
        <f>CHOOSE( CONTROL!$C$33, 7.4418, 7.4402) * CHOOSE( CONTROL!$C$16, $D$10, 100%, $F$10)</f>
        <v>7.4417999999999997</v>
      </c>
      <c r="F216" s="4">
        <f>CHOOSE( CONTROL!$C$33, 8.1975, 8.196) * CHOOSE(CONTROL!$C$16, $D$10, 100%, $F$10)</f>
        <v>8.1974999999999998</v>
      </c>
      <c r="G216" s="8">
        <f>CHOOSE( CONTROL!$C$33, 7.3783, 7.3768) * CHOOSE( CONTROL!$C$16, $D$10, 100%, $F$10)</f>
        <v>7.3783000000000003</v>
      </c>
      <c r="H216" s="4">
        <f>CHOOSE( CONTROL!$C$33, 8.357, 8.3555) * CHOOSE(CONTROL!$C$16, $D$10, 100%, $F$10)</f>
        <v>8.3569999999999993</v>
      </c>
      <c r="I216" s="8">
        <f>CHOOSE( CONTROL!$C$33, 7.3204, 7.3188) * CHOOSE(CONTROL!$C$16, $D$10, 100%, $F$10)</f>
        <v>7.3204000000000002</v>
      </c>
      <c r="J216" s="4">
        <f>CHOOSE( CONTROL!$C$33, 7.2, 7.1984) * CHOOSE(CONTROL!$C$16, $D$10, 100%, $F$10)</f>
        <v>7.2</v>
      </c>
      <c r="K216" s="4"/>
      <c r="L216" s="9">
        <v>29.7257</v>
      </c>
      <c r="M216" s="9">
        <v>11.6745</v>
      </c>
      <c r="N216" s="9">
        <v>4.7850000000000001</v>
      </c>
      <c r="O216" s="9">
        <v>0.36199999999999999</v>
      </c>
      <c r="P216" s="9">
        <v>1.2509999999999999</v>
      </c>
      <c r="Q216" s="9">
        <v>30.322800000000001</v>
      </c>
      <c r="R216" s="9"/>
      <c r="S216" s="11"/>
    </row>
    <row r="217" spans="1:19" ht="15" customHeight="1">
      <c r="A217" s="13">
        <v>47757</v>
      </c>
      <c r="B217" s="8">
        <f>CHOOSE( CONTROL!$C$33, 7.7487, 7.7476) * CHOOSE(CONTROL!$C$16, $D$10, 100%, $F$10)</f>
        <v>7.7487000000000004</v>
      </c>
      <c r="C217" s="8">
        <f>CHOOSE( CONTROL!$C$33, 7.754, 7.7529) * CHOOSE(CONTROL!$C$16, $D$10, 100%, $F$10)</f>
        <v>7.7539999999999996</v>
      </c>
      <c r="D217" s="8">
        <f>CHOOSE( CONTROL!$C$33, 7.7828, 7.7817) * CHOOSE( CONTROL!$C$16, $D$10, 100%, $F$10)</f>
        <v>7.7827999999999999</v>
      </c>
      <c r="E217" s="12">
        <f>CHOOSE( CONTROL!$C$33, 7.7727, 7.7716) * CHOOSE( CONTROL!$C$16, $D$10, 100%, $F$10)</f>
        <v>7.7727000000000004</v>
      </c>
      <c r="F217" s="4">
        <f>CHOOSE( CONTROL!$C$33, 8.5273, 8.5262) * CHOOSE(CONTROL!$C$16, $D$10, 100%, $F$10)</f>
        <v>8.5273000000000003</v>
      </c>
      <c r="G217" s="8">
        <f>CHOOSE( CONTROL!$C$33, 7.7036, 7.7025) * CHOOSE( CONTROL!$C$16, $D$10, 100%, $F$10)</f>
        <v>7.7035999999999998</v>
      </c>
      <c r="H217" s="4">
        <f>CHOOSE( CONTROL!$C$33, 8.6822, 8.6811) * CHOOSE(CONTROL!$C$16, $D$10, 100%, $F$10)</f>
        <v>8.6821999999999999</v>
      </c>
      <c r="I217" s="8">
        <f>CHOOSE( CONTROL!$C$33, 7.6404, 7.6394) * CHOOSE(CONTROL!$C$16, $D$10, 100%, $F$10)</f>
        <v>7.6403999999999996</v>
      </c>
      <c r="J217" s="4">
        <f>CHOOSE( CONTROL!$C$33, 7.5193, 7.5182) * CHOOSE(CONTROL!$C$16, $D$10, 100%, $F$10)</f>
        <v>7.5193000000000003</v>
      </c>
      <c r="K217" s="4"/>
      <c r="L217" s="9">
        <v>31.095300000000002</v>
      </c>
      <c r="M217" s="9">
        <v>12.063700000000001</v>
      </c>
      <c r="N217" s="9">
        <v>4.9444999999999997</v>
      </c>
      <c r="O217" s="9">
        <v>0.37409999999999999</v>
      </c>
      <c r="P217" s="9">
        <v>1.2927</v>
      </c>
      <c r="Q217" s="9">
        <v>31.333600000000001</v>
      </c>
      <c r="R217" s="9"/>
      <c r="S217" s="11"/>
    </row>
    <row r="218" spans="1:19" ht="15" customHeight="1">
      <c r="A218" s="13">
        <v>47788</v>
      </c>
      <c r="B218" s="8">
        <f>CHOOSE( CONTROL!$C$33, 8.3579, 8.3567) * CHOOSE(CONTROL!$C$16, $D$10, 100%, $F$10)</f>
        <v>8.3579000000000008</v>
      </c>
      <c r="C218" s="8">
        <f>CHOOSE( CONTROL!$C$33, 8.363, 8.3618) * CHOOSE(CONTROL!$C$16, $D$10, 100%, $F$10)</f>
        <v>8.3629999999999995</v>
      </c>
      <c r="D218" s="8">
        <f>CHOOSE( CONTROL!$C$33, 8.3426, 8.3415) * CHOOSE( CONTROL!$C$16, $D$10, 100%, $F$10)</f>
        <v>8.3425999999999991</v>
      </c>
      <c r="E218" s="12">
        <f>CHOOSE( CONTROL!$C$33, 8.3495, 8.3484) * CHOOSE( CONTROL!$C$16, $D$10, 100%, $F$10)</f>
        <v>8.3495000000000008</v>
      </c>
      <c r="F218" s="4">
        <f>CHOOSE( CONTROL!$C$33, 9.0207, 9.0196) * CHOOSE(CONTROL!$C$16, $D$10, 100%, $F$10)</f>
        <v>9.0206999999999997</v>
      </c>
      <c r="G218" s="8">
        <f>CHOOSE( CONTROL!$C$33, 8.2772, 8.2761) * CHOOSE( CONTROL!$C$16, $D$10, 100%, $F$10)</f>
        <v>8.2772000000000006</v>
      </c>
      <c r="H218" s="4">
        <f>CHOOSE( CONTROL!$C$33, 9.1687, 9.1676) * CHOOSE(CONTROL!$C$16, $D$10, 100%, $F$10)</f>
        <v>9.1686999999999994</v>
      </c>
      <c r="I218" s="8">
        <f>CHOOSE( CONTROL!$C$33, 8.2788, 8.2777) * CHOOSE(CONTROL!$C$16, $D$10, 100%, $F$10)</f>
        <v>8.2788000000000004</v>
      </c>
      <c r="J218" s="4">
        <f>CHOOSE( CONTROL!$C$33, 8.1096, 8.1085) * CHOOSE(CONTROL!$C$16, $D$10, 100%, $F$10)</f>
        <v>8.1096000000000004</v>
      </c>
      <c r="K218" s="4"/>
      <c r="L218" s="9">
        <v>28.360600000000002</v>
      </c>
      <c r="M218" s="9">
        <v>11.6745</v>
      </c>
      <c r="N218" s="9">
        <v>4.7850000000000001</v>
      </c>
      <c r="O218" s="9">
        <v>0.36199999999999999</v>
      </c>
      <c r="P218" s="9">
        <v>1.2509999999999999</v>
      </c>
      <c r="Q218" s="9">
        <v>30.322800000000001</v>
      </c>
      <c r="R218" s="9"/>
      <c r="S218" s="11"/>
    </row>
    <row r="219" spans="1:19" ht="15" customHeight="1">
      <c r="A219" s="13">
        <v>47818</v>
      </c>
      <c r="B219" s="8">
        <f>CHOOSE( CONTROL!$C$33, 8.3426, 8.3415) * CHOOSE(CONTROL!$C$16, $D$10, 100%, $F$10)</f>
        <v>8.3425999999999991</v>
      </c>
      <c r="C219" s="8">
        <f>CHOOSE( CONTROL!$C$33, 8.3477, 8.3466) * CHOOSE(CONTROL!$C$16, $D$10, 100%, $F$10)</f>
        <v>8.3476999999999997</v>
      </c>
      <c r="D219" s="8">
        <f>CHOOSE( CONTROL!$C$33, 8.3288, 8.3277) * CHOOSE( CONTROL!$C$16, $D$10, 100%, $F$10)</f>
        <v>8.3287999999999993</v>
      </c>
      <c r="E219" s="12">
        <f>CHOOSE( CONTROL!$C$33, 8.3352, 8.3341) * CHOOSE( CONTROL!$C$16, $D$10, 100%, $F$10)</f>
        <v>8.3352000000000004</v>
      </c>
      <c r="F219" s="4">
        <f>CHOOSE( CONTROL!$C$33, 9.0055, 9.0044) * CHOOSE(CONTROL!$C$16, $D$10, 100%, $F$10)</f>
        <v>9.0054999999999996</v>
      </c>
      <c r="G219" s="8">
        <f>CHOOSE( CONTROL!$C$33, 8.2632, 8.2621) * CHOOSE( CONTROL!$C$16, $D$10, 100%, $F$10)</f>
        <v>8.2631999999999994</v>
      </c>
      <c r="H219" s="4">
        <f>CHOOSE( CONTROL!$C$33, 9.1537, 9.1526) * CHOOSE(CONTROL!$C$16, $D$10, 100%, $F$10)</f>
        <v>9.1537000000000006</v>
      </c>
      <c r="I219" s="8">
        <f>CHOOSE( CONTROL!$C$33, 8.2686, 8.2675) * CHOOSE(CONTROL!$C$16, $D$10, 100%, $F$10)</f>
        <v>8.2685999999999993</v>
      </c>
      <c r="J219" s="4">
        <f>CHOOSE( CONTROL!$C$33, 8.0948, 8.0937) * CHOOSE(CONTROL!$C$16, $D$10, 100%, $F$10)</f>
        <v>8.0947999999999993</v>
      </c>
      <c r="K219" s="4"/>
      <c r="L219" s="9">
        <v>29.306000000000001</v>
      </c>
      <c r="M219" s="9">
        <v>12.063700000000001</v>
      </c>
      <c r="N219" s="9">
        <v>4.9444999999999997</v>
      </c>
      <c r="O219" s="9">
        <v>0.37409999999999999</v>
      </c>
      <c r="P219" s="9">
        <v>1.2927</v>
      </c>
      <c r="Q219" s="9">
        <v>31.333600000000001</v>
      </c>
      <c r="R219" s="9"/>
      <c r="S219" s="11"/>
    </row>
    <row r="220" spans="1:19" ht="15" customHeight="1">
      <c r="A220" s="13">
        <v>47849</v>
      </c>
      <c r="B220" s="8">
        <f>CHOOSE( CONTROL!$C$33, 8.5892, 8.5881) * CHOOSE(CONTROL!$C$16, $D$10, 100%, $F$10)</f>
        <v>8.5891999999999999</v>
      </c>
      <c r="C220" s="8">
        <f>CHOOSE( CONTROL!$C$33, 8.5943, 8.5932) * CHOOSE(CONTROL!$C$16, $D$10, 100%, $F$10)</f>
        <v>8.5943000000000005</v>
      </c>
      <c r="D220" s="8">
        <f>CHOOSE( CONTROL!$C$33, 8.5866, 8.5855) * CHOOSE( CONTROL!$C$16, $D$10, 100%, $F$10)</f>
        <v>8.5866000000000007</v>
      </c>
      <c r="E220" s="12">
        <f>CHOOSE( CONTROL!$C$33, 8.5889, 8.5878) * CHOOSE( CONTROL!$C$16, $D$10, 100%, $F$10)</f>
        <v>8.5889000000000006</v>
      </c>
      <c r="F220" s="4">
        <f>CHOOSE( CONTROL!$C$33, 9.252, 9.2509) * CHOOSE(CONTROL!$C$16, $D$10, 100%, $F$10)</f>
        <v>9.2520000000000007</v>
      </c>
      <c r="G220" s="8">
        <f>CHOOSE( CONTROL!$C$33, 8.5122, 8.5111) * CHOOSE( CONTROL!$C$16, $D$10, 100%, $F$10)</f>
        <v>8.5122</v>
      </c>
      <c r="H220" s="4">
        <f>CHOOSE( CONTROL!$C$33, 9.3968, 9.3957) * CHOOSE(CONTROL!$C$16, $D$10, 100%, $F$10)</f>
        <v>9.3968000000000007</v>
      </c>
      <c r="I220" s="8">
        <f>CHOOSE( CONTROL!$C$33, 8.4987, 8.4976) * CHOOSE(CONTROL!$C$16, $D$10, 100%, $F$10)</f>
        <v>8.4986999999999995</v>
      </c>
      <c r="J220" s="4">
        <f>CHOOSE( CONTROL!$C$33, 8.3336, 8.3325) * CHOOSE(CONTROL!$C$16, $D$10, 100%, $F$10)</f>
        <v>8.3336000000000006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31.026700000000002</v>
      </c>
      <c r="R220" s="9"/>
      <c r="S220" s="11"/>
    </row>
    <row r="221" spans="1:19" ht="15" customHeight="1">
      <c r="A221" s="13">
        <v>47880</v>
      </c>
      <c r="B221" s="8">
        <f>CHOOSE( CONTROL!$C$33, 8.0329, 8.0317) * CHOOSE(CONTROL!$C$16, $D$10, 100%, $F$10)</f>
        <v>8.0328999999999997</v>
      </c>
      <c r="C221" s="8">
        <f>CHOOSE( CONTROL!$C$33, 8.038, 8.0368) * CHOOSE(CONTROL!$C$16, $D$10, 100%, $F$10)</f>
        <v>8.0380000000000003</v>
      </c>
      <c r="D221" s="8">
        <f>CHOOSE( CONTROL!$C$33, 8.0301, 8.029) * CHOOSE( CONTROL!$C$16, $D$10, 100%, $F$10)</f>
        <v>8.0300999999999991</v>
      </c>
      <c r="E221" s="12">
        <f>CHOOSE( CONTROL!$C$33, 8.0324, 8.0313) * CHOOSE( CONTROL!$C$16, $D$10, 100%, $F$10)</f>
        <v>8.0324000000000009</v>
      </c>
      <c r="F221" s="4">
        <f>CHOOSE( CONTROL!$C$33, 8.6957, 8.6946) * CHOOSE(CONTROL!$C$16, $D$10, 100%, $F$10)</f>
        <v>8.6957000000000004</v>
      </c>
      <c r="G221" s="8">
        <f>CHOOSE( CONTROL!$C$33, 7.9635, 7.9624) * CHOOSE( CONTROL!$C$16, $D$10, 100%, $F$10)</f>
        <v>7.9634999999999998</v>
      </c>
      <c r="H221" s="4">
        <f>CHOOSE( CONTROL!$C$33, 8.8483, 8.8472) * CHOOSE(CONTROL!$C$16, $D$10, 100%, $F$10)</f>
        <v>8.8483000000000001</v>
      </c>
      <c r="I221" s="8">
        <f>CHOOSE( CONTROL!$C$33, 7.9591, 7.9581) * CHOOSE(CONTROL!$C$16, $D$10, 100%, $F$10)</f>
        <v>7.9591000000000003</v>
      </c>
      <c r="J221" s="4">
        <f>CHOOSE( CONTROL!$C$33, 7.7949, 7.7938) * CHOOSE(CONTROL!$C$16, $D$10, 100%, $F$10)</f>
        <v>7.7949000000000002</v>
      </c>
      <c r="K221" s="4"/>
      <c r="L221" s="9">
        <v>26.469899999999999</v>
      </c>
      <c r="M221" s="9">
        <v>10.8962</v>
      </c>
      <c r="N221" s="9">
        <v>4.4660000000000002</v>
      </c>
      <c r="O221" s="9">
        <v>0.33789999999999998</v>
      </c>
      <c r="P221" s="9">
        <v>1.1676</v>
      </c>
      <c r="Q221" s="9">
        <v>28.024100000000001</v>
      </c>
      <c r="R221" s="9"/>
      <c r="S221" s="11"/>
    </row>
    <row r="222" spans="1:19" ht="15" customHeight="1">
      <c r="A222" s="13">
        <v>47908</v>
      </c>
      <c r="B222" s="8">
        <f>CHOOSE( CONTROL!$C$33, 7.8615, 7.8604) * CHOOSE(CONTROL!$C$16, $D$10, 100%, $F$10)</f>
        <v>7.8615000000000004</v>
      </c>
      <c r="C222" s="8">
        <f>CHOOSE( CONTROL!$C$33, 7.8666, 7.8655) * CHOOSE(CONTROL!$C$16, $D$10, 100%, $F$10)</f>
        <v>7.8666</v>
      </c>
      <c r="D222" s="8">
        <f>CHOOSE( CONTROL!$C$33, 7.8581, 7.8569) * CHOOSE( CONTROL!$C$16, $D$10, 100%, $F$10)</f>
        <v>7.8581000000000003</v>
      </c>
      <c r="E222" s="12">
        <f>CHOOSE( CONTROL!$C$33, 7.8607, 7.8595) * CHOOSE( CONTROL!$C$16, $D$10, 100%, $F$10)</f>
        <v>7.8606999999999996</v>
      </c>
      <c r="F222" s="4">
        <f>CHOOSE( CONTROL!$C$33, 8.5244, 8.5233) * CHOOSE(CONTROL!$C$16, $D$10, 100%, $F$10)</f>
        <v>8.5244</v>
      </c>
      <c r="G222" s="8">
        <f>CHOOSE( CONTROL!$C$33, 7.794, 7.7929) * CHOOSE( CONTROL!$C$16, $D$10, 100%, $F$10)</f>
        <v>7.7939999999999996</v>
      </c>
      <c r="H222" s="4">
        <f>CHOOSE( CONTROL!$C$33, 8.6793, 8.6782) * CHOOSE(CONTROL!$C$16, $D$10, 100%, $F$10)</f>
        <v>8.6792999999999996</v>
      </c>
      <c r="I222" s="8">
        <f>CHOOSE( CONTROL!$C$33, 7.7909, 7.7898) * CHOOSE(CONTROL!$C$16, $D$10, 100%, $F$10)</f>
        <v>7.7908999999999997</v>
      </c>
      <c r="J222" s="4">
        <f>CHOOSE( CONTROL!$C$33, 7.629, 7.6279) * CHOOSE(CONTROL!$C$16, $D$10, 100%, $F$10)</f>
        <v>7.6289999999999996</v>
      </c>
      <c r="K222" s="4"/>
      <c r="L222" s="9">
        <v>29.306000000000001</v>
      </c>
      <c r="M222" s="9">
        <v>12.063700000000001</v>
      </c>
      <c r="N222" s="9">
        <v>4.9444999999999997</v>
      </c>
      <c r="O222" s="9">
        <v>0.37409999999999999</v>
      </c>
      <c r="P222" s="9">
        <v>1.2927</v>
      </c>
      <c r="Q222" s="9">
        <v>31.026700000000002</v>
      </c>
      <c r="R222" s="9"/>
      <c r="S222" s="11"/>
    </row>
    <row r="223" spans="1:19" ht="15" customHeight="1">
      <c r="A223" s="13">
        <v>47939</v>
      </c>
      <c r="B223" s="8">
        <f>CHOOSE( CONTROL!$C$33, 7.982, 7.9809) * CHOOSE(CONTROL!$C$16, $D$10, 100%, $F$10)</f>
        <v>7.9820000000000002</v>
      </c>
      <c r="C223" s="8">
        <f>CHOOSE( CONTROL!$C$33, 7.9865, 7.9854) * CHOOSE(CONTROL!$C$16, $D$10, 100%, $F$10)</f>
        <v>7.9865000000000004</v>
      </c>
      <c r="D223" s="8">
        <f>CHOOSE( CONTROL!$C$33, 8.0154, 8.0143) * CHOOSE( CONTROL!$C$16, $D$10, 100%, $F$10)</f>
        <v>8.0153999999999996</v>
      </c>
      <c r="E223" s="12">
        <f>CHOOSE( CONTROL!$C$33, 8.0053, 8.0042) * CHOOSE( CONTROL!$C$16, $D$10, 100%, $F$10)</f>
        <v>8.0053000000000001</v>
      </c>
      <c r="F223" s="4">
        <f>CHOOSE( CONTROL!$C$33, 8.7603, 8.7592) * CHOOSE(CONTROL!$C$16, $D$10, 100%, $F$10)</f>
        <v>8.7603000000000009</v>
      </c>
      <c r="G223" s="8">
        <f>CHOOSE( CONTROL!$C$33, 7.933, 7.9319) * CHOOSE( CONTROL!$C$16, $D$10, 100%, $F$10)</f>
        <v>7.9329999999999998</v>
      </c>
      <c r="H223" s="4">
        <f>CHOOSE( CONTROL!$C$33, 8.9119, 8.9108) * CHOOSE(CONTROL!$C$16, $D$10, 100%, $F$10)</f>
        <v>8.9118999999999993</v>
      </c>
      <c r="I223" s="8">
        <f>CHOOSE( CONTROL!$C$33, 7.8649, 7.8638) * CHOOSE(CONTROL!$C$16, $D$10, 100%, $F$10)</f>
        <v>7.8648999999999996</v>
      </c>
      <c r="J223" s="4">
        <f>CHOOSE( CONTROL!$C$33, 7.7449, 7.7438) * CHOOSE(CONTROL!$C$16, $D$10, 100%, $F$10)</f>
        <v>7.7449000000000003</v>
      </c>
      <c r="K223" s="4"/>
      <c r="L223" s="9">
        <v>30.092199999999998</v>
      </c>
      <c r="M223" s="9">
        <v>11.6745</v>
      </c>
      <c r="N223" s="9">
        <v>4.7850000000000001</v>
      </c>
      <c r="O223" s="9">
        <v>0.36199999999999999</v>
      </c>
      <c r="P223" s="9">
        <v>1.2509999999999999</v>
      </c>
      <c r="Q223" s="9">
        <v>30.0258</v>
      </c>
      <c r="R223" s="9"/>
      <c r="S223" s="11"/>
    </row>
    <row r="224" spans="1:19" ht="15" customHeight="1">
      <c r="A224" s="13">
        <v>47969</v>
      </c>
      <c r="B224" s="8">
        <f>CHOOSE( CONTROL!$C$33, 8.1969, 8.1954) * CHOOSE(CONTROL!$C$16, $D$10, 100%, $F$10)</f>
        <v>8.1968999999999994</v>
      </c>
      <c r="C224" s="8">
        <f>CHOOSE( CONTROL!$C$33, 8.2049, 8.2033) * CHOOSE(CONTROL!$C$16, $D$10, 100%, $F$10)</f>
        <v>8.2049000000000003</v>
      </c>
      <c r="D224" s="8">
        <f>CHOOSE( CONTROL!$C$33, 8.2271, 8.2256) * CHOOSE( CONTROL!$C$16, $D$10, 100%, $F$10)</f>
        <v>8.2271000000000001</v>
      </c>
      <c r="E224" s="12">
        <f>CHOOSE( CONTROL!$C$33, 8.2178, 8.2163) * CHOOSE( CONTROL!$C$16, $D$10, 100%, $F$10)</f>
        <v>8.2178000000000004</v>
      </c>
      <c r="F224" s="4">
        <f>CHOOSE( CONTROL!$C$33, 8.9738, 8.9723) * CHOOSE(CONTROL!$C$16, $D$10, 100%, $F$10)</f>
        <v>8.9738000000000007</v>
      </c>
      <c r="G224" s="8">
        <f>CHOOSE( CONTROL!$C$33, 8.1435, 8.142) * CHOOSE( CONTROL!$C$16, $D$10, 100%, $F$10)</f>
        <v>8.1434999999999995</v>
      </c>
      <c r="H224" s="4">
        <f>CHOOSE( CONTROL!$C$33, 9.1225, 9.1209) * CHOOSE(CONTROL!$C$16, $D$10, 100%, $F$10)</f>
        <v>9.1225000000000005</v>
      </c>
      <c r="I224" s="8">
        <f>CHOOSE( CONTROL!$C$33, 8.0714, 8.0698) * CHOOSE(CONTROL!$C$16, $D$10, 100%, $F$10)</f>
        <v>8.0714000000000006</v>
      </c>
      <c r="J224" s="4">
        <f>CHOOSE( CONTROL!$C$33, 7.9517, 7.9502) * CHOOSE(CONTROL!$C$16, $D$10, 100%, $F$10)</f>
        <v>7.9516999999999998</v>
      </c>
      <c r="K224" s="4"/>
      <c r="L224" s="9">
        <v>30.7165</v>
      </c>
      <c r="M224" s="9">
        <v>12.063700000000001</v>
      </c>
      <c r="N224" s="9">
        <v>4.9444999999999997</v>
      </c>
      <c r="O224" s="9">
        <v>0.37409999999999999</v>
      </c>
      <c r="P224" s="9">
        <v>1.2927</v>
      </c>
      <c r="Q224" s="9">
        <v>31.026700000000002</v>
      </c>
      <c r="R224" s="9"/>
      <c r="S224" s="11"/>
    </row>
    <row r="225" spans="1:19" ht="15" customHeight="1">
      <c r="A225" s="13">
        <v>48000</v>
      </c>
      <c r="B225" s="8">
        <f>CHOOSE( CONTROL!$C$33, 8.0649, 8.0633) * CHOOSE(CONTROL!$C$16, $D$10, 100%, $F$10)</f>
        <v>8.0648999999999997</v>
      </c>
      <c r="C225" s="8">
        <f>CHOOSE( CONTROL!$C$33, 8.0729, 8.0713) * CHOOSE(CONTROL!$C$16, $D$10, 100%, $F$10)</f>
        <v>8.0729000000000006</v>
      </c>
      <c r="D225" s="8">
        <f>CHOOSE( CONTROL!$C$33, 8.0953, 8.0937) * CHOOSE( CONTROL!$C$16, $D$10, 100%, $F$10)</f>
        <v>8.0952999999999999</v>
      </c>
      <c r="E225" s="12">
        <f>CHOOSE( CONTROL!$C$33, 8.086, 8.0844) * CHOOSE( CONTROL!$C$16, $D$10, 100%, $F$10)</f>
        <v>8.0860000000000003</v>
      </c>
      <c r="F225" s="4">
        <f>CHOOSE( CONTROL!$C$33, 8.8418, 8.8403) * CHOOSE(CONTROL!$C$16, $D$10, 100%, $F$10)</f>
        <v>8.8417999999999992</v>
      </c>
      <c r="G225" s="8">
        <f>CHOOSE( CONTROL!$C$33, 8.0135, 8.012) * CHOOSE( CONTROL!$C$16, $D$10, 100%, $F$10)</f>
        <v>8.0135000000000005</v>
      </c>
      <c r="H225" s="4">
        <f>CHOOSE( CONTROL!$C$33, 8.9923, 8.9908) * CHOOSE(CONTROL!$C$16, $D$10, 100%, $F$10)</f>
        <v>8.9923000000000002</v>
      </c>
      <c r="I225" s="8">
        <f>CHOOSE( CONTROL!$C$33, 7.944, 7.9425) * CHOOSE(CONTROL!$C$16, $D$10, 100%, $F$10)</f>
        <v>7.944</v>
      </c>
      <c r="J225" s="4">
        <f>CHOOSE( CONTROL!$C$33, 7.8239, 7.8223) * CHOOSE(CONTROL!$C$16, $D$10, 100%, $F$10)</f>
        <v>7.8239000000000001</v>
      </c>
      <c r="K225" s="4"/>
      <c r="L225" s="9">
        <v>29.7257</v>
      </c>
      <c r="M225" s="9">
        <v>11.6745</v>
      </c>
      <c r="N225" s="9">
        <v>4.7850000000000001</v>
      </c>
      <c r="O225" s="9">
        <v>0.36199999999999999</v>
      </c>
      <c r="P225" s="9">
        <v>1.2509999999999999</v>
      </c>
      <c r="Q225" s="9">
        <v>30.0258</v>
      </c>
      <c r="R225" s="9"/>
      <c r="S225" s="11"/>
    </row>
    <row r="226" spans="1:19" ht="15" customHeight="1">
      <c r="A226" s="13">
        <v>48030</v>
      </c>
      <c r="B226" s="8">
        <f>CHOOSE( CONTROL!$C$33, 8.4125, 8.411) * CHOOSE(CONTROL!$C$16, $D$10, 100%, $F$10)</f>
        <v>8.4124999999999996</v>
      </c>
      <c r="C226" s="8">
        <f>CHOOSE( CONTROL!$C$33, 8.4205, 8.419) * CHOOSE(CONTROL!$C$16, $D$10, 100%, $F$10)</f>
        <v>8.4205000000000005</v>
      </c>
      <c r="D226" s="8">
        <f>CHOOSE( CONTROL!$C$33, 8.4432, 8.4416) * CHOOSE( CONTROL!$C$16, $D$10, 100%, $F$10)</f>
        <v>8.4431999999999992</v>
      </c>
      <c r="E226" s="12">
        <f>CHOOSE( CONTROL!$C$33, 8.4338, 8.4322) * CHOOSE( CONTROL!$C$16, $D$10, 100%, $F$10)</f>
        <v>8.4337999999999997</v>
      </c>
      <c r="F226" s="4">
        <f>CHOOSE( CONTROL!$C$33, 9.1895, 9.1879) * CHOOSE(CONTROL!$C$16, $D$10, 100%, $F$10)</f>
        <v>9.1895000000000007</v>
      </c>
      <c r="G226" s="8">
        <f>CHOOSE( CONTROL!$C$33, 8.3565, 8.3549) * CHOOSE( CONTROL!$C$16, $D$10, 100%, $F$10)</f>
        <v>8.3565000000000005</v>
      </c>
      <c r="H226" s="4">
        <f>CHOOSE( CONTROL!$C$33, 9.3351, 9.3335) * CHOOSE(CONTROL!$C$16, $D$10, 100%, $F$10)</f>
        <v>9.3351000000000006</v>
      </c>
      <c r="I226" s="8">
        <f>CHOOSE( CONTROL!$C$33, 8.2816, 8.2801) * CHOOSE(CONTROL!$C$16, $D$10, 100%, $F$10)</f>
        <v>8.2815999999999992</v>
      </c>
      <c r="J226" s="4">
        <f>CHOOSE( CONTROL!$C$33, 8.1605, 8.1589) * CHOOSE(CONTROL!$C$16, $D$10, 100%, $F$10)</f>
        <v>8.1605000000000008</v>
      </c>
      <c r="K226" s="4"/>
      <c r="L226" s="9">
        <v>30.7165</v>
      </c>
      <c r="M226" s="9">
        <v>12.063700000000001</v>
      </c>
      <c r="N226" s="9">
        <v>4.9444999999999997</v>
      </c>
      <c r="O226" s="9">
        <v>0.37409999999999999</v>
      </c>
      <c r="P226" s="9">
        <v>1.2927</v>
      </c>
      <c r="Q226" s="9">
        <v>31.026700000000002</v>
      </c>
      <c r="R226" s="9"/>
      <c r="S226" s="11"/>
    </row>
    <row r="227" spans="1:19" ht="15" customHeight="1">
      <c r="A227" s="13">
        <v>48061</v>
      </c>
      <c r="B227" s="8">
        <f>CHOOSE( CONTROL!$C$33, 7.7621, 7.7605) * CHOOSE(CONTROL!$C$16, $D$10, 100%, $F$10)</f>
        <v>7.7621000000000002</v>
      </c>
      <c r="C227" s="8">
        <f>CHOOSE( CONTROL!$C$33, 7.7701, 7.7685) * CHOOSE(CONTROL!$C$16, $D$10, 100%, $F$10)</f>
        <v>7.7701000000000002</v>
      </c>
      <c r="D227" s="8">
        <f>CHOOSE( CONTROL!$C$33, 7.7928, 7.7912) * CHOOSE( CONTROL!$C$16, $D$10, 100%, $F$10)</f>
        <v>7.7927999999999997</v>
      </c>
      <c r="E227" s="12">
        <f>CHOOSE( CONTROL!$C$33, 7.7834, 7.7818) * CHOOSE( CONTROL!$C$16, $D$10, 100%, $F$10)</f>
        <v>7.7834000000000003</v>
      </c>
      <c r="F227" s="4">
        <f>CHOOSE( CONTROL!$C$33, 8.539, 8.5375) * CHOOSE(CONTROL!$C$16, $D$10, 100%, $F$10)</f>
        <v>8.5389999999999997</v>
      </c>
      <c r="G227" s="8">
        <f>CHOOSE( CONTROL!$C$33, 7.7151, 7.7136) * CHOOSE( CONTROL!$C$16, $D$10, 100%, $F$10)</f>
        <v>7.7150999999999996</v>
      </c>
      <c r="H227" s="4">
        <f>CHOOSE( CONTROL!$C$33, 8.6937, 8.6922) * CHOOSE(CONTROL!$C$16, $D$10, 100%, $F$10)</f>
        <v>8.6936999999999998</v>
      </c>
      <c r="I227" s="8">
        <f>CHOOSE( CONTROL!$C$33, 7.6516, 7.6501) * CHOOSE(CONTROL!$C$16, $D$10, 100%, $F$10)</f>
        <v>7.6516000000000002</v>
      </c>
      <c r="J227" s="4">
        <f>CHOOSE( CONTROL!$C$33, 7.5306, 7.5291) * CHOOSE(CONTROL!$C$16, $D$10, 100%, $F$10)</f>
        <v>7.5305999999999997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1.2927</v>
      </c>
      <c r="Q227" s="9">
        <v>31.026700000000002</v>
      </c>
      <c r="R227" s="9"/>
      <c r="S227" s="11"/>
    </row>
    <row r="228" spans="1:19" ht="15" customHeight="1">
      <c r="A228" s="13">
        <v>48092</v>
      </c>
      <c r="B228" s="8">
        <f>CHOOSE( CONTROL!$C$33, 7.5992, 7.5977) * CHOOSE(CONTROL!$C$16, $D$10, 100%, $F$10)</f>
        <v>7.5991999999999997</v>
      </c>
      <c r="C228" s="8">
        <f>CHOOSE( CONTROL!$C$33, 7.6072, 7.6057) * CHOOSE(CONTROL!$C$16, $D$10, 100%, $F$10)</f>
        <v>7.6071999999999997</v>
      </c>
      <c r="D228" s="8">
        <f>CHOOSE( CONTROL!$C$33, 7.6298, 7.6282) * CHOOSE( CONTROL!$C$16, $D$10, 100%, $F$10)</f>
        <v>7.6298000000000004</v>
      </c>
      <c r="E228" s="12">
        <f>CHOOSE( CONTROL!$C$33, 7.6204, 7.6188) * CHOOSE( CONTROL!$C$16, $D$10, 100%, $F$10)</f>
        <v>7.6204000000000001</v>
      </c>
      <c r="F228" s="4">
        <f>CHOOSE( CONTROL!$C$33, 8.3762, 8.3746) * CHOOSE(CONTROL!$C$16, $D$10, 100%, $F$10)</f>
        <v>8.3762000000000008</v>
      </c>
      <c r="G228" s="8">
        <f>CHOOSE( CONTROL!$C$33, 7.5544, 7.5529) * CHOOSE( CONTROL!$C$16, $D$10, 100%, $F$10)</f>
        <v>7.5544000000000002</v>
      </c>
      <c r="H228" s="4">
        <f>CHOOSE( CONTROL!$C$33, 8.5331, 8.5316) * CHOOSE(CONTROL!$C$16, $D$10, 100%, $F$10)</f>
        <v>8.5330999999999992</v>
      </c>
      <c r="I228" s="8">
        <f>CHOOSE( CONTROL!$C$33, 7.4934, 7.4919) * CHOOSE(CONTROL!$C$16, $D$10, 100%, $F$10)</f>
        <v>7.4934000000000003</v>
      </c>
      <c r="J228" s="4">
        <f>CHOOSE( CONTROL!$C$33, 7.3729, 7.3714) * CHOOSE(CONTROL!$C$16, $D$10, 100%, $F$10)</f>
        <v>7.3728999999999996</v>
      </c>
      <c r="K228" s="4"/>
      <c r="L228" s="9">
        <v>29.7257</v>
      </c>
      <c r="M228" s="9">
        <v>11.6745</v>
      </c>
      <c r="N228" s="9">
        <v>4.7850000000000001</v>
      </c>
      <c r="O228" s="9">
        <v>0.36199999999999999</v>
      </c>
      <c r="P228" s="9">
        <v>1.2509999999999999</v>
      </c>
      <c r="Q228" s="9">
        <v>30.0258</v>
      </c>
      <c r="R228" s="9"/>
      <c r="S228" s="11"/>
    </row>
    <row r="229" spans="1:19" ht="15" customHeight="1">
      <c r="A229" s="13">
        <v>48122</v>
      </c>
      <c r="B229" s="8">
        <f>CHOOSE( CONTROL!$C$33, 7.9352, 7.9341) * CHOOSE(CONTROL!$C$16, $D$10, 100%, $F$10)</f>
        <v>7.9352</v>
      </c>
      <c r="C229" s="8">
        <f>CHOOSE( CONTROL!$C$33, 7.9406, 7.9395) * CHOOSE(CONTROL!$C$16, $D$10, 100%, $F$10)</f>
        <v>7.9405999999999999</v>
      </c>
      <c r="D229" s="8">
        <f>CHOOSE( CONTROL!$C$33, 7.9694, 7.9682) * CHOOSE( CONTROL!$C$16, $D$10, 100%, $F$10)</f>
        <v>7.9694000000000003</v>
      </c>
      <c r="E229" s="12">
        <f>CHOOSE( CONTROL!$C$33, 7.9593, 7.9582) * CHOOSE( CONTROL!$C$16, $D$10, 100%, $F$10)</f>
        <v>7.9592999999999998</v>
      </c>
      <c r="F229" s="4">
        <f>CHOOSE( CONTROL!$C$33, 8.7139, 8.7128) * CHOOSE(CONTROL!$C$16, $D$10, 100%, $F$10)</f>
        <v>8.7139000000000006</v>
      </c>
      <c r="G229" s="8">
        <f>CHOOSE( CONTROL!$C$33, 7.8876, 7.8865) * CHOOSE( CONTROL!$C$16, $D$10, 100%, $F$10)</f>
        <v>7.8875999999999999</v>
      </c>
      <c r="H229" s="4">
        <f>CHOOSE( CONTROL!$C$33, 8.8662, 8.8651) * CHOOSE(CONTROL!$C$16, $D$10, 100%, $F$10)</f>
        <v>8.8661999999999992</v>
      </c>
      <c r="I229" s="8">
        <f>CHOOSE( CONTROL!$C$33, 7.8212, 7.8201) * CHOOSE(CONTROL!$C$16, $D$10, 100%, $F$10)</f>
        <v>7.8212000000000002</v>
      </c>
      <c r="J229" s="4">
        <f>CHOOSE( CONTROL!$C$33, 7.7, 7.6989) * CHOOSE(CONTROL!$C$16, $D$10, 100%, $F$10)</f>
        <v>7.7</v>
      </c>
      <c r="K229" s="4"/>
      <c r="L229" s="9">
        <v>31.095300000000002</v>
      </c>
      <c r="M229" s="9">
        <v>12.063700000000001</v>
      </c>
      <c r="N229" s="9">
        <v>4.9444999999999997</v>
      </c>
      <c r="O229" s="9">
        <v>0.37409999999999999</v>
      </c>
      <c r="P229" s="9">
        <v>1.2927</v>
      </c>
      <c r="Q229" s="9">
        <v>31.026700000000002</v>
      </c>
      <c r="R229" s="9"/>
      <c r="S229" s="11"/>
    </row>
    <row r="230" spans="1:19" ht="15" customHeight="1">
      <c r="A230" s="13">
        <v>48153</v>
      </c>
      <c r="B230" s="8">
        <f>CHOOSE( CONTROL!$C$33, 8.5591, 8.5579) * CHOOSE(CONTROL!$C$16, $D$10, 100%, $F$10)</f>
        <v>8.5591000000000008</v>
      </c>
      <c r="C230" s="8">
        <f>CHOOSE( CONTROL!$C$33, 8.5642, 8.563) * CHOOSE(CONTROL!$C$16, $D$10, 100%, $F$10)</f>
        <v>8.5641999999999996</v>
      </c>
      <c r="D230" s="8">
        <f>CHOOSE( CONTROL!$C$33, 8.5438, 8.5427) * CHOOSE( CONTROL!$C$16, $D$10, 100%, $F$10)</f>
        <v>8.5437999999999992</v>
      </c>
      <c r="E230" s="12">
        <f>CHOOSE( CONTROL!$C$33, 8.5507, 8.5496) * CHOOSE( CONTROL!$C$16, $D$10, 100%, $F$10)</f>
        <v>8.5507000000000009</v>
      </c>
      <c r="F230" s="4">
        <f>CHOOSE( CONTROL!$C$33, 9.2219, 9.2208) * CHOOSE(CONTROL!$C$16, $D$10, 100%, $F$10)</f>
        <v>9.2218999999999998</v>
      </c>
      <c r="G230" s="8">
        <f>CHOOSE( CONTROL!$C$33, 8.4756, 8.4745) * CHOOSE( CONTROL!$C$16, $D$10, 100%, $F$10)</f>
        <v>8.4756</v>
      </c>
      <c r="H230" s="4">
        <f>CHOOSE( CONTROL!$C$33, 9.3671, 9.366) * CHOOSE(CONTROL!$C$16, $D$10, 100%, $F$10)</f>
        <v>9.3671000000000006</v>
      </c>
      <c r="I230" s="8">
        <f>CHOOSE( CONTROL!$C$33, 8.4737, 8.4726) * CHOOSE(CONTROL!$C$16, $D$10, 100%, $F$10)</f>
        <v>8.4736999999999991</v>
      </c>
      <c r="J230" s="4">
        <f>CHOOSE( CONTROL!$C$33, 8.3044, 8.3033) * CHOOSE(CONTROL!$C$16, $D$10, 100%, $F$10)</f>
        <v>8.3043999999999993</v>
      </c>
      <c r="K230" s="4"/>
      <c r="L230" s="9">
        <v>28.360600000000002</v>
      </c>
      <c r="M230" s="9">
        <v>11.6745</v>
      </c>
      <c r="N230" s="9">
        <v>4.7850000000000001</v>
      </c>
      <c r="O230" s="9">
        <v>0.36199999999999999</v>
      </c>
      <c r="P230" s="9">
        <v>1.2509999999999999</v>
      </c>
      <c r="Q230" s="9">
        <v>30.0258</v>
      </c>
      <c r="R230" s="9"/>
      <c r="S230" s="11"/>
    </row>
    <row r="231" spans="1:19" ht="15" customHeight="1">
      <c r="A231" s="13">
        <v>48183</v>
      </c>
      <c r="B231" s="8">
        <f>CHOOSE( CONTROL!$C$33, 8.5435, 8.5423) * CHOOSE(CONTROL!$C$16, $D$10, 100%, $F$10)</f>
        <v>8.5434999999999999</v>
      </c>
      <c r="C231" s="8">
        <f>CHOOSE( CONTROL!$C$33, 8.5486, 8.5474) * CHOOSE(CONTROL!$C$16, $D$10, 100%, $F$10)</f>
        <v>8.5486000000000004</v>
      </c>
      <c r="D231" s="8">
        <f>CHOOSE( CONTROL!$C$33, 8.5297, 8.5286) * CHOOSE( CONTROL!$C$16, $D$10, 100%, $F$10)</f>
        <v>8.5297000000000001</v>
      </c>
      <c r="E231" s="12">
        <f>CHOOSE( CONTROL!$C$33, 8.5361, 8.5349) * CHOOSE( CONTROL!$C$16, $D$10, 100%, $F$10)</f>
        <v>8.5360999999999994</v>
      </c>
      <c r="F231" s="4">
        <f>CHOOSE( CONTROL!$C$33, 9.2063, 9.2052) * CHOOSE(CONTROL!$C$16, $D$10, 100%, $F$10)</f>
        <v>9.2063000000000006</v>
      </c>
      <c r="G231" s="8">
        <f>CHOOSE( CONTROL!$C$33, 8.4613, 8.4602) * CHOOSE( CONTROL!$C$16, $D$10, 100%, $F$10)</f>
        <v>8.4612999999999996</v>
      </c>
      <c r="H231" s="4">
        <f>CHOOSE( CONTROL!$C$33, 9.3517, 9.3506) * CHOOSE(CONTROL!$C$16, $D$10, 100%, $F$10)</f>
        <v>9.3516999999999992</v>
      </c>
      <c r="I231" s="8">
        <f>CHOOSE( CONTROL!$C$33, 8.4631, 8.462) * CHOOSE(CONTROL!$C$16, $D$10, 100%, $F$10)</f>
        <v>8.4631000000000007</v>
      </c>
      <c r="J231" s="4">
        <f>CHOOSE( CONTROL!$C$33, 8.2893, 8.2882) * CHOOSE(CONTROL!$C$16, $D$10, 100%, $F$10)</f>
        <v>8.2893000000000008</v>
      </c>
      <c r="K231" s="4"/>
      <c r="L231" s="9">
        <v>29.306000000000001</v>
      </c>
      <c r="M231" s="9">
        <v>12.063700000000001</v>
      </c>
      <c r="N231" s="9">
        <v>4.9444999999999997</v>
      </c>
      <c r="O231" s="9">
        <v>0.37409999999999999</v>
      </c>
      <c r="P231" s="9">
        <v>1.2927</v>
      </c>
      <c r="Q231" s="9">
        <v>31.026700000000002</v>
      </c>
      <c r="R231" s="9"/>
      <c r="S231" s="11"/>
    </row>
    <row r="232" spans="1:19" ht="15" customHeight="1">
      <c r="A232" s="13">
        <v>48214</v>
      </c>
      <c r="B232" s="8">
        <f>CHOOSE( CONTROL!$C$33, 8.7959, 8.7948) * CHOOSE(CONTROL!$C$16, $D$10, 100%, $F$10)</f>
        <v>8.7958999999999996</v>
      </c>
      <c r="C232" s="8">
        <f>CHOOSE( CONTROL!$C$33, 8.801, 8.7999) * CHOOSE(CONTROL!$C$16, $D$10, 100%, $F$10)</f>
        <v>8.8010000000000002</v>
      </c>
      <c r="D232" s="8">
        <f>CHOOSE( CONTROL!$C$33, 8.7934, 8.7923) * CHOOSE( CONTROL!$C$16, $D$10, 100%, $F$10)</f>
        <v>8.7934000000000001</v>
      </c>
      <c r="E232" s="12">
        <f>CHOOSE( CONTROL!$C$33, 8.7956, 8.7945) * CHOOSE( CONTROL!$C$16, $D$10, 100%, $F$10)</f>
        <v>8.7956000000000003</v>
      </c>
      <c r="F232" s="4">
        <f>CHOOSE( CONTROL!$C$33, 9.4588, 9.4577) * CHOOSE(CONTROL!$C$16, $D$10, 100%, $F$10)</f>
        <v>9.4588000000000001</v>
      </c>
      <c r="G232" s="8">
        <f>CHOOSE( CONTROL!$C$33, 8.7161, 8.715) * CHOOSE( CONTROL!$C$16, $D$10, 100%, $F$10)</f>
        <v>8.7161000000000008</v>
      </c>
      <c r="H232" s="4">
        <f>CHOOSE( CONTROL!$C$33, 9.6007, 9.5996) * CHOOSE(CONTROL!$C$16, $D$10, 100%, $F$10)</f>
        <v>9.6006999999999998</v>
      </c>
      <c r="I232" s="8">
        <f>CHOOSE( CONTROL!$C$33, 8.699, 8.6979) * CHOOSE(CONTROL!$C$16, $D$10, 100%, $F$10)</f>
        <v>8.6989999999999998</v>
      </c>
      <c r="J232" s="4">
        <f>CHOOSE( CONTROL!$C$33, 8.5338, 8.5327) * CHOOSE(CONTROL!$C$16, $D$10, 100%, $F$10)</f>
        <v>8.5337999999999994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30.8704</v>
      </c>
      <c r="R232" s="9"/>
      <c r="S232" s="11"/>
    </row>
    <row r="233" spans="1:19" ht="15" customHeight="1">
      <c r="A233" s="13">
        <v>48245</v>
      </c>
      <c r="B233" s="8">
        <f>CHOOSE( CONTROL!$C$33, 8.2263, 8.2251) * CHOOSE(CONTROL!$C$16, $D$10, 100%, $F$10)</f>
        <v>8.2263000000000002</v>
      </c>
      <c r="C233" s="8">
        <f>CHOOSE( CONTROL!$C$33, 8.2314, 8.2302) * CHOOSE(CONTROL!$C$16, $D$10, 100%, $F$10)</f>
        <v>8.2314000000000007</v>
      </c>
      <c r="D233" s="8">
        <f>CHOOSE( CONTROL!$C$33, 8.2235, 8.2224) * CHOOSE( CONTROL!$C$16, $D$10, 100%, $F$10)</f>
        <v>8.2234999999999996</v>
      </c>
      <c r="E233" s="12">
        <f>CHOOSE( CONTROL!$C$33, 8.2258, 8.2247) * CHOOSE( CONTROL!$C$16, $D$10, 100%, $F$10)</f>
        <v>8.2257999999999996</v>
      </c>
      <c r="F233" s="4">
        <f>CHOOSE( CONTROL!$C$33, 8.8891, 8.888) * CHOOSE(CONTROL!$C$16, $D$10, 100%, $F$10)</f>
        <v>8.8890999999999991</v>
      </c>
      <c r="G233" s="8">
        <f>CHOOSE( CONTROL!$C$33, 8.1542, 8.1531) * CHOOSE( CONTROL!$C$16, $D$10, 100%, $F$10)</f>
        <v>8.1541999999999994</v>
      </c>
      <c r="H233" s="4">
        <f>CHOOSE( CONTROL!$C$33, 9.039, 9.0378) * CHOOSE(CONTROL!$C$16, $D$10, 100%, $F$10)</f>
        <v>9.0389999999999997</v>
      </c>
      <c r="I233" s="8">
        <f>CHOOSE( CONTROL!$C$33, 8.1465, 8.1454) * CHOOSE(CONTROL!$C$16, $D$10, 100%, $F$10)</f>
        <v>8.1464999999999996</v>
      </c>
      <c r="J233" s="4">
        <f>CHOOSE( CONTROL!$C$33, 7.9821, 7.9811) * CHOOSE(CONTROL!$C$16, $D$10, 100%, $F$10)</f>
        <v>7.9821</v>
      </c>
      <c r="K233" s="4"/>
      <c r="L233" s="9">
        <v>27.415299999999998</v>
      </c>
      <c r="M233" s="9">
        <v>11.285299999999999</v>
      </c>
      <c r="N233" s="9">
        <v>4.6254999999999997</v>
      </c>
      <c r="O233" s="9">
        <v>0.34989999999999999</v>
      </c>
      <c r="P233" s="9">
        <v>1.2093</v>
      </c>
      <c r="Q233" s="9">
        <v>28.878799999999998</v>
      </c>
      <c r="R233" s="9"/>
      <c r="S233" s="11"/>
    </row>
    <row r="234" spans="1:19" ht="15" customHeight="1">
      <c r="A234" s="13">
        <v>48274</v>
      </c>
      <c r="B234" s="8">
        <f>CHOOSE( CONTROL!$C$33, 8.0508, 8.0497) * CHOOSE(CONTROL!$C$16, $D$10, 100%, $F$10)</f>
        <v>8.0508000000000006</v>
      </c>
      <c r="C234" s="8">
        <f>CHOOSE( CONTROL!$C$33, 8.0559, 8.0548) * CHOOSE(CONTROL!$C$16, $D$10, 100%, $F$10)</f>
        <v>8.0558999999999994</v>
      </c>
      <c r="D234" s="8">
        <f>CHOOSE( CONTROL!$C$33, 8.0473, 8.0462) * CHOOSE( CONTROL!$C$16, $D$10, 100%, $F$10)</f>
        <v>8.0472999999999999</v>
      </c>
      <c r="E234" s="12">
        <f>CHOOSE( CONTROL!$C$33, 8.0499, 8.0488) * CHOOSE( CONTROL!$C$16, $D$10, 100%, $F$10)</f>
        <v>8.0498999999999992</v>
      </c>
      <c r="F234" s="4">
        <f>CHOOSE( CONTROL!$C$33, 8.7137, 8.7125) * CHOOSE(CONTROL!$C$16, $D$10, 100%, $F$10)</f>
        <v>8.7136999999999993</v>
      </c>
      <c r="G234" s="8">
        <f>CHOOSE( CONTROL!$C$33, 7.9807, 7.9796) * CHOOSE( CONTROL!$C$16, $D$10, 100%, $F$10)</f>
        <v>7.9806999999999997</v>
      </c>
      <c r="H234" s="4">
        <f>CHOOSE( CONTROL!$C$33, 8.8659, 8.8648) * CHOOSE(CONTROL!$C$16, $D$10, 100%, $F$10)</f>
        <v>8.8658999999999999</v>
      </c>
      <c r="I234" s="8">
        <f>CHOOSE( CONTROL!$C$33, 7.9742, 7.9732) * CHOOSE(CONTROL!$C$16, $D$10, 100%, $F$10)</f>
        <v>7.9741999999999997</v>
      </c>
      <c r="J234" s="4">
        <f>CHOOSE( CONTROL!$C$33, 7.8122, 7.8112) * CHOOSE(CONTROL!$C$16, $D$10, 100%, $F$10)</f>
        <v>7.8121999999999998</v>
      </c>
      <c r="K234" s="4"/>
      <c r="L234" s="9">
        <v>29.306000000000001</v>
      </c>
      <c r="M234" s="9">
        <v>12.063700000000001</v>
      </c>
      <c r="N234" s="9">
        <v>4.9444999999999997</v>
      </c>
      <c r="O234" s="9">
        <v>0.37409999999999999</v>
      </c>
      <c r="P234" s="9">
        <v>1.2927</v>
      </c>
      <c r="Q234" s="9">
        <v>30.8704</v>
      </c>
      <c r="R234" s="9"/>
      <c r="S234" s="11"/>
    </row>
    <row r="235" spans="1:19" ht="15" customHeight="1">
      <c r="A235" s="13">
        <v>48305</v>
      </c>
      <c r="B235" s="8">
        <f>CHOOSE( CONTROL!$C$33, 8.1742, 8.173) * CHOOSE(CONTROL!$C$16, $D$10, 100%, $F$10)</f>
        <v>8.1742000000000008</v>
      </c>
      <c r="C235" s="8">
        <f>CHOOSE( CONTROL!$C$33, 8.1787, 8.1776) * CHOOSE(CONTROL!$C$16, $D$10, 100%, $F$10)</f>
        <v>8.1786999999999992</v>
      </c>
      <c r="D235" s="8">
        <f>CHOOSE( CONTROL!$C$33, 8.2076, 8.2064) * CHOOSE( CONTROL!$C$16, $D$10, 100%, $F$10)</f>
        <v>8.2075999999999993</v>
      </c>
      <c r="E235" s="12">
        <f>CHOOSE( CONTROL!$C$33, 8.1975, 8.1964) * CHOOSE( CONTROL!$C$16, $D$10, 100%, $F$10)</f>
        <v>8.1974999999999998</v>
      </c>
      <c r="F235" s="4">
        <f>CHOOSE( CONTROL!$C$33, 8.9525, 8.9513) * CHOOSE(CONTROL!$C$16, $D$10, 100%, $F$10)</f>
        <v>8.9525000000000006</v>
      </c>
      <c r="G235" s="8">
        <f>CHOOSE( CONTROL!$C$33, 8.1225, 8.1214) * CHOOSE( CONTROL!$C$16, $D$10, 100%, $F$10)</f>
        <v>8.1225000000000005</v>
      </c>
      <c r="H235" s="4">
        <f>CHOOSE( CONTROL!$C$33, 9.1014, 9.1003) * CHOOSE(CONTROL!$C$16, $D$10, 100%, $F$10)</f>
        <v>9.1013999999999999</v>
      </c>
      <c r="I235" s="8">
        <f>CHOOSE( CONTROL!$C$33, 8.051, 8.0499) * CHOOSE(CONTROL!$C$16, $D$10, 100%, $F$10)</f>
        <v>8.0510000000000002</v>
      </c>
      <c r="J235" s="4">
        <f>CHOOSE( CONTROL!$C$33, 7.931, 7.9299) * CHOOSE(CONTROL!$C$16, $D$10, 100%, $F$10)</f>
        <v>7.931</v>
      </c>
      <c r="K235" s="4"/>
      <c r="L235" s="9">
        <v>30.092199999999998</v>
      </c>
      <c r="M235" s="9">
        <v>11.6745</v>
      </c>
      <c r="N235" s="9">
        <v>4.7850000000000001</v>
      </c>
      <c r="O235" s="9">
        <v>0.36199999999999999</v>
      </c>
      <c r="P235" s="9">
        <v>1.2509999999999999</v>
      </c>
      <c r="Q235" s="9">
        <v>29.874600000000001</v>
      </c>
      <c r="R235" s="9"/>
      <c r="S235" s="11"/>
    </row>
    <row r="236" spans="1:19" ht="15" customHeight="1">
      <c r="A236" s="13">
        <v>48335</v>
      </c>
      <c r="B236" s="8">
        <f>CHOOSE( CONTROL!$C$33, 8.3942, 8.3926) * CHOOSE(CONTROL!$C$16, $D$10, 100%, $F$10)</f>
        <v>8.3941999999999997</v>
      </c>
      <c r="C236" s="8">
        <f>CHOOSE( CONTROL!$C$33, 8.4022, 8.4006) * CHOOSE(CONTROL!$C$16, $D$10, 100%, $F$10)</f>
        <v>8.4022000000000006</v>
      </c>
      <c r="D236" s="8">
        <f>CHOOSE( CONTROL!$C$33, 8.4244, 8.4229) * CHOOSE( CONTROL!$C$16, $D$10, 100%, $F$10)</f>
        <v>8.4244000000000003</v>
      </c>
      <c r="E236" s="12">
        <f>CHOOSE( CONTROL!$C$33, 8.4151, 8.4136) * CHOOSE( CONTROL!$C$16, $D$10, 100%, $F$10)</f>
        <v>8.4151000000000007</v>
      </c>
      <c r="F236" s="4">
        <f>CHOOSE( CONTROL!$C$33, 9.1711, 9.1695) * CHOOSE(CONTROL!$C$16, $D$10, 100%, $F$10)</f>
        <v>9.1710999999999991</v>
      </c>
      <c r="G236" s="8">
        <f>CHOOSE( CONTROL!$C$33, 8.3381, 8.3365) * CHOOSE( CONTROL!$C$16, $D$10, 100%, $F$10)</f>
        <v>8.3381000000000007</v>
      </c>
      <c r="H236" s="4">
        <f>CHOOSE( CONTROL!$C$33, 9.317, 9.3155) * CHOOSE(CONTROL!$C$16, $D$10, 100%, $F$10)</f>
        <v>9.3170000000000002</v>
      </c>
      <c r="I236" s="8">
        <f>CHOOSE( CONTROL!$C$33, 8.2625, 8.2609) * CHOOSE(CONTROL!$C$16, $D$10, 100%, $F$10)</f>
        <v>8.2624999999999993</v>
      </c>
      <c r="J236" s="4">
        <f>CHOOSE( CONTROL!$C$33, 8.1427, 8.1412) * CHOOSE(CONTROL!$C$16, $D$10, 100%, $F$10)</f>
        <v>8.1426999999999996</v>
      </c>
      <c r="K236" s="4"/>
      <c r="L236" s="9">
        <v>30.7165</v>
      </c>
      <c r="M236" s="9">
        <v>12.063700000000001</v>
      </c>
      <c r="N236" s="9">
        <v>4.9444999999999997</v>
      </c>
      <c r="O236" s="9">
        <v>0.37409999999999999</v>
      </c>
      <c r="P236" s="9">
        <v>1.2927</v>
      </c>
      <c r="Q236" s="9">
        <v>30.8704</v>
      </c>
      <c r="R236" s="9"/>
      <c r="S236" s="11"/>
    </row>
    <row r="237" spans="1:19" ht="15" customHeight="1">
      <c r="A237" s="13">
        <v>48366</v>
      </c>
      <c r="B237" s="8">
        <f>CHOOSE( CONTROL!$C$33, 8.259, 8.2574) * CHOOSE(CONTROL!$C$16, $D$10, 100%, $F$10)</f>
        <v>8.2590000000000003</v>
      </c>
      <c r="C237" s="8">
        <f>CHOOSE( CONTROL!$C$33, 8.267, 8.2654) * CHOOSE(CONTROL!$C$16, $D$10, 100%, $F$10)</f>
        <v>8.2669999999999995</v>
      </c>
      <c r="D237" s="8">
        <f>CHOOSE( CONTROL!$C$33, 8.2894, 8.2878) * CHOOSE( CONTROL!$C$16, $D$10, 100%, $F$10)</f>
        <v>8.2894000000000005</v>
      </c>
      <c r="E237" s="12">
        <f>CHOOSE( CONTROL!$C$33, 8.2801, 8.2785) * CHOOSE( CONTROL!$C$16, $D$10, 100%, $F$10)</f>
        <v>8.2800999999999991</v>
      </c>
      <c r="F237" s="4">
        <f>CHOOSE( CONTROL!$C$33, 9.0359, 9.0344) * CHOOSE(CONTROL!$C$16, $D$10, 100%, $F$10)</f>
        <v>9.0358999999999998</v>
      </c>
      <c r="G237" s="8">
        <f>CHOOSE( CONTROL!$C$33, 8.2049, 8.2034) * CHOOSE( CONTROL!$C$16, $D$10, 100%, $F$10)</f>
        <v>8.2049000000000003</v>
      </c>
      <c r="H237" s="4">
        <f>CHOOSE( CONTROL!$C$33, 9.1837, 9.1822) * CHOOSE(CONTROL!$C$16, $D$10, 100%, $F$10)</f>
        <v>9.1837</v>
      </c>
      <c r="I237" s="8">
        <f>CHOOSE( CONTROL!$C$33, 8.1321, 8.1306) * CHOOSE(CONTROL!$C$16, $D$10, 100%, $F$10)</f>
        <v>8.1320999999999994</v>
      </c>
      <c r="J237" s="4">
        <f>CHOOSE( CONTROL!$C$33, 8.0118, 8.0103) * CHOOSE(CONTROL!$C$16, $D$10, 100%, $F$10)</f>
        <v>8.0117999999999991</v>
      </c>
      <c r="K237" s="4"/>
      <c r="L237" s="9">
        <v>29.7257</v>
      </c>
      <c r="M237" s="9">
        <v>11.6745</v>
      </c>
      <c r="N237" s="9">
        <v>4.7850000000000001</v>
      </c>
      <c r="O237" s="9">
        <v>0.36199999999999999</v>
      </c>
      <c r="P237" s="9">
        <v>1.2509999999999999</v>
      </c>
      <c r="Q237" s="9">
        <v>29.874600000000001</v>
      </c>
      <c r="R237" s="9"/>
      <c r="S237" s="11"/>
    </row>
    <row r="238" spans="1:19" ht="15" customHeight="1">
      <c r="A238" s="13">
        <v>48396</v>
      </c>
      <c r="B238" s="8">
        <f>CHOOSE( CONTROL!$C$33, 8.615, 8.6134) * CHOOSE(CONTROL!$C$16, $D$10, 100%, $F$10)</f>
        <v>8.6150000000000002</v>
      </c>
      <c r="C238" s="8">
        <f>CHOOSE( CONTROL!$C$33, 8.623, 8.6214) * CHOOSE(CONTROL!$C$16, $D$10, 100%, $F$10)</f>
        <v>8.6229999999999993</v>
      </c>
      <c r="D238" s="8">
        <f>CHOOSE( CONTROL!$C$33, 8.6456, 8.644) * CHOOSE( CONTROL!$C$16, $D$10, 100%, $F$10)</f>
        <v>8.6456</v>
      </c>
      <c r="E238" s="12">
        <f>CHOOSE( CONTROL!$C$33, 8.6362, 8.6346) * CHOOSE( CONTROL!$C$16, $D$10, 100%, $F$10)</f>
        <v>8.6362000000000005</v>
      </c>
      <c r="F238" s="4">
        <f>CHOOSE( CONTROL!$C$33, 9.3919, 9.3903) * CHOOSE(CONTROL!$C$16, $D$10, 100%, $F$10)</f>
        <v>9.3918999999999997</v>
      </c>
      <c r="G238" s="8">
        <f>CHOOSE( CONTROL!$C$33, 8.5561, 8.5545) * CHOOSE( CONTROL!$C$16, $D$10, 100%, $F$10)</f>
        <v>8.5561000000000007</v>
      </c>
      <c r="H238" s="4">
        <f>CHOOSE( CONTROL!$C$33, 9.5347, 9.5332) * CHOOSE(CONTROL!$C$16, $D$10, 100%, $F$10)</f>
        <v>9.5347000000000008</v>
      </c>
      <c r="I238" s="8">
        <f>CHOOSE( CONTROL!$C$33, 8.4777, 8.4762) * CHOOSE(CONTROL!$C$16, $D$10, 100%, $F$10)</f>
        <v>8.4777000000000005</v>
      </c>
      <c r="J238" s="4">
        <f>CHOOSE( CONTROL!$C$33, 8.3565, 8.355) * CHOOSE(CONTROL!$C$16, $D$10, 100%, $F$10)</f>
        <v>8.3565000000000005</v>
      </c>
      <c r="K238" s="4"/>
      <c r="L238" s="9">
        <v>30.7165</v>
      </c>
      <c r="M238" s="9">
        <v>12.063700000000001</v>
      </c>
      <c r="N238" s="9">
        <v>4.9444999999999997</v>
      </c>
      <c r="O238" s="9">
        <v>0.37409999999999999</v>
      </c>
      <c r="P238" s="9">
        <v>1.2927</v>
      </c>
      <c r="Q238" s="9">
        <v>30.8704</v>
      </c>
      <c r="R238" s="9"/>
      <c r="S238" s="11"/>
    </row>
    <row r="239" spans="1:19" ht="15" customHeight="1">
      <c r="A239" s="13">
        <v>48427</v>
      </c>
      <c r="B239" s="8">
        <f>CHOOSE( CONTROL!$C$33, 7.9489, 7.9474) * CHOOSE(CONTROL!$C$16, $D$10, 100%, $F$10)</f>
        <v>7.9489000000000001</v>
      </c>
      <c r="C239" s="8">
        <f>CHOOSE( CONTROL!$C$33, 7.9569, 7.9554) * CHOOSE(CONTROL!$C$16, $D$10, 100%, $F$10)</f>
        <v>7.9569000000000001</v>
      </c>
      <c r="D239" s="8">
        <f>CHOOSE( CONTROL!$C$33, 7.9796, 7.978) * CHOOSE( CONTROL!$C$16, $D$10, 100%, $F$10)</f>
        <v>7.9795999999999996</v>
      </c>
      <c r="E239" s="12">
        <f>CHOOSE( CONTROL!$C$33, 7.9702, 7.9686) * CHOOSE( CONTROL!$C$16, $D$10, 100%, $F$10)</f>
        <v>7.9702000000000002</v>
      </c>
      <c r="F239" s="4">
        <f>CHOOSE( CONTROL!$C$33, 8.7259, 8.7243) * CHOOSE(CONTROL!$C$16, $D$10, 100%, $F$10)</f>
        <v>8.7258999999999993</v>
      </c>
      <c r="G239" s="8">
        <f>CHOOSE( CONTROL!$C$33, 7.8994, 7.8978) * CHOOSE( CONTROL!$C$16, $D$10, 100%, $F$10)</f>
        <v>7.8994</v>
      </c>
      <c r="H239" s="4">
        <f>CHOOSE( CONTROL!$C$33, 8.878, 8.8764) * CHOOSE(CONTROL!$C$16, $D$10, 100%, $F$10)</f>
        <v>8.8780000000000001</v>
      </c>
      <c r="I239" s="8">
        <f>CHOOSE( CONTROL!$C$33, 7.8326, 7.8311) * CHOOSE(CONTROL!$C$16, $D$10, 100%, $F$10)</f>
        <v>7.8326000000000002</v>
      </c>
      <c r="J239" s="4">
        <f>CHOOSE( CONTROL!$C$33, 7.7115, 7.71) * CHOOSE(CONTROL!$C$16, $D$10, 100%, $F$10)</f>
        <v>7.7115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1.2927</v>
      </c>
      <c r="Q239" s="9">
        <v>30.8704</v>
      </c>
      <c r="R239" s="9"/>
      <c r="S239" s="11"/>
    </row>
    <row r="240" spans="1:19" ht="15" customHeight="1">
      <c r="A240" s="13">
        <v>48458</v>
      </c>
      <c r="B240" s="8">
        <f>CHOOSE( CONTROL!$C$33, 7.7821, 7.7806) * CHOOSE(CONTROL!$C$16, $D$10, 100%, $F$10)</f>
        <v>7.7820999999999998</v>
      </c>
      <c r="C240" s="8">
        <f>CHOOSE( CONTROL!$C$33, 7.7901, 7.7886) * CHOOSE(CONTROL!$C$16, $D$10, 100%, $F$10)</f>
        <v>7.7900999999999998</v>
      </c>
      <c r="D240" s="8">
        <f>CHOOSE( CONTROL!$C$33, 7.8127, 7.8111) * CHOOSE( CONTROL!$C$16, $D$10, 100%, $F$10)</f>
        <v>7.8127000000000004</v>
      </c>
      <c r="E240" s="12">
        <f>CHOOSE( CONTROL!$C$33, 7.8033, 7.8017) * CHOOSE( CONTROL!$C$16, $D$10, 100%, $F$10)</f>
        <v>7.8033000000000001</v>
      </c>
      <c r="F240" s="4">
        <f>CHOOSE( CONTROL!$C$33, 8.5591, 8.5575) * CHOOSE(CONTROL!$C$16, $D$10, 100%, $F$10)</f>
        <v>8.5591000000000008</v>
      </c>
      <c r="G240" s="8">
        <f>CHOOSE( CONTROL!$C$33, 7.7348, 7.7333) * CHOOSE( CONTROL!$C$16, $D$10, 100%, $F$10)</f>
        <v>7.7347999999999999</v>
      </c>
      <c r="H240" s="4">
        <f>CHOOSE( CONTROL!$C$33, 8.7135, 8.712) * CHOOSE(CONTROL!$C$16, $D$10, 100%, $F$10)</f>
        <v>8.7134999999999998</v>
      </c>
      <c r="I240" s="8">
        <f>CHOOSE( CONTROL!$C$33, 7.6706, 7.6691) * CHOOSE(CONTROL!$C$16, $D$10, 100%, $F$10)</f>
        <v>7.6706000000000003</v>
      </c>
      <c r="J240" s="4">
        <f>CHOOSE( CONTROL!$C$33, 7.55, 7.5485) * CHOOSE(CONTROL!$C$16, $D$10, 100%, $F$10)</f>
        <v>7.55</v>
      </c>
      <c r="K240" s="4"/>
      <c r="L240" s="9">
        <v>29.7257</v>
      </c>
      <c r="M240" s="9">
        <v>11.6745</v>
      </c>
      <c r="N240" s="9">
        <v>4.7850000000000001</v>
      </c>
      <c r="O240" s="9">
        <v>0.36199999999999999</v>
      </c>
      <c r="P240" s="9">
        <v>1.2509999999999999</v>
      </c>
      <c r="Q240" s="9">
        <v>29.874600000000001</v>
      </c>
      <c r="R240" s="9"/>
      <c r="S240" s="11"/>
    </row>
    <row r="241" spans="1:19" ht="15" customHeight="1">
      <c r="A241" s="13">
        <v>48488</v>
      </c>
      <c r="B241" s="8">
        <f>CHOOSE( CONTROL!$C$33, 8.1263, 8.1252) * CHOOSE(CONTROL!$C$16, $D$10, 100%, $F$10)</f>
        <v>8.1263000000000005</v>
      </c>
      <c r="C241" s="8">
        <f>CHOOSE( CONTROL!$C$33, 8.1316, 8.1305) * CHOOSE(CONTROL!$C$16, $D$10, 100%, $F$10)</f>
        <v>8.1316000000000006</v>
      </c>
      <c r="D241" s="8">
        <f>CHOOSE( CONTROL!$C$33, 8.1604, 8.1593) * CHOOSE( CONTROL!$C$16, $D$10, 100%, $F$10)</f>
        <v>8.1603999999999992</v>
      </c>
      <c r="E241" s="12">
        <f>CHOOSE( CONTROL!$C$33, 8.1503, 8.1492) * CHOOSE( CONTROL!$C$16, $D$10, 100%, $F$10)</f>
        <v>8.1502999999999997</v>
      </c>
      <c r="F241" s="4">
        <f>CHOOSE( CONTROL!$C$33, 8.9049, 8.9038) * CHOOSE(CONTROL!$C$16, $D$10, 100%, $F$10)</f>
        <v>8.9048999999999996</v>
      </c>
      <c r="G241" s="8">
        <f>CHOOSE( CONTROL!$C$33, 8.0759, 8.0748) * CHOOSE( CONTROL!$C$16, $D$10, 100%, $F$10)</f>
        <v>8.0759000000000007</v>
      </c>
      <c r="H241" s="4">
        <f>CHOOSE( CONTROL!$C$33, 9.0545, 9.0534) * CHOOSE(CONTROL!$C$16, $D$10, 100%, $F$10)</f>
        <v>9.0545000000000009</v>
      </c>
      <c r="I241" s="8">
        <f>CHOOSE( CONTROL!$C$33, 8.0063, 8.0052) * CHOOSE(CONTROL!$C$16, $D$10, 100%, $F$10)</f>
        <v>8.0062999999999995</v>
      </c>
      <c r="J241" s="4">
        <f>CHOOSE( CONTROL!$C$33, 7.8849, 7.8839) * CHOOSE(CONTROL!$C$16, $D$10, 100%, $F$10)</f>
        <v>7.8849</v>
      </c>
      <c r="K241" s="4"/>
      <c r="L241" s="9">
        <v>31.095300000000002</v>
      </c>
      <c r="M241" s="9">
        <v>12.063700000000001</v>
      </c>
      <c r="N241" s="9">
        <v>4.9444999999999997</v>
      </c>
      <c r="O241" s="9">
        <v>0.37409999999999999</v>
      </c>
      <c r="P241" s="9">
        <v>1.2927</v>
      </c>
      <c r="Q241" s="9">
        <v>30.8704</v>
      </c>
      <c r="R241" s="9"/>
      <c r="S241" s="11"/>
    </row>
    <row r="242" spans="1:19" ht="15" customHeight="1">
      <c r="A242" s="13">
        <v>48519</v>
      </c>
      <c r="B242" s="8">
        <f>CHOOSE( CONTROL!$C$33, 8.7651, 8.764) * CHOOSE(CONTROL!$C$16, $D$10, 100%, $F$10)</f>
        <v>8.7651000000000003</v>
      </c>
      <c r="C242" s="8">
        <f>CHOOSE( CONTROL!$C$33, 8.7702, 8.7691) * CHOOSE(CONTROL!$C$16, $D$10, 100%, $F$10)</f>
        <v>8.7702000000000009</v>
      </c>
      <c r="D242" s="8">
        <f>CHOOSE( CONTROL!$C$33, 8.7499, 8.7487) * CHOOSE( CONTROL!$C$16, $D$10, 100%, $F$10)</f>
        <v>8.7499000000000002</v>
      </c>
      <c r="E242" s="12">
        <f>CHOOSE( CONTROL!$C$33, 8.7568, 8.7556) * CHOOSE( CONTROL!$C$16, $D$10, 100%, $F$10)</f>
        <v>8.7568000000000001</v>
      </c>
      <c r="F242" s="4">
        <f>CHOOSE( CONTROL!$C$33, 9.428, 9.4268) * CHOOSE(CONTROL!$C$16, $D$10, 100%, $F$10)</f>
        <v>9.4280000000000008</v>
      </c>
      <c r="G242" s="8">
        <f>CHOOSE( CONTROL!$C$33, 8.6788, 8.6777) * CHOOSE( CONTROL!$C$16, $D$10, 100%, $F$10)</f>
        <v>8.6788000000000007</v>
      </c>
      <c r="H242" s="4">
        <f>CHOOSE( CONTROL!$C$33, 9.5703, 9.5692) * CHOOSE(CONTROL!$C$16, $D$10, 100%, $F$10)</f>
        <v>9.5702999999999996</v>
      </c>
      <c r="I242" s="8">
        <f>CHOOSE( CONTROL!$C$33, 8.6733, 8.6722) * CHOOSE(CONTROL!$C$16, $D$10, 100%, $F$10)</f>
        <v>8.6732999999999993</v>
      </c>
      <c r="J242" s="4">
        <f>CHOOSE( CONTROL!$C$33, 8.5039, 8.5028) * CHOOSE(CONTROL!$C$16, $D$10, 100%, $F$10)</f>
        <v>8.5038999999999998</v>
      </c>
      <c r="K242" s="4"/>
      <c r="L242" s="9">
        <v>28.360600000000002</v>
      </c>
      <c r="M242" s="9">
        <v>11.6745</v>
      </c>
      <c r="N242" s="9">
        <v>4.7850000000000001</v>
      </c>
      <c r="O242" s="9">
        <v>0.36199999999999999</v>
      </c>
      <c r="P242" s="9">
        <v>1.2509999999999999</v>
      </c>
      <c r="Q242" s="9">
        <v>29.874600000000001</v>
      </c>
      <c r="R242" s="9"/>
      <c r="S242" s="11"/>
    </row>
    <row r="243" spans="1:19" ht="15" customHeight="1">
      <c r="A243" s="13">
        <v>48549</v>
      </c>
      <c r="B243" s="8">
        <f>CHOOSE( CONTROL!$C$33, 8.7491, 8.748) * CHOOSE(CONTROL!$C$16, $D$10, 100%, $F$10)</f>
        <v>8.7491000000000003</v>
      </c>
      <c r="C243" s="8">
        <f>CHOOSE( CONTROL!$C$33, 8.7542, 8.7531) * CHOOSE(CONTROL!$C$16, $D$10, 100%, $F$10)</f>
        <v>8.7542000000000009</v>
      </c>
      <c r="D243" s="8">
        <f>CHOOSE( CONTROL!$C$33, 8.7354, 8.7342) * CHOOSE( CONTROL!$C$16, $D$10, 100%, $F$10)</f>
        <v>8.7354000000000003</v>
      </c>
      <c r="E243" s="12">
        <f>CHOOSE( CONTROL!$C$33, 8.7417, 8.7406) * CHOOSE( CONTROL!$C$16, $D$10, 100%, $F$10)</f>
        <v>8.7416999999999998</v>
      </c>
      <c r="F243" s="4">
        <f>CHOOSE( CONTROL!$C$33, 9.412, 9.4109) * CHOOSE(CONTROL!$C$16, $D$10, 100%, $F$10)</f>
        <v>9.4120000000000008</v>
      </c>
      <c r="G243" s="8">
        <f>CHOOSE( CONTROL!$C$33, 8.6641, 8.663) * CHOOSE( CONTROL!$C$16, $D$10, 100%, $F$10)</f>
        <v>8.6640999999999995</v>
      </c>
      <c r="H243" s="4">
        <f>CHOOSE( CONTROL!$C$33, 9.5545, 9.5534) * CHOOSE(CONTROL!$C$16, $D$10, 100%, $F$10)</f>
        <v>9.5545000000000009</v>
      </c>
      <c r="I243" s="8">
        <f>CHOOSE( CONTROL!$C$33, 8.6624, 8.6613) * CHOOSE(CONTROL!$C$16, $D$10, 100%, $F$10)</f>
        <v>8.6623999999999999</v>
      </c>
      <c r="J243" s="4">
        <f>CHOOSE( CONTROL!$C$33, 8.4884, 8.4873) * CHOOSE(CONTROL!$C$16, $D$10, 100%, $F$10)</f>
        <v>8.4884000000000004</v>
      </c>
      <c r="K243" s="4"/>
      <c r="L243" s="9">
        <v>29.306000000000001</v>
      </c>
      <c r="M243" s="9">
        <v>12.063700000000001</v>
      </c>
      <c r="N243" s="9">
        <v>4.9444999999999997</v>
      </c>
      <c r="O243" s="9">
        <v>0.37409999999999999</v>
      </c>
      <c r="P243" s="9">
        <v>1.2927</v>
      </c>
      <c r="Q243" s="9">
        <v>30.8704</v>
      </c>
      <c r="R243" s="9"/>
      <c r="S243" s="11"/>
    </row>
    <row r="244" spans="1:19" ht="15" customHeight="1">
      <c r="A244" s="13">
        <v>48580</v>
      </c>
      <c r="B244" s="8">
        <f>CHOOSE( CONTROL!$C$33, 9.0077, 9.0065) * CHOOSE(CONTROL!$C$16, $D$10, 100%, $F$10)</f>
        <v>9.0076999999999998</v>
      </c>
      <c r="C244" s="8">
        <f>CHOOSE( CONTROL!$C$33, 9.0128, 9.0116) * CHOOSE(CONTROL!$C$16, $D$10, 100%, $F$10)</f>
        <v>9.0128000000000004</v>
      </c>
      <c r="D244" s="8">
        <f>CHOOSE( CONTROL!$C$33, 9.0051, 9.004) * CHOOSE( CONTROL!$C$16, $D$10, 100%, $F$10)</f>
        <v>9.0051000000000005</v>
      </c>
      <c r="E244" s="12">
        <f>CHOOSE( CONTROL!$C$33, 9.0074, 9.0062) * CHOOSE( CONTROL!$C$16, $D$10, 100%, $F$10)</f>
        <v>9.0074000000000005</v>
      </c>
      <c r="F244" s="4">
        <f>CHOOSE( CONTROL!$C$33, 9.6705, 9.6694) * CHOOSE(CONTROL!$C$16, $D$10, 100%, $F$10)</f>
        <v>9.6705000000000005</v>
      </c>
      <c r="G244" s="8">
        <f>CHOOSE( CONTROL!$C$33, 8.9249, 8.9237) * CHOOSE( CONTROL!$C$16, $D$10, 100%, $F$10)</f>
        <v>8.9248999999999992</v>
      </c>
      <c r="H244" s="4">
        <f>CHOOSE( CONTROL!$C$33, 9.8095, 9.8084) * CHOOSE(CONTROL!$C$16, $D$10, 100%, $F$10)</f>
        <v>9.8094999999999999</v>
      </c>
      <c r="I244" s="8">
        <f>CHOOSE( CONTROL!$C$33, 8.9041, 8.903) * CHOOSE(CONTROL!$C$16, $D$10, 100%, $F$10)</f>
        <v>8.9040999999999997</v>
      </c>
      <c r="J244" s="4">
        <f>CHOOSE( CONTROL!$C$33, 8.7388, 8.7377) * CHOOSE(CONTROL!$C$16, $D$10, 100%, $F$10)</f>
        <v>8.7387999999999995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30.773700000000002</v>
      </c>
      <c r="R244" s="9"/>
      <c r="S244" s="11"/>
    </row>
    <row r="245" spans="1:19" ht="15" customHeight="1">
      <c r="A245" s="13">
        <v>48611</v>
      </c>
      <c r="B245" s="8">
        <f>CHOOSE( CONTROL!$C$33, 8.4243, 8.4232) * CHOOSE(CONTROL!$C$16, $D$10, 100%, $F$10)</f>
        <v>8.4243000000000006</v>
      </c>
      <c r="C245" s="8">
        <f>CHOOSE( CONTROL!$C$33, 8.4294, 8.4283) * CHOOSE(CONTROL!$C$16, $D$10, 100%, $F$10)</f>
        <v>8.4293999999999993</v>
      </c>
      <c r="D245" s="8">
        <f>CHOOSE( CONTROL!$C$33, 8.4216, 8.4205) * CHOOSE( CONTROL!$C$16, $D$10, 100%, $F$10)</f>
        <v>8.4215999999999998</v>
      </c>
      <c r="E245" s="12">
        <f>CHOOSE( CONTROL!$C$33, 8.4239, 8.4228) * CHOOSE( CONTROL!$C$16, $D$10, 100%, $F$10)</f>
        <v>8.4238999999999997</v>
      </c>
      <c r="F245" s="4">
        <f>CHOOSE( CONTROL!$C$33, 9.0872, 9.086) * CHOOSE(CONTROL!$C$16, $D$10, 100%, $F$10)</f>
        <v>9.0871999999999993</v>
      </c>
      <c r="G245" s="8">
        <f>CHOOSE( CONTROL!$C$33, 8.3495, 8.3484) * CHOOSE( CONTROL!$C$16, $D$10, 100%, $F$10)</f>
        <v>8.3495000000000008</v>
      </c>
      <c r="H245" s="4">
        <f>CHOOSE( CONTROL!$C$33, 9.2342, 9.2331) * CHOOSE(CONTROL!$C$16, $D$10, 100%, $F$10)</f>
        <v>9.2341999999999995</v>
      </c>
      <c r="I245" s="8">
        <f>CHOOSE( CONTROL!$C$33, 8.3384, 8.3373) * CHOOSE(CONTROL!$C$16, $D$10, 100%, $F$10)</f>
        <v>8.3384</v>
      </c>
      <c r="J245" s="4">
        <f>CHOOSE( CONTROL!$C$33, 8.1739, 8.1728) * CHOOSE(CONTROL!$C$16, $D$10, 100%, $F$10)</f>
        <v>8.1738999999999997</v>
      </c>
      <c r="K245" s="4"/>
      <c r="L245" s="9">
        <v>26.469899999999999</v>
      </c>
      <c r="M245" s="9">
        <v>10.8962</v>
      </c>
      <c r="N245" s="9">
        <v>4.4660000000000002</v>
      </c>
      <c r="O245" s="9">
        <v>0.33789999999999998</v>
      </c>
      <c r="P245" s="9">
        <v>1.1676</v>
      </c>
      <c r="Q245" s="9">
        <v>27.7956</v>
      </c>
      <c r="R245" s="9"/>
      <c r="S245" s="11"/>
    </row>
    <row r="246" spans="1:19" ht="15" customHeight="1">
      <c r="A246" s="13">
        <v>48639</v>
      </c>
      <c r="B246" s="8">
        <f>CHOOSE( CONTROL!$C$33, 8.2446, 8.2435) * CHOOSE(CONTROL!$C$16, $D$10, 100%, $F$10)</f>
        <v>8.2446000000000002</v>
      </c>
      <c r="C246" s="8">
        <f>CHOOSE( CONTROL!$C$33, 8.2497, 8.2486) * CHOOSE(CONTROL!$C$16, $D$10, 100%, $F$10)</f>
        <v>8.2497000000000007</v>
      </c>
      <c r="D246" s="8">
        <f>CHOOSE( CONTROL!$C$33, 8.2412, 8.24) * CHOOSE( CONTROL!$C$16, $D$10, 100%, $F$10)</f>
        <v>8.2411999999999992</v>
      </c>
      <c r="E246" s="12">
        <f>CHOOSE( CONTROL!$C$33, 8.2438, 8.2426) * CHOOSE( CONTROL!$C$16, $D$10, 100%, $F$10)</f>
        <v>8.2438000000000002</v>
      </c>
      <c r="F246" s="4">
        <f>CHOOSE( CONTROL!$C$33, 8.9075, 8.9064) * CHOOSE(CONTROL!$C$16, $D$10, 100%, $F$10)</f>
        <v>8.9075000000000006</v>
      </c>
      <c r="G246" s="8">
        <f>CHOOSE( CONTROL!$C$33, 8.1718, 8.1707) * CHOOSE( CONTROL!$C$16, $D$10, 100%, $F$10)</f>
        <v>8.1717999999999993</v>
      </c>
      <c r="H246" s="4">
        <f>CHOOSE( CONTROL!$C$33, 9.0571, 9.056) * CHOOSE(CONTROL!$C$16, $D$10, 100%, $F$10)</f>
        <v>9.0571000000000002</v>
      </c>
      <c r="I246" s="8">
        <f>CHOOSE( CONTROL!$C$33, 8.162, 8.1609) * CHOOSE(CONTROL!$C$16, $D$10, 100%, $F$10)</f>
        <v>8.1620000000000008</v>
      </c>
      <c r="J246" s="4">
        <f>CHOOSE( CONTROL!$C$33, 7.9999, 7.9988) * CHOOSE(CONTROL!$C$16, $D$10, 100%, $F$10)</f>
        <v>7.9999000000000002</v>
      </c>
      <c r="K246" s="4"/>
      <c r="L246" s="9">
        <v>29.306000000000001</v>
      </c>
      <c r="M246" s="9">
        <v>12.063700000000001</v>
      </c>
      <c r="N246" s="9">
        <v>4.9444999999999997</v>
      </c>
      <c r="O246" s="9">
        <v>0.37409999999999999</v>
      </c>
      <c r="P246" s="9">
        <v>1.2927</v>
      </c>
      <c r="Q246" s="9">
        <v>30.773700000000002</v>
      </c>
      <c r="R246" s="9"/>
      <c r="S246" s="11"/>
    </row>
    <row r="247" spans="1:19" ht="15" customHeight="1">
      <c r="A247" s="13">
        <v>48670</v>
      </c>
      <c r="B247" s="8">
        <f>CHOOSE( CONTROL!$C$33, 8.3709, 8.3698) * CHOOSE(CONTROL!$C$16, $D$10, 100%, $F$10)</f>
        <v>8.3709000000000007</v>
      </c>
      <c r="C247" s="8">
        <f>CHOOSE( CONTROL!$C$33, 8.3755, 8.3743) * CHOOSE(CONTROL!$C$16, $D$10, 100%, $F$10)</f>
        <v>8.3755000000000006</v>
      </c>
      <c r="D247" s="8">
        <f>CHOOSE( CONTROL!$C$33, 8.4043, 8.4032) * CHOOSE( CONTROL!$C$16, $D$10, 100%, $F$10)</f>
        <v>8.4042999999999992</v>
      </c>
      <c r="E247" s="12">
        <f>CHOOSE( CONTROL!$C$33, 8.3943, 8.3931) * CHOOSE( CONTROL!$C$16, $D$10, 100%, $F$10)</f>
        <v>8.3942999999999994</v>
      </c>
      <c r="F247" s="4">
        <f>CHOOSE( CONTROL!$C$33, 9.1492, 9.1481) * CHOOSE(CONTROL!$C$16, $D$10, 100%, $F$10)</f>
        <v>9.1492000000000004</v>
      </c>
      <c r="G247" s="8">
        <f>CHOOSE( CONTROL!$C$33, 8.3165, 8.3154) * CHOOSE( CONTROL!$C$16, $D$10, 100%, $F$10)</f>
        <v>8.3164999999999996</v>
      </c>
      <c r="H247" s="4">
        <f>CHOOSE( CONTROL!$C$33, 9.2954, 9.2943) * CHOOSE(CONTROL!$C$16, $D$10, 100%, $F$10)</f>
        <v>9.2954000000000008</v>
      </c>
      <c r="I247" s="8">
        <f>CHOOSE( CONTROL!$C$33, 8.2416, 8.2406) * CHOOSE(CONTROL!$C$16, $D$10, 100%, $F$10)</f>
        <v>8.2416</v>
      </c>
      <c r="J247" s="4">
        <f>CHOOSE( CONTROL!$C$33, 8.1215, 8.1204) * CHOOSE(CONTROL!$C$16, $D$10, 100%, $F$10)</f>
        <v>8.1214999999999993</v>
      </c>
      <c r="K247" s="4"/>
      <c r="L247" s="9">
        <v>30.092199999999998</v>
      </c>
      <c r="M247" s="9">
        <v>11.6745</v>
      </c>
      <c r="N247" s="9">
        <v>4.7850000000000001</v>
      </c>
      <c r="O247" s="9">
        <v>0.36199999999999999</v>
      </c>
      <c r="P247" s="9">
        <v>1.2509999999999999</v>
      </c>
      <c r="Q247" s="9">
        <v>29.780999999999999</v>
      </c>
      <c r="R247" s="9"/>
      <c r="S247" s="11"/>
    </row>
    <row r="248" spans="1:19" ht="15" customHeight="1">
      <c r="A248" s="13">
        <v>48700</v>
      </c>
      <c r="B248" s="8">
        <f>CHOOSE( CONTROL!$C$33, 8.5962, 8.5946) * CHOOSE(CONTROL!$C$16, $D$10, 100%, $F$10)</f>
        <v>8.5961999999999996</v>
      </c>
      <c r="C248" s="8">
        <f>CHOOSE( CONTROL!$C$33, 8.6042, 8.6026) * CHOOSE(CONTROL!$C$16, $D$10, 100%, $F$10)</f>
        <v>8.6042000000000005</v>
      </c>
      <c r="D248" s="8">
        <f>CHOOSE( CONTROL!$C$33, 8.6264, 8.6249) * CHOOSE( CONTROL!$C$16, $D$10, 100%, $F$10)</f>
        <v>8.6264000000000003</v>
      </c>
      <c r="E248" s="12">
        <f>CHOOSE( CONTROL!$C$33, 8.6171, 8.6156) * CHOOSE( CONTROL!$C$16, $D$10, 100%, $F$10)</f>
        <v>8.6171000000000006</v>
      </c>
      <c r="F248" s="4">
        <f>CHOOSE( CONTROL!$C$33, 9.3731, 9.3716) * CHOOSE(CONTROL!$C$16, $D$10, 100%, $F$10)</f>
        <v>9.3731000000000009</v>
      </c>
      <c r="G248" s="8">
        <f>CHOOSE( CONTROL!$C$33, 8.5373, 8.5357) * CHOOSE( CONTROL!$C$16, $D$10, 100%, $F$10)</f>
        <v>8.5373000000000001</v>
      </c>
      <c r="H248" s="4">
        <f>CHOOSE( CONTROL!$C$33, 9.5162, 9.5147) * CHOOSE(CONTROL!$C$16, $D$10, 100%, $F$10)</f>
        <v>9.5161999999999995</v>
      </c>
      <c r="I248" s="8">
        <f>CHOOSE( CONTROL!$C$33, 8.4582, 8.4567) * CHOOSE(CONTROL!$C$16, $D$10, 100%, $F$10)</f>
        <v>8.4581999999999997</v>
      </c>
      <c r="J248" s="4">
        <f>CHOOSE( CONTROL!$C$33, 8.3383, 8.3368) * CHOOSE(CONTROL!$C$16, $D$10, 100%, $F$10)</f>
        <v>8.3383000000000003</v>
      </c>
      <c r="K248" s="4"/>
      <c r="L248" s="9">
        <v>30.7165</v>
      </c>
      <c r="M248" s="9">
        <v>12.063700000000001</v>
      </c>
      <c r="N248" s="9">
        <v>4.9444999999999997</v>
      </c>
      <c r="O248" s="9">
        <v>0.37409999999999999</v>
      </c>
      <c r="P248" s="9">
        <v>1.2927</v>
      </c>
      <c r="Q248" s="9">
        <v>30.773700000000002</v>
      </c>
      <c r="R248" s="9"/>
      <c r="S248" s="11"/>
    </row>
    <row r="249" spans="1:19" ht="15" customHeight="1">
      <c r="A249" s="13">
        <v>48731</v>
      </c>
      <c r="B249" s="8">
        <f>CHOOSE( CONTROL!$C$33, 8.4578, 8.4562) * CHOOSE(CONTROL!$C$16, $D$10, 100%, $F$10)</f>
        <v>8.4578000000000007</v>
      </c>
      <c r="C249" s="8">
        <f>CHOOSE( CONTROL!$C$33, 8.4658, 8.4642) * CHOOSE(CONTROL!$C$16, $D$10, 100%, $F$10)</f>
        <v>8.4657999999999998</v>
      </c>
      <c r="D249" s="8">
        <f>CHOOSE( CONTROL!$C$33, 8.4882, 8.4866) * CHOOSE( CONTROL!$C$16, $D$10, 100%, $F$10)</f>
        <v>8.4882000000000009</v>
      </c>
      <c r="E249" s="12">
        <f>CHOOSE( CONTROL!$C$33, 8.4789, 8.4773) * CHOOSE( CONTROL!$C$16, $D$10, 100%, $F$10)</f>
        <v>8.4788999999999994</v>
      </c>
      <c r="F249" s="4">
        <f>CHOOSE( CONTROL!$C$33, 9.2347, 9.2331) * CHOOSE(CONTROL!$C$16, $D$10, 100%, $F$10)</f>
        <v>9.2347000000000001</v>
      </c>
      <c r="G249" s="8">
        <f>CHOOSE( CONTROL!$C$33, 8.4009, 8.3993) * CHOOSE( CONTROL!$C$16, $D$10, 100%, $F$10)</f>
        <v>8.4009</v>
      </c>
      <c r="H249" s="4">
        <f>CHOOSE( CONTROL!$C$33, 9.3797, 9.3782) * CHOOSE(CONTROL!$C$16, $D$10, 100%, $F$10)</f>
        <v>9.3796999999999997</v>
      </c>
      <c r="I249" s="8">
        <f>CHOOSE( CONTROL!$C$33, 8.3247, 8.3231) * CHOOSE(CONTROL!$C$16, $D$10, 100%, $F$10)</f>
        <v>8.3247</v>
      </c>
      <c r="J249" s="4">
        <f>CHOOSE( CONTROL!$C$33, 8.2043, 8.2028) * CHOOSE(CONTROL!$C$16, $D$10, 100%, $F$10)</f>
        <v>8.2042999999999999</v>
      </c>
      <c r="K249" s="4"/>
      <c r="L249" s="9">
        <v>29.7257</v>
      </c>
      <c r="M249" s="9">
        <v>11.6745</v>
      </c>
      <c r="N249" s="9">
        <v>4.7850000000000001</v>
      </c>
      <c r="O249" s="9">
        <v>0.36199999999999999</v>
      </c>
      <c r="P249" s="9">
        <v>1.2509999999999999</v>
      </c>
      <c r="Q249" s="9">
        <v>29.780999999999999</v>
      </c>
      <c r="R249" s="9"/>
      <c r="S249" s="11"/>
    </row>
    <row r="250" spans="1:19" ht="15" customHeight="1">
      <c r="A250" s="13">
        <v>48761</v>
      </c>
      <c r="B250" s="8">
        <f>CHOOSE( CONTROL!$C$33, 8.8223, 8.8207) * CHOOSE(CONTROL!$C$16, $D$10, 100%, $F$10)</f>
        <v>8.8223000000000003</v>
      </c>
      <c r="C250" s="8">
        <f>CHOOSE( CONTROL!$C$33, 8.8303, 8.8287) * CHOOSE(CONTROL!$C$16, $D$10, 100%, $F$10)</f>
        <v>8.8302999999999994</v>
      </c>
      <c r="D250" s="8">
        <f>CHOOSE( CONTROL!$C$33, 8.8529, 8.8514) * CHOOSE( CONTROL!$C$16, $D$10, 100%, $F$10)</f>
        <v>8.8529</v>
      </c>
      <c r="E250" s="12">
        <f>CHOOSE( CONTROL!$C$33, 8.8435, 8.842) * CHOOSE( CONTROL!$C$16, $D$10, 100%, $F$10)</f>
        <v>8.8435000000000006</v>
      </c>
      <c r="F250" s="4">
        <f>CHOOSE( CONTROL!$C$33, 9.5992, 9.5977) * CHOOSE(CONTROL!$C$16, $D$10, 100%, $F$10)</f>
        <v>9.5991999999999997</v>
      </c>
      <c r="G250" s="8">
        <f>CHOOSE( CONTROL!$C$33, 8.7605, 8.759) * CHOOSE( CONTROL!$C$16, $D$10, 100%, $F$10)</f>
        <v>8.7605000000000004</v>
      </c>
      <c r="H250" s="4">
        <f>CHOOSE( CONTROL!$C$33, 9.7392, 9.7376) * CHOOSE(CONTROL!$C$16, $D$10, 100%, $F$10)</f>
        <v>9.7392000000000003</v>
      </c>
      <c r="I250" s="8">
        <f>CHOOSE( CONTROL!$C$33, 8.6786, 8.6771) * CHOOSE(CONTROL!$C$16, $D$10, 100%, $F$10)</f>
        <v>8.6785999999999994</v>
      </c>
      <c r="J250" s="4">
        <f>CHOOSE( CONTROL!$C$33, 8.5572, 8.5557) * CHOOSE(CONTROL!$C$16, $D$10, 100%, $F$10)</f>
        <v>8.5571999999999999</v>
      </c>
      <c r="K250" s="4"/>
      <c r="L250" s="9">
        <v>30.7165</v>
      </c>
      <c r="M250" s="9">
        <v>12.063700000000001</v>
      </c>
      <c r="N250" s="9">
        <v>4.9444999999999997</v>
      </c>
      <c r="O250" s="9">
        <v>0.37409999999999999</v>
      </c>
      <c r="P250" s="9">
        <v>1.2927</v>
      </c>
      <c r="Q250" s="9">
        <v>30.773700000000002</v>
      </c>
      <c r="R250" s="9"/>
      <c r="S250" s="11"/>
    </row>
    <row r="251" spans="1:19" ht="15" customHeight="1">
      <c r="A251" s="13">
        <v>48792</v>
      </c>
      <c r="B251" s="8">
        <f>CHOOSE( CONTROL!$C$33, 8.1402, 8.1387) * CHOOSE(CONTROL!$C$16, $D$10, 100%, $F$10)</f>
        <v>8.1402000000000001</v>
      </c>
      <c r="C251" s="8">
        <f>CHOOSE( CONTROL!$C$33, 8.1482, 8.1467) * CHOOSE(CONTROL!$C$16, $D$10, 100%, $F$10)</f>
        <v>8.1481999999999992</v>
      </c>
      <c r="D251" s="8">
        <f>CHOOSE( CONTROL!$C$33, 8.1709, 8.1693) * CHOOSE( CONTROL!$C$16, $D$10, 100%, $F$10)</f>
        <v>8.1708999999999996</v>
      </c>
      <c r="E251" s="12">
        <f>CHOOSE( CONTROL!$C$33, 8.1615, 8.1599) * CHOOSE( CONTROL!$C$16, $D$10, 100%, $F$10)</f>
        <v>8.1615000000000002</v>
      </c>
      <c r="F251" s="4">
        <f>CHOOSE( CONTROL!$C$33, 8.9172, 8.9156) * CHOOSE(CONTROL!$C$16, $D$10, 100%, $F$10)</f>
        <v>8.9171999999999993</v>
      </c>
      <c r="G251" s="8">
        <f>CHOOSE( CONTROL!$C$33, 8.088, 8.0865) * CHOOSE( CONTROL!$C$16, $D$10, 100%, $F$10)</f>
        <v>8.0879999999999992</v>
      </c>
      <c r="H251" s="4">
        <f>CHOOSE( CONTROL!$C$33, 9.0666, 9.0651) * CHOOSE(CONTROL!$C$16, $D$10, 100%, $F$10)</f>
        <v>9.0665999999999993</v>
      </c>
      <c r="I251" s="8">
        <f>CHOOSE( CONTROL!$C$33, 8.018, 8.0165) * CHOOSE(CONTROL!$C$16, $D$10, 100%, $F$10)</f>
        <v>8.0180000000000007</v>
      </c>
      <c r="J251" s="4">
        <f>CHOOSE( CONTROL!$C$33, 7.8968, 7.8953) * CHOOSE(CONTROL!$C$16, $D$10, 100%, $F$10)</f>
        <v>7.8967999999999998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1.2927</v>
      </c>
      <c r="Q251" s="9">
        <v>30.773700000000002</v>
      </c>
      <c r="R251" s="9"/>
      <c r="S251" s="11"/>
    </row>
    <row r="252" spans="1:19" ht="15" customHeight="1">
      <c r="A252" s="13">
        <v>48823</v>
      </c>
      <c r="B252" s="8">
        <f>CHOOSE( CONTROL!$C$33, 7.9695, 7.9679) * CHOOSE(CONTROL!$C$16, $D$10, 100%, $F$10)</f>
        <v>7.9695</v>
      </c>
      <c r="C252" s="8">
        <f>CHOOSE( CONTROL!$C$33, 7.9775, 7.9759) * CHOOSE(CONTROL!$C$16, $D$10, 100%, $F$10)</f>
        <v>7.9775</v>
      </c>
      <c r="D252" s="8">
        <f>CHOOSE( CONTROL!$C$33, 8, 7.9984) * CHOOSE( CONTROL!$C$16, $D$10, 100%, $F$10)</f>
        <v>8</v>
      </c>
      <c r="E252" s="12">
        <f>CHOOSE( CONTROL!$C$33, 7.9906, 7.989) * CHOOSE( CONTROL!$C$16, $D$10, 100%, $F$10)</f>
        <v>7.9905999999999997</v>
      </c>
      <c r="F252" s="4">
        <f>CHOOSE( CONTROL!$C$33, 8.7464, 8.7448) * CHOOSE(CONTROL!$C$16, $D$10, 100%, $F$10)</f>
        <v>8.7463999999999995</v>
      </c>
      <c r="G252" s="8">
        <f>CHOOSE( CONTROL!$C$33, 7.9195, 7.9179) * CHOOSE( CONTROL!$C$16, $D$10, 100%, $F$10)</f>
        <v>7.9195000000000002</v>
      </c>
      <c r="H252" s="4">
        <f>CHOOSE( CONTROL!$C$33, 8.8982, 8.8966) * CHOOSE(CONTROL!$C$16, $D$10, 100%, $F$10)</f>
        <v>8.8981999999999992</v>
      </c>
      <c r="I252" s="8">
        <f>CHOOSE( CONTROL!$C$33, 7.8521, 7.8506) * CHOOSE(CONTROL!$C$16, $D$10, 100%, $F$10)</f>
        <v>7.8521000000000001</v>
      </c>
      <c r="J252" s="4">
        <f>CHOOSE( CONTROL!$C$33, 7.7314, 7.7299) * CHOOSE(CONTROL!$C$16, $D$10, 100%, $F$10)</f>
        <v>7.7313999999999998</v>
      </c>
      <c r="K252" s="4"/>
      <c r="L252" s="9">
        <v>29.7257</v>
      </c>
      <c r="M252" s="9">
        <v>11.6745</v>
      </c>
      <c r="N252" s="9">
        <v>4.7850000000000001</v>
      </c>
      <c r="O252" s="9">
        <v>0.36199999999999999</v>
      </c>
      <c r="P252" s="9">
        <v>1.2509999999999999</v>
      </c>
      <c r="Q252" s="9">
        <v>29.780999999999999</v>
      </c>
      <c r="R252" s="9"/>
      <c r="S252" s="11"/>
    </row>
    <row r="253" spans="1:19" ht="15" customHeight="1">
      <c r="A253" s="13">
        <v>48853</v>
      </c>
      <c r="B253" s="8">
        <f>CHOOSE( CONTROL!$C$33, 8.3219, 8.3208) * CHOOSE(CONTROL!$C$16, $D$10, 100%, $F$10)</f>
        <v>8.3218999999999994</v>
      </c>
      <c r="C253" s="8">
        <f>CHOOSE( CONTROL!$C$33, 8.3273, 8.3261) * CHOOSE(CONTROL!$C$16, $D$10, 100%, $F$10)</f>
        <v>8.3272999999999993</v>
      </c>
      <c r="D253" s="8">
        <f>CHOOSE( CONTROL!$C$33, 8.356, 8.3549) * CHOOSE( CONTROL!$C$16, $D$10, 100%, $F$10)</f>
        <v>8.3559999999999999</v>
      </c>
      <c r="E253" s="12">
        <f>CHOOSE( CONTROL!$C$33, 8.346, 8.3448) * CHOOSE( CONTROL!$C$16, $D$10, 100%, $F$10)</f>
        <v>8.3460000000000001</v>
      </c>
      <c r="F253" s="4">
        <f>CHOOSE( CONTROL!$C$33, 9.1006, 9.0994) * CHOOSE(CONTROL!$C$16, $D$10, 100%, $F$10)</f>
        <v>9.1006</v>
      </c>
      <c r="G253" s="8">
        <f>CHOOSE( CONTROL!$C$33, 8.2688, 8.2677) * CHOOSE( CONTROL!$C$16, $D$10, 100%, $F$10)</f>
        <v>8.2688000000000006</v>
      </c>
      <c r="H253" s="4">
        <f>CHOOSE( CONTROL!$C$33, 9.2474, 9.2463) * CHOOSE(CONTROL!$C$16, $D$10, 100%, $F$10)</f>
        <v>9.2474000000000007</v>
      </c>
      <c r="I253" s="8">
        <f>CHOOSE( CONTROL!$C$33, 8.1958, 8.1947) * CHOOSE(CONTROL!$C$16, $D$10, 100%, $F$10)</f>
        <v>8.1958000000000002</v>
      </c>
      <c r="J253" s="4">
        <f>CHOOSE( CONTROL!$C$33, 8.0744, 8.0733) * CHOOSE(CONTROL!$C$16, $D$10, 100%, $F$10)</f>
        <v>8.0744000000000007</v>
      </c>
      <c r="K253" s="4"/>
      <c r="L253" s="9">
        <v>31.095300000000002</v>
      </c>
      <c r="M253" s="9">
        <v>12.063700000000001</v>
      </c>
      <c r="N253" s="9">
        <v>4.9444999999999997</v>
      </c>
      <c r="O253" s="9">
        <v>0.37409999999999999</v>
      </c>
      <c r="P253" s="9">
        <v>1.2927</v>
      </c>
      <c r="Q253" s="9">
        <v>30.773700000000002</v>
      </c>
      <c r="R253" s="9"/>
      <c r="S253" s="11"/>
    </row>
    <row r="254" spans="1:19" ht="15" customHeight="1">
      <c r="A254" s="13">
        <v>48884</v>
      </c>
      <c r="B254" s="8">
        <f>CHOOSE( CONTROL!$C$33, 8.9761, 8.975) * CHOOSE(CONTROL!$C$16, $D$10, 100%, $F$10)</f>
        <v>8.9761000000000006</v>
      </c>
      <c r="C254" s="8">
        <f>CHOOSE( CONTROL!$C$33, 8.9812, 8.9801) * CHOOSE(CONTROL!$C$16, $D$10, 100%, $F$10)</f>
        <v>8.9811999999999994</v>
      </c>
      <c r="D254" s="8">
        <f>CHOOSE( CONTROL!$C$33, 8.9609, 8.9597) * CHOOSE( CONTROL!$C$16, $D$10, 100%, $F$10)</f>
        <v>8.9609000000000005</v>
      </c>
      <c r="E254" s="12">
        <f>CHOOSE( CONTROL!$C$33, 8.9678, 8.9666) * CHOOSE( CONTROL!$C$16, $D$10, 100%, $F$10)</f>
        <v>8.9678000000000004</v>
      </c>
      <c r="F254" s="4">
        <f>CHOOSE( CONTROL!$C$33, 9.639, 9.6378) * CHOOSE(CONTROL!$C$16, $D$10, 100%, $F$10)</f>
        <v>9.6389999999999993</v>
      </c>
      <c r="G254" s="8">
        <f>CHOOSE( CONTROL!$C$33, 8.8868, 8.8857) * CHOOSE( CONTROL!$C$16, $D$10, 100%, $F$10)</f>
        <v>8.8867999999999991</v>
      </c>
      <c r="H254" s="4">
        <f>CHOOSE( CONTROL!$C$33, 9.7783, 9.7772) * CHOOSE(CONTROL!$C$16, $D$10, 100%, $F$10)</f>
        <v>9.7782999999999998</v>
      </c>
      <c r="I254" s="8">
        <f>CHOOSE( CONTROL!$C$33, 8.8777, 8.8766) * CHOOSE(CONTROL!$C$16, $D$10, 100%, $F$10)</f>
        <v>8.8777000000000008</v>
      </c>
      <c r="J254" s="4">
        <f>CHOOSE( CONTROL!$C$33, 8.7082, 8.7071) * CHOOSE(CONTROL!$C$16, $D$10, 100%, $F$10)</f>
        <v>8.7081999999999997</v>
      </c>
      <c r="K254" s="4"/>
      <c r="L254" s="9">
        <v>28.360600000000002</v>
      </c>
      <c r="M254" s="9">
        <v>11.6745</v>
      </c>
      <c r="N254" s="9">
        <v>4.7850000000000001</v>
      </c>
      <c r="O254" s="9">
        <v>0.36199999999999999</v>
      </c>
      <c r="P254" s="9">
        <v>1.2509999999999999</v>
      </c>
      <c r="Q254" s="9">
        <v>29.780999999999999</v>
      </c>
      <c r="R254" s="9"/>
      <c r="S254" s="11"/>
    </row>
    <row r="255" spans="1:19" ht="15" customHeight="1">
      <c r="A255" s="13">
        <v>48914</v>
      </c>
      <c r="B255" s="8">
        <f>CHOOSE( CONTROL!$C$33, 8.9597, 8.9586) * CHOOSE(CONTROL!$C$16, $D$10, 100%, $F$10)</f>
        <v>8.9596999999999998</v>
      </c>
      <c r="C255" s="8">
        <f>CHOOSE( CONTROL!$C$33, 8.9648, 8.9637) * CHOOSE(CONTROL!$C$16, $D$10, 100%, $F$10)</f>
        <v>8.9648000000000003</v>
      </c>
      <c r="D255" s="8">
        <f>CHOOSE( CONTROL!$C$33, 8.946, 8.9448) * CHOOSE( CONTROL!$C$16, $D$10, 100%, $F$10)</f>
        <v>8.9459999999999997</v>
      </c>
      <c r="E255" s="12">
        <f>CHOOSE( CONTROL!$C$33, 8.9523, 8.9512) * CHOOSE( CONTROL!$C$16, $D$10, 100%, $F$10)</f>
        <v>8.9522999999999993</v>
      </c>
      <c r="F255" s="4">
        <f>CHOOSE( CONTROL!$C$33, 9.6226, 9.6215) * CHOOSE(CONTROL!$C$16, $D$10, 100%, $F$10)</f>
        <v>9.6226000000000003</v>
      </c>
      <c r="G255" s="8">
        <f>CHOOSE( CONTROL!$C$33, 8.8717, 8.8706) * CHOOSE( CONTROL!$C$16, $D$10, 100%, $F$10)</f>
        <v>8.8717000000000006</v>
      </c>
      <c r="H255" s="4">
        <f>CHOOSE( CONTROL!$C$33, 9.7622, 9.7611) * CHOOSE(CONTROL!$C$16, $D$10, 100%, $F$10)</f>
        <v>9.7622</v>
      </c>
      <c r="I255" s="8">
        <f>CHOOSE( CONTROL!$C$33, 8.8664, 8.8653) * CHOOSE(CONTROL!$C$16, $D$10, 100%, $F$10)</f>
        <v>8.8664000000000005</v>
      </c>
      <c r="J255" s="4">
        <f>CHOOSE( CONTROL!$C$33, 8.6924, 8.6913) * CHOOSE(CONTROL!$C$16, $D$10, 100%, $F$10)</f>
        <v>8.6923999999999992</v>
      </c>
      <c r="K255" s="4"/>
      <c r="L255" s="9">
        <v>29.306000000000001</v>
      </c>
      <c r="M255" s="9">
        <v>12.063700000000001</v>
      </c>
      <c r="N255" s="9">
        <v>4.9444999999999997</v>
      </c>
      <c r="O255" s="9">
        <v>0.37409999999999999</v>
      </c>
      <c r="P255" s="9">
        <v>1.2927</v>
      </c>
      <c r="Q255" s="9">
        <v>30.773700000000002</v>
      </c>
      <c r="R255" s="9"/>
      <c r="S255" s="11"/>
    </row>
    <row r="256" spans="1:19" ht="15" customHeight="1">
      <c r="A256" s="13">
        <v>48945</v>
      </c>
      <c r="B256" s="8">
        <f>CHOOSE( CONTROL!$C$33, 9.2245, 9.2234) * CHOOSE(CONTROL!$C$16, $D$10, 100%, $F$10)</f>
        <v>9.2245000000000008</v>
      </c>
      <c r="C256" s="8">
        <f>CHOOSE( CONTROL!$C$33, 9.2296, 9.2285) * CHOOSE(CONTROL!$C$16, $D$10, 100%, $F$10)</f>
        <v>9.2295999999999996</v>
      </c>
      <c r="D256" s="8">
        <f>CHOOSE( CONTROL!$C$33, 9.2219, 9.2208) * CHOOSE( CONTROL!$C$16, $D$10, 100%, $F$10)</f>
        <v>9.2218999999999998</v>
      </c>
      <c r="E256" s="12">
        <f>CHOOSE( CONTROL!$C$33, 9.2242, 9.2231) * CHOOSE( CONTROL!$C$16, $D$10, 100%, $F$10)</f>
        <v>9.2241999999999997</v>
      </c>
      <c r="F256" s="4">
        <f>CHOOSE( CONTROL!$C$33, 9.8874, 9.8862) * CHOOSE(CONTROL!$C$16, $D$10, 100%, $F$10)</f>
        <v>9.8873999999999995</v>
      </c>
      <c r="G256" s="8">
        <f>CHOOSE( CONTROL!$C$33, 9.1386, 9.1375) * CHOOSE( CONTROL!$C$16, $D$10, 100%, $F$10)</f>
        <v>9.1386000000000003</v>
      </c>
      <c r="H256" s="4">
        <f>CHOOSE( CONTROL!$C$33, 10.0233, 10.0222) * CHOOSE(CONTROL!$C$16, $D$10, 100%, $F$10)</f>
        <v>10.023300000000001</v>
      </c>
      <c r="I256" s="8">
        <f>CHOOSE( CONTROL!$C$33, 9.1141, 9.1131) * CHOOSE(CONTROL!$C$16, $D$10, 100%, $F$10)</f>
        <v>9.1141000000000005</v>
      </c>
      <c r="J256" s="4">
        <f>CHOOSE( CONTROL!$C$33, 8.9487, 8.9476) * CHOOSE(CONTROL!$C$16, $D$10, 100%, $F$10)</f>
        <v>8.9487000000000005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30.7105</v>
      </c>
      <c r="R256" s="9"/>
      <c r="S256" s="11"/>
    </row>
    <row r="257" spans="1:19" ht="15" customHeight="1">
      <c r="A257" s="13">
        <v>48976</v>
      </c>
      <c r="B257" s="8">
        <f>CHOOSE( CONTROL!$C$33, 8.6271, 8.626) * CHOOSE(CONTROL!$C$16, $D$10, 100%, $F$10)</f>
        <v>8.6271000000000004</v>
      </c>
      <c r="C257" s="8">
        <f>CHOOSE( CONTROL!$C$33, 8.6322, 8.6311) * CHOOSE(CONTROL!$C$16, $D$10, 100%, $F$10)</f>
        <v>8.6321999999999992</v>
      </c>
      <c r="D257" s="8">
        <f>CHOOSE( CONTROL!$C$33, 8.6244, 8.6233) * CHOOSE( CONTROL!$C$16, $D$10, 100%, $F$10)</f>
        <v>8.6243999999999996</v>
      </c>
      <c r="E257" s="12">
        <f>CHOOSE( CONTROL!$C$33, 8.6267, 8.6256) * CHOOSE( CONTROL!$C$16, $D$10, 100%, $F$10)</f>
        <v>8.6266999999999996</v>
      </c>
      <c r="F257" s="4">
        <f>CHOOSE( CONTROL!$C$33, 9.29, 9.2888) * CHOOSE(CONTROL!$C$16, $D$10, 100%, $F$10)</f>
        <v>9.2899999999999991</v>
      </c>
      <c r="G257" s="8">
        <f>CHOOSE( CONTROL!$C$33, 8.5495, 8.5484) * CHOOSE( CONTROL!$C$16, $D$10, 100%, $F$10)</f>
        <v>8.5495000000000001</v>
      </c>
      <c r="H257" s="4">
        <f>CHOOSE( CONTROL!$C$33, 9.4342, 9.4331) * CHOOSE(CONTROL!$C$16, $D$10, 100%, $F$10)</f>
        <v>9.4342000000000006</v>
      </c>
      <c r="I257" s="8">
        <f>CHOOSE( CONTROL!$C$33, 8.5348, 8.5337) * CHOOSE(CONTROL!$C$16, $D$10, 100%, $F$10)</f>
        <v>8.5348000000000006</v>
      </c>
      <c r="J257" s="4">
        <f>CHOOSE( CONTROL!$C$33, 8.3703, 8.3692) * CHOOSE(CONTROL!$C$16, $D$10, 100%, $F$10)</f>
        <v>8.3703000000000003</v>
      </c>
      <c r="K257" s="4"/>
      <c r="L257" s="9">
        <v>26.469899999999999</v>
      </c>
      <c r="M257" s="9">
        <v>10.8962</v>
      </c>
      <c r="N257" s="9">
        <v>4.4660000000000002</v>
      </c>
      <c r="O257" s="9">
        <v>0.33789999999999998</v>
      </c>
      <c r="P257" s="9">
        <v>1.1676</v>
      </c>
      <c r="Q257" s="9">
        <v>27.738499999999998</v>
      </c>
      <c r="R257" s="9"/>
      <c r="S257" s="11"/>
    </row>
    <row r="258" spans="1:19" ht="15" customHeight="1">
      <c r="A258" s="13">
        <v>49004</v>
      </c>
      <c r="B258" s="8">
        <f>CHOOSE( CONTROL!$C$33, 8.4431, 8.442) * CHOOSE(CONTROL!$C$16, $D$10, 100%, $F$10)</f>
        <v>8.4430999999999994</v>
      </c>
      <c r="C258" s="8">
        <f>CHOOSE( CONTROL!$C$33, 8.4482, 8.4471) * CHOOSE(CONTROL!$C$16, $D$10, 100%, $F$10)</f>
        <v>8.4481999999999999</v>
      </c>
      <c r="D258" s="8">
        <f>CHOOSE( CONTROL!$C$33, 8.4397, 8.4385) * CHOOSE( CONTROL!$C$16, $D$10, 100%, $F$10)</f>
        <v>8.4397000000000002</v>
      </c>
      <c r="E258" s="12">
        <f>CHOOSE( CONTROL!$C$33, 8.4423, 8.4411) * CHOOSE( CONTROL!$C$16, $D$10, 100%, $F$10)</f>
        <v>8.4422999999999995</v>
      </c>
      <c r="F258" s="4">
        <f>CHOOSE( CONTROL!$C$33, 9.106, 9.1049) * CHOOSE(CONTROL!$C$16, $D$10, 100%, $F$10)</f>
        <v>9.1059999999999999</v>
      </c>
      <c r="G258" s="8">
        <f>CHOOSE( CONTROL!$C$33, 8.3675, 8.3664) * CHOOSE( CONTROL!$C$16, $D$10, 100%, $F$10)</f>
        <v>8.3674999999999997</v>
      </c>
      <c r="H258" s="4">
        <f>CHOOSE( CONTROL!$C$33, 9.2528, 9.2517) * CHOOSE(CONTROL!$C$16, $D$10, 100%, $F$10)</f>
        <v>9.2528000000000006</v>
      </c>
      <c r="I258" s="8">
        <f>CHOOSE( CONTROL!$C$33, 8.3543, 8.3532) * CHOOSE(CONTROL!$C$16, $D$10, 100%, $F$10)</f>
        <v>8.3543000000000003</v>
      </c>
      <c r="J258" s="4">
        <f>CHOOSE( CONTROL!$C$33, 8.1921, 8.191) * CHOOSE(CONTROL!$C$16, $D$10, 100%, $F$10)</f>
        <v>8.1920999999999999</v>
      </c>
      <c r="K258" s="4"/>
      <c r="L258" s="9">
        <v>29.306000000000001</v>
      </c>
      <c r="M258" s="9">
        <v>12.063700000000001</v>
      </c>
      <c r="N258" s="9">
        <v>4.9444999999999997</v>
      </c>
      <c r="O258" s="9">
        <v>0.37409999999999999</v>
      </c>
      <c r="P258" s="9">
        <v>1.2927</v>
      </c>
      <c r="Q258" s="9">
        <v>30.7105</v>
      </c>
      <c r="R258" s="9"/>
      <c r="S258" s="11"/>
    </row>
    <row r="259" spans="1:19" ht="15" customHeight="1">
      <c r="A259" s="13">
        <v>49035</v>
      </c>
      <c r="B259" s="8">
        <f>CHOOSE( CONTROL!$C$33, 8.5724, 8.5713) * CHOOSE(CONTROL!$C$16, $D$10, 100%, $F$10)</f>
        <v>8.5724</v>
      </c>
      <c r="C259" s="8">
        <f>CHOOSE( CONTROL!$C$33, 8.577, 8.5758) * CHOOSE(CONTROL!$C$16, $D$10, 100%, $F$10)</f>
        <v>8.577</v>
      </c>
      <c r="D259" s="8">
        <f>CHOOSE( CONTROL!$C$33, 8.6058, 8.6047) * CHOOSE( CONTROL!$C$16, $D$10, 100%, $F$10)</f>
        <v>8.6058000000000003</v>
      </c>
      <c r="E259" s="12">
        <f>CHOOSE( CONTROL!$C$33, 8.5958, 8.5946) * CHOOSE( CONTROL!$C$16, $D$10, 100%, $F$10)</f>
        <v>8.5958000000000006</v>
      </c>
      <c r="F259" s="4">
        <f>CHOOSE( CONTROL!$C$33, 9.3507, 9.3496) * CHOOSE(CONTROL!$C$16, $D$10, 100%, $F$10)</f>
        <v>9.3506999999999998</v>
      </c>
      <c r="G259" s="8">
        <f>CHOOSE( CONTROL!$C$33, 8.5152, 8.5141) * CHOOSE( CONTROL!$C$16, $D$10, 100%, $F$10)</f>
        <v>8.5152000000000001</v>
      </c>
      <c r="H259" s="4">
        <f>CHOOSE( CONTROL!$C$33, 9.4941, 9.493) * CHOOSE(CONTROL!$C$16, $D$10, 100%, $F$10)</f>
        <v>9.4940999999999995</v>
      </c>
      <c r="I259" s="8">
        <f>CHOOSE( CONTROL!$C$33, 8.4368, 8.4358) * CHOOSE(CONTROL!$C$16, $D$10, 100%, $F$10)</f>
        <v>8.4367999999999999</v>
      </c>
      <c r="J259" s="4">
        <f>CHOOSE( CONTROL!$C$33, 8.3166, 8.3155) * CHOOSE(CONTROL!$C$16, $D$10, 100%, $F$10)</f>
        <v>8.3165999999999993</v>
      </c>
      <c r="K259" s="4"/>
      <c r="L259" s="9">
        <v>30.092199999999998</v>
      </c>
      <c r="M259" s="9">
        <v>11.6745</v>
      </c>
      <c r="N259" s="9">
        <v>4.7850000000000001</v>
      </c>
      <c r="O259" s="9">
        <v>0.36199999999999999</v>
      </c>
      <c r="P259" s="9">
        <v>1.2509999999999999</v>
      </c>
      <c r="Q259" s="9">
        <v>29.719799999999999</v>
      </c>
      <c r="R259" s="9"/>
      <c r="S259" s="11"/>
    </row>
    <row r="260" spans="1:19" ht="15" customHeight="1">
      <c r="A260" s="13">
        <v>49065</v>
      </c>
      <c r="B260" s="8">
        <f>CHOOSE( CONTROL!$C$33, 8.8031, 8.8015) * CHOOSE(CONTROL!$C$16, $D$10, 100%, $F$10)</f>
        <v>8.8031000000000006</v>
      </c>
      <c r="C260" s="8">
        <f>CHOOSE( CONTROL!$C$33, 8.8111, 8.8095) * CHOOSE(CONTROL!$C$16, $D$10, 100%, $F$10)</f>
        <v>8.8110999999999997</v>
      </c>
      <c r="D260" s="8">
        <f>CHOOSE( CONTROL!$C$33, 8.8333, 8.8317) * CHOOSE( CONTROL!$C$16, $D$10, 100%, $F$10)</f>
        <v>8.8332999999999995</v>
      </c>
      <c r="E260" s="12">
        <f>CHOOSE( CONTROL!$C$33, 8.824, 8.8224) * CHOOSE( CONTROL!$C$16, $D$10, 100%, $F$10)</f>
        <v>8.8239999999999998</v>
      </c>
      <c r="F260" s="4">
        <f>CHOOSE( CONTROL!$C$33, 9.58, 9.5784) * CHOOSE(CONTROL!$C$16, $D$10, 100%, $F$10)</f>
        <v>9.58</v>
      </c>
      <c r="G260" s="8">
        <f>CHOOSE( CONTROL!$C$33, 8.7412, 8.7397) * CHOOSE( CONTROL!$C$16, $D$10, 100%, $F$10)</f>
        <v>8.7411999999999992</v>
      </c>
      <c r="H260" s="4">
        <f>CHOOSE( CONTROL!$C$33, 9.7202, 9.7186) * CHOOSE(CONTROL!$C$16, $D$10, 100%, $F$10)</f>
        <v>9.7202000000000002</v>
      </c>
      <c r="I260" s="8">
        <f>CHOOSE( CONTROL!$C$33, 8.6586, 8.6571) * CHOOSE(CONTROL!$C$16, $D$10, 100%, $F$10)</f>
        <v>8.6585999999999999</v>
      </c>
      <c r="J260" s="4">
        <f>CHOOSE( CONTROL!$C$33, 8.5386, 8.5371) * CHOOSE(CONTROL!$C$16, $D$10, 100%, $F$10)</f>
        <v>8.5386000000000006</v>
      </c>
      <c r="K260" s="4"/>
      <c r="L260" s="9">
        <v>30.7165</v>
      </c>
      <c r="M260" s="9">
        <v>12.063700000000001</v>
      </c>
      <c r="N260" s="9">
        <v>4.9444999999999997</v>
      </c>
      <c r="O260" s="9">
        <v>0.37409999999999999</v>
      </c>
      <c r="P260" s="9">
        <v>1.2927</v>
      </c>
      <c r="Q260" s="9">
        <v>30.7105</v>
      </c>
      <c r="R260" s="9"/>
      <c r="S260" s="11"/>
    </row>
    <row r="261" spans="1:19" ht="15" customHeight="1">
      <c r="A261" s="13">
        <v>49096</v>
      </c>
      <c r="B261" s="8">
        <f>CHOOSE( CONTROL!$C$33, 8.6613, 8.6598) * CHOOSE(CONTROL!$C$16, $D$10, 100%, $F$10)</f>
        <v>8.6613000000000007</v>
      </c>
      <c r="C261" s="8">
        <f>CHOOSE( CONTROL!$C$33, 8.6693, 8.6678) * CHOOSE(CONTROL!$C$16, $D$10, 100%, $F$10)</f>
        <v>8.6692999999999998</v>
      </c>
      <c r="D261" s="8">
        <f>CHOOSE( CONTROL!$C$33, 8.6917, 8.6902) * CHOOSE( CONTROL!$C$16, $D$10, 100%, $F$10)</f>
        <v>8.6917000000000009</v>
      </c>
      <c r="E261" s="12">
        <f>CHOOSE( CONTROL!$C$33, 8.6824, 8.6809) * CHOOSE( CONTROL!$C$16, $D$10, 100%, $F$10)</f>
        <v>8.6823999999999995</v>
      </c>
      <c r="F261" s="4">
        <f>CHOOSE( CONTROL!$C$33, 9.4383, 9.4367) * CHOOSE(CONTROL!$C$16, $D$10, 100%, $F$10)</f>
        <v>9.4382999999999999</v>
      </c>
      <c r="G261" s="8">
        <f>CHOOSE( CONTROL!$C$33, 8.6016, 8.6001) * CHOOSE( CONTROL!$C$16, $D$10, 100%, $F$10)</f>
        <v>8.6015999999999995</v>
      </c>
      <c r="H261" s="4">
        <f>CHOOSE( CONTROL!$C$33, 9.5804, 9.5789) * CHOOSE(CONTROL!$C$16, $D$10, 100%, $F$10)</f>
        <v>9.5803999999999991</v>
      </c>
      <c r="I261" s="8">
        <f>CHOOSE( CONTROL!$C$33, 8.5218, 8.5203) * CHOOSE(CONTROL!$C$16, $D$10, 100%, $F$10)</f>
        <v>8.5218000000000007</v>
      </c>
      <c r="J261" s="4">
        <f>CHOOSE( CONTROL!$C$33, 8.4014, 8.3998) * CHOOSE(CONTROL!$C$16, $D$10, 100%, $F$10)</f>
        <v>8.4014000000000006</v>
      </c>
      <c r="K261" s="4"/>
      <c r="L261" s="9">
        <v>29.7257</v>
      </c>
      <c r="M261" s="9">
        <v>11.6745</v>
      </c>
      <c r="N261" s="9">
        <v>4.7850000000000001</v>
      </c>
      <c r="O261" s="9">
        <v>0.36199999999999999</v>
      </c>
      <c r="P261" s="9">
        <v>1.2509999999999999</v>
      </c>
      <c r="Q261" s="9">
        <v>29.719799999999999</v>
      </c>
      <c r="R261" s="9"/>
      <c r="S261" s="11"/>
    </row>
    <row r="262" spans="1:19" ht="15" customHeight="1">
      <c r="A262" s="13">
        <v>49126</v>
      </c>
      <c r="B262" s="8">
        <f>CHOOSE( CONTROL!$C$33, 9.0346, 9.033) * CHOOSE(CONTROL!$C$16, $D$10, 100%, $F$10)</f>
        <v>9.0345999999999993</v>
      </c>
      <c r="C262" s="8">
        <f>CHOOSE( CONTROL!$C$33, 9.0426, 9.041) * CHOOSE(CONTROL!$C$16, $D$10, 100%, $F$10)</f>
        <v>9.0426000000000002</v>
      </c>
      <c r="D262" s="8">
        <f>CHOOSE( CONTROL!$C$33, 9.0652, 9.0637) * CHOOSE( CONTROL!$C$16, $D$10, 100%, $F$10)</f>
        <v>9.0652000000000008</v>
      </c>
      <c r="E262" s="12">
        <f>CHOOSE( CONTROL!$C$33, 9.0558, 9.0543) * CHOOSE( CONTROL!$C$16, $D$10, 100%, $F$10)</f>
        <v>9.0557999999999996</v>
      </c>
      <c r="F262" s="4">
        <f>CHOOSE( CONTROL!$C$33, 9.8115, 9.81) * CHOOSE(CONTROL!$C$16, $D$10, 100%, $F$10)</f>
        <v>9.8115000000000006</v>
      </c>
      <c r="G262" s="8">
        <f>CHOOSE( CONTROL!$C$33, 8.9699, 8.9683) * CHOOSE( CONTROL!$C$16, $D$10, 100%, $F$10)</f>
        <v>8.9699000000000009</v>
      </c>
      <c r="H262" s="4">
        <f>CHOOSE( CONTROL!$C$33, 9.9485, 9.9469) * CHOOSE(CONTROL!$C$16, $D$10, 100%, $F$10)</f>
        <v>9.9484999999999992</v>
      </c>
      <c r="I262" s="8">
        <f>CHOOSE( CONTROL!$C$33, 8.8842, 8.8827) * CHOOSE(CONTROL!$C$16, $D$10, 100%, $F$10)</f>
        <v>8.8841999999999999</v>
      </c>
      <c r="J262" s="4">
        <f>CHOOSE( CONTROL!$C$33, 8.7628, 8.7613) * CHOOSE(CONTROL!$C$16, $D$10, 100%, $F$10)</f>
        <v>8.7628000000000004</v>
      </c>
      <c r="K262" s="4"/>
      <c r="L262" s="9">
        <v>30.7165</v>
      </c>
      <c r="M262" s="9">
        <v>12.063700000000001</v>
      </c>
      <c r="N262" s="9">
        <v>4.9444999999999997</v>
      </c>
      <c r="O262" s="9">
        <v>0.37409999999999999</v>
      </c>
      <c r="P262" s="9">
        <v>1.2927</v>
      </c>
      <c r="Q262" s="9">
        <v>30.7105</v>
      </c>
      <c r="R262" s="9"/>
      <c r="S262" s="11"/>
    </row>
    <row r="263" spans="1:19" ht="15" customHeight="1">
      <c r="A263" s="13">
        <v>49157</v>
      </c>
      <c r="B263" s="8">
        <f>CHOOSE( CONTROL!$C$33, 8.3362, 8.3346) * CHOOSE(CONTROL!$C$16, $D$10, 100%, $F$10)</f>
        <v>8.3361999999999998</v>
      </c>
      <c r="C263" s="8">
        <f>CHOOSE( CONTROL!$C$33, 8.3442, 8.3426) * CHOOSE(CONTROL!$C$16, $D$10, 100%, $F$10)</f>
        <v>8.3442000000000007</v>
      </c>
      <c r="D263" s="8">
        <f>CHOOSE( CONTROL!$C$33, 8.3668, 8.3653) * CHOOSE( CONTROL!$C$16, $D$10, 100%, $F$10)</f>
        <v>8.3667999999999996</v>
      </c>
      <c r="E263" s="12">
        <f>CHOOSE( CONTROL!$C$33, 8.3574, 8.3559) * CHOOSE( CONTROL!$C$16, $D$10, 100%, $F$10)</f>
        <v>8.3574000000000002</v>
      </c>
      <c r="F263" s="4">
        <f>CHOOSE( CONTROL!$C$33, 9.1131, 9.1115) * CHOOSE(CONTROL!$C$16, $D$10, 100%, $F$10)</f>
        <v>9.1130999999999993</v>
      </c>
      <c r="G263" s="8">
        <f>CHOOSE( CONTROL!$C$33, 8.2812, 8.2796) * CHOOSE( CONTROL!$C$16, $D$10, 100%, $F$10)</f>
        <v>8.2812000000000001</v>
      </c>
      <c r="H263" s="4">
        <f>CHOOSE( CONTROL!$C$33, 9.2598, 9.2582) * CHOOSE(CONTROL!$C$16, $D$10, 100%, $F$10)</f>
        <v>9.2598000000000003</v>
      </c>
      <c r="I263" s="8">
        <f>CHOOSE( CONTROL!$C$33, 8.2078, 8.2063) * CHOOSE(CONTROL!$C$16, $D$10, 100%, $F$10)</f>
        <v>8.2078000000000007</v>
      </c>
      <c r="J263" s="4">
        <f>CHOOSE( CONTROL!$C$33, 8.0865, 8.085) * CHOOSE(CONTROL!$C$16, $D$10, 100%, $F$10)</f>
        <v>8.0864999999999991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1.2927</v>
      </c>
      <c r="Q263" s="9">
        <v>30.7105</v>
      </c>
      <c r="R263" s="9"/>
      <c r="S263" s="11"/>
    </row>
    <row r="264" spans="1:19" ht="15" customHeight="1">
      <c r="A264" s="13">
        <v>49188</v>
      </c>
      <c r="B264" s="8">
        <f>CHOOSE( CONTROL!$C$33, 8.1613, 8.1597) * CHOOSE(CONTROL!$C$16, $D$10, 100%, $F$10)</f>
        <v>8.1613000000000007</v>
      </c>
      <c r="C264" s="8">
        <f>CHOOSE( CONTROL!$C$33, 8.1693, 8.1677) * CHOOSE(CONTROL!$C$16, $D$10, 100%, $F$10)</f>
        <v>8.1692999999999998</v>
      </c>
      <c r="D264" s="8">
        <f>CHOOSE( CONTROL!$C$33, 8.1918, 8.1902) * CHOOSE( CONTROL!$C$16, $D$10, 100%, $F$10)</f>
        <v>8.1918000000000006</v>
      </c>
      <c r="E264" s="12">
        <f>CHOOSE( CONTROL!$C$33, 8.1824, 8.1808) * CHOOSE( CONTROL!$C$16, $D$10, 100%, $F$10)</f>
        <v>8.1823999999999995</v>
      </c>
      <c r="F264" s="4">
        <f>CHOOSE( CONTROL!$C$33, 8.9382, 8.9366) * CHOOSE(CONTROL!$C$16, $D$10, 100%, $F$10)</f>
        <v>8.9382000000000001</v>
      </c>
      <c r="G264" s="8">
        <f>CHOOSE( CONTROL!$C$33, 8.1086, 8.1071) * CHOOSE( CONTROL!$C$16, $D$10, 100%, $F$10)</f>
        <v>8.1085999999999991</v>
      </c>
      <c r="H264" s="4">
        <f>CHOOSE( CONTROL!$C$33, 9.0873, 9.0858) * CHOOSE(CONTROL!$C$16, $D$10, 100%, $F$10)</f>
        <v>9.0873000000000008</v>
      </c>
      <c r="I264" s="8">
        <f>CHOOSE( CONTROL!$C$33, 8.0379, 8.0364) * CHOOSE(CONTROL!$C$16, $D$10, 100%, $F$10)</f>
        <v>8.0379000000000005</v>
      </c>
      <c r="J264" s="4">
        <f>CHOOSE( CONTROL!$C$33, 7.9171, 7.9156) * CHOOSE(CONTROL!$C$16, $D$10, 100%, $F$10)</f>
        <v>7.9170999999999996</v>
      </c>
      <c r="K264" s="4"/>
      <c r="L264" s="9">
        <v>29.7257</v>
      </c>
      <c r="M264" s="9">
        <v>11.6745</v>
      </c>
      <c r="N264" s="9">
        <v>4.7850000000000001</v>
      </c>
      <c r="O264" s="9">
        <v>0.36199999999999999</v>
      </c>
      <c r="P264" s="9">
        <v>1.2509999999999999</v>
      </c>
      <c r="Q264" s="9">
        <v>29.719799999999999</v>
      </c>
      <c r="R264" s="9"/>
      <c r="S264" s="11"/>
    </row>
    <row r="265" spans="1:19" ht="15" customHeight="1">
      <c r="A265" s="13">
        <v>49218</v>
      </c>
      <c r="B265" s="8">
        <f>CHOOSE( CONTROL!$C$33, 8.5222, 8.5211) * CHOOSE(CONTROL!$C$16, $D$10, 100%, $F$10)</f>
        <v>8.5221999999999998</v>
      </c>
      <c r="C265" s="8">
        <f>CHOOSE( CONTROL!$C$33, 8.5276, 8.5265) * CHOOSE(CONTROL!$C$16, $D$10, 100%, $F$10)</f>
        <v>8.5275999999999996</v>
      </c>
      <c r="D265" s="8">
        <f>CHOOSE( CONTROL!$C$33, 8.5564, 8.5552) * CHOOSE( CONTROL!$C$16, $D$10, 100%, $F$10)</f>
        <v>8.5564</v>
      </c>
      <c r="E265" s="12">
        <f>CHOOSE( CONTROL!$C$33, 8.5463, 8.5452) * CHOOSE( CONTROL!$C$16, $D$10, 100%, $F$10)</f>
        <v>8.5463000000000005</v>
      </c>
      <c r="F265" s="4">
        <f>CHOOSE( CONTROL!$C$33, 9.3009, 9.2998) * CHOOSE(CONTROL!$C$16, $D$10, 100%, $F$10)</f>
        <v>9.3009000000000004</v>
      </c>
      <c r="G265" s="8">
        <f>CHOOSE( CONTROL!$C$33, 8.4664, 8.4653) * CHOOSE( CONTROL!$C$16, $D$10, 100%, $F$10)</f>
        <v>8.4664000000000001</v>
      </c>
      <c r="H265" s="4">
        <f>CHOOSE( CONTROL!$C$33, 9.445, 9.4439) * CHOOSE(CONTROL!$C$16, $D$10, 100%, $F$10)</f>
        <v>9.4450000000000003</v>
      </c>
      <c r="I265" s="8">
        <f>CHOOSE( CONTROL!$C$33, 8.3899, 8.3888) * CHOOSE(CONTROL!$C$16, $D$10, 100%, $F$10)</f>
        <v>8.3899000000000008</v>
      </c>
      <c r="J265" s="4">
        <f>CHOOSE( CONTROL!$C$33, 8.2684, 8.2673) * CHOOSE(CONTROL!$C$16, $D$10, 100%, $F$10)</f>
        <v>8.2683999999999997</v>
      </c>
      <c r="K265" s="4"/>
      <c r="L265" s="9">
        <v>31.095300000000002</v>
      </c>
      <c r="M265" s="9">
        <v>12.063700000000001</v>
      </c>
      <c r="N265" s="9">
        <v>4.9444999999999997</v>
      </c>
      <c r="O265" s="9">
        <v>0.37409999999999999</v>
      </c>
      <c r="P265" s="9">
        <v>1.2927</v>
      </c>
      <c r="Q265" s="9">
        <v>30.7105</v>
      </c>
      <c r="R265" s="9"/>
      <c r="S265" s="11"/>
    </row>
    <row r="266" spans="1:19" ht="15" customHeight="1">
      <c r="A266" s="13">
        <v>49249</v>
      </c>
      <c r="B266" s="8">
        <f>CHOOSE( CONTROL!$C$33, 9.1921, 9.191) * CHOOSE(CONTROL!$C$16, $D$10, 100%, $F$10)</f>
        <v>9.1920999999999999</v>
      </c>
      <c r="C266" s="8">
        <f>CHOOSE( CONTROL!$C$33, 9.1972, 9.1961) * CHOOSE(CONTROL!$C$16, $D$10, 100%, $F$10)</f>
        <v>9.1972000000000005</v>
      </c>
      <c r="D266" s="8">
        <f>CHOOSE( CONTROL!$C$33, 9.1769, 9.1758) * CHOOSE( CONTROL!$C$16, $D$10, 100%, $F$10)</f>
        <v>9.1768999999999998</v>
      </c>
      <c r="E266" s="12">
        <f>CHOOSE( CONTROL!$C$33, 9.1838, 9.1827) * CHOOSE( CONTROL!$C$16, $D$10, 100%, $F$10)</f>
        <v>9.1837999999999997</v>
      </c>
      <c r="F266" s="4">
        <f>CHOOSE( CONTROL!$C$33, 9.855, 9.8539) * CHOOSE(CONTROL!$C$16, $D$10, 100%, $F$10)</f>
        <v>9.8550000000000004</v>
      </c>
      <c r="G266" s="8">
        <f>CHOOSE( CONTROL!$C$33, 9.0999, 9.0987) * CHOOSE( CONTROL!$C$16, $D$10, 100%, $F$10)</f>
        <v>9.0998999999999999</v>
      </c>
      <c r="H266" s="4">
        <f>CHOOSE( CONTROL!$C$33, 9.9914, 9.9903) * CHOOSE(CONTROL!$C$16, $D$10, 100%, $F$10)</f>
        <v>9.9914000000000005</v>
      </c>
      <c r="I266" s="8">
        <f>CHOOSE( CONTROL!$C$33, 9.087, 9.0859) * CHOOSE(CONTROL!$C$16, $D$10, 100%, $F$10)</f>
        <v>9.0869999999999997</v>
      </c>
      <c r="J266" s="4">
        <f>CHOOSE( CONTROL!$C$33, 8.9174, 8.9163) * CHOOSE(CONTROL!$C$16, $D$10, 100%, $F$10)</f>
        <v>8.9174000000000007</v>
      </c>
      <c r="K266" s="4"/>
      <c r="L266" s="9">
        <v>28.360600000000002</v>
      </c>
      <c r="M266" s="9">
        <v>11.6745</v>
      </c>
      <c r="N266" s="9">
        <v>4.7850000000000001</v>
      </c>
      <c r="O266" s="9">
        <v>0.36199999999999999</v>
      </c>
      <c r="P266" s="9">
        <v>1.2509999999999999</v>
      </c>
      <c r="Q266" s="9">
        <v>29.719799999999999</v>
      </c>
      <c r="R266" s="9"/>
      <c r="S266" s="11"/>
    </row>
    <row r="267" spans="1:19" ht="15" customHeight="1">
      <c r="A267" s="13">
        <v>49279</v>
      </c>
      <c r="B267" s="8">
        <f>CHOOSE( CONTROL!$C$33, 9.1754, 9.1743) * CHOOSE(CONTROL!$C$16, $D$10, 100%, $F$10)</f>
        <v>9.1753999999999998</v>
      </c>
      <c r="C267" s="8">
        <f>CHOOSE( CONTROL!$C$33, 9.1805, 9.1794) * CHOOSE(CONTROL!$C$16, $D$10, 100%, $F$10)</f>
        <v>9.1805000000000003</v>
      </c>
      <c r="D267" s="8">
        <f>CHOOSE( CONTROL!$C$33, 9.1616, 9.1605) * CHOOSE( CONTROL!$C$16, $D$10, 100%, $F$10)</f>
        <v>9.1616</v>
      </c>
      <c r="E267" s="12">
        <f>CHOOSE( CONTROL!$C$33, 9.168, 9.1669) * CHOOSE( CONTROL!$C$16, $D$10, 100%, $F$10)</f>
        <v>9.1679999999999993</v>
      </c>
      <c r="F267" s="4">
        <f>CHOOSE( CONTROL!$C$33, 9.8383, 9.8371) * CHOOSE(CONTROL!$C$16, $D$10, 100%, $F$10)</f>
        <v>9.8383000000000003</v>
      </c>
      <c r="G267" s="8">
        <f>CHOOSE( CONTROL!$C$33, 9.0844, 9.0833) * CHOOSE( CONTROL!$C$16, $D$10, 100%, $F$10)</f>
        <v>9.0844000000000005</v>
      </c>
      <c r="H267" s="4">
        <f>CHOOSE( CONTROL!$C$33, 9.9749, 9.9737) * CHOOSE(CONTROL!$C$16, $D$10, 100%, $F$10)</f>
        <v>9.9748999999999999</v>
      </c>
      <c r="I267" s="8">
        <f>CHOOSE( CONTROL!$C$33, 9.0753, 9.0742) * CHOOSE(CONTROL!$C$16, $D$10, 100%, $F$10)</f>
        <v>9.0753000000000004</v>
      </c>
      <c r="J267" s="4">
        <f>CHOOSE( CONTROL!$C$33, 8.9012, 8.9001) * CHOOSE(CONTROL!$C$16, $D$10, 100%, $F$10)</f>
        <v>8.9011999999999993</v>
      </c>
      <c r="K267" s="4"/>
      <c r="L267" s="9">
        <v>29.306000000000001</v>
      </c>
      <c r="M267" s="9">
        <v>12.063700000000001</v>
      </c>
      <c r="N267" s="9">
        <v>4.9444999999999997</v>
      </c>
      <c r="O267" s="9">
        <v>0.37409999999999999</v>
      </c>
      <c r="P267" s="9">
        <v>1.2927</v>
      </c>
      <c r="Q267" s="9">
        <v>30.7105</v>
      </c>
      <c r="R267" s="9"/>
      <c r="S267" s="11"/>
    </row>
    <row r="268" spans="1:19" ht="15" customHeight="1">
      <c r="A268" s="13">
        <v>49310</v>
      </c>
      <c r="B268" s="8">
        <f>CHOOSE( CONTROL!$C$33, 9.4465, 9.4454) * CHOOSE(CONTROL!$C$16, $D$10, 100%, $F$10)</f>
        <v>9.4465000000000003</v>
      </c>
      <c r="C268" s="8">
        <f>CHOOSE( CONTROL!$C$33, 9.4516, 9.4505) * CHOOSE(CONTROL!$C$16, $D$10, 100%, $F$10)</f>
        <v>9.4515999999999991</v>
      </c>
      <c r="D268" s="8">
        <f>CHOOSE( CONTROL!$C$33, 9.444, 9.4429) * CHOOSE( CONTROL!$C$16, $D$10, 100%, $F$10)</f>
        <v>9.4440000000000008</v>
      </c>
      <c r="E268" s="12">
        <f>CHOOSE( CONTROL!$C$33, 9.4462, 9.4451) * CHOOSE( CONTROL!$C$16, $D$10, 100%, $F$10)</f>
        <v>9.4461999999999993</v>
      </c>
      <c r="F268" s="4">
        <f>CHOOSE( CONTROL!$C$33, 10.1094, 10.1083) * CHOOSE(CONTROL!$C$16, $D$10, 100%, $F$10)</f>
        <v>10.109400000000001</v>
      </c>
      <c r="G268" s="8">
        <f>CHOOSE( CONTROL!$C$33, 9.3576, 9.3565) * CHOOSE( CONTROL!$C$16, $D$10, 100%, $F$10)</f>
        <v>9.3575999999999997</v>
      </c>
      <c r="H268" s="4">
        <f>CHOOSE( CONTROL!$C$33, 10.2422, 10.2411) * CHOOSE(CONTROL!$C$16, $D$10, 100%, $F$10)</f>
        <v>10.2422</v>
      </c>
      <c r="I268" s="8">
        <f>CHOOSE( CONTROL!$C$33, 9.3292, 9.3282) * CHOOSE(CONTROL!$C$16, $D$10, 100%, $F$10)</f>
        <v>9.3292000000000002</v>
      </c>
      <c r="J268" s="4">
        <f>CHOOSE( CONTROL!$C$33, 9.1637, 9.1626) * CHOOSE(CONTROL!$C$16, $D$10, 100%, $F$10)</f>
        <v>9.1637000000000004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30.645399999999999</v>
      </c>
      <c r="R268" s="9"/>
      <c r="S268" s="11"/>
    </row>
    <row r="269" spans="1:19" ht="15" customHeight="1">
      <c r="A269" s="13">
        <v>49341</v>
      </c>
      <c r="B269" s="8">
        <f>CHOOSE( CONTROL!$C$33, 8.8348, 8.8337) * CHOOSE(CONTROL!$C$16, $D$10, 100%, $F$10)</f>
        <v>8.8347999999999995</v>
      </c>
      <c r="C269" s="8">
        <f>CHOOSE( CONTROL!$C$33, 8.8399, 8.8387) * CHOOSE(CONTROL!$C$16, $D$10, 100%, $F$10)</f>
        <v>8.8399000000000001</v>
      </c>
      <c r="D269" s="8">
        <f>CHOOSE( CONTROL!$C$33, 8.8321, 8.8309) * CHOOSE( CONTROL!$C$16, $D$10, 100%, $F$10)</f>
        <v>8.8321000000000005</v>
      </c>
      <c r="E269" s="12">
        <f>CHOOSE( CONTROL!$C$33, 8.8344, 8.8332) * CHOOSE( CONTROL!$C$16, $D$10, 100%, $F$10)</f>
        <v>8.8344000000000005</v>
      </c>
      <c r="F269" s="4">
        <f>CHOOSE( CONTROL!$C$33, 9.4976, 9.4965) * CHOOSE(CONTROL!$C$16, $D$10, 100%, $F$10)</f>
        <v>9.4976000000000003</v>
      </c>
      <c r="G269" s="8">
        <f>CHOOSE( CONTROL!$C$33, 8.7542, 8.7531) * CHOOSE( CONTROL!$C$16, $D$10, 100%, $F$10)</f>
        <v>8.7542000000000009</v>
      </c>
      <c r="H269" s="4">
        <f>CHOOSE( CONTROL!$C$33, 9.639, 9.6379) * CHOOSE(CONTROL!$C$16, $D$10, 100%, $F$10)</f>
        <v>9.6389999999999993</v>
      </c>
      <c r="I269" s="8">
        <f>CHOOSE( CONTROL!$C$33, 8.736, 8.7349) * CHOOSE(CONTROL!$C$16, $D$10, 100%, $F$10)</f>
        <v>8.7360000000000007</v>
      </c>
      <c r="J269" s="4">
        <f>CHOOSE( CONTROL!$C$33, 8.5714, 8.5703) * CHOOSE(CONTROL!$C$16, $D$10, 100%, $F$10)</f>
        <v>8.5714000000000006</v>
      </c>
      <c r="K269" s="4"/>
      <c r="L269" s="9">
        <v>26.469899999999999</v>
      </c>
      <c r="M269" s="9">
        <v>10.8962</v>
      </c>
      <c r="N269" s="9">
        <v>4.4660000000000002</v>
      </c>
      <c r="O269" s="9">
        <v>0.33789999999999998</v>
      </c>
      <c r="P269" s="9">
        <v>1.1676</v>
      </c>
      <c r="Q269" s="9">
        <v>27.6797</v>
      </c>
      <c r="R269" s="9"/>
      <c r="S269" s="11"/>
    </row>
    <row r="270" spans="1:19" ht="15" customHeight="1">
      <c r="A270" s="13">
        <v>49369</v>
      </c>
      <c r="B270" s="8">
        <f>CHOOSE( CONTROL!$C$33, 8.6464, 8.6452) * CHOOSE(CONTROL!$C$16, $D$10, 100%, $F$10)</f>
        <v>8.6463999999999999</v>
      </c>
      <c r="C270" s="8">
        <f>CHOOSE( CONTROL!$C$33, 8.6515, 8.6503) * CHOOSE(CONTROL!$C$16, $D$10, 100%, $F$10)</f>
        <v>8.6515000000000004</v>
      </c>
      <c r="D270" s="8">
        <f>CHOOSE( CONTROL!$C$33, 8.6429, 8.6418) * CHOOSE( CONTROL!$C$16, $D$10, 100%, $F$10)</f>
        <v>8.6428999999999991</v>
      </c>
      <c r="E270" s="12">
        <f>CHOOSE( CONTROL!$C$33, 8.6455, 8.6444) * CHOOSE( CONTROL!$C$16, $D$10, 100%, $F$10)</f>
        <v>8.6455000000000002</v>
      </c>
      <c r="F270" s="4">
        <f>CHOOSE( CONTROL!$C$33, 9.3092, 9.3081) * CHOOSE(CONTROL!$C$16, $D$10, 100%, $F$10)</f>
        <v>9.3092000000000006</v>
      </c>
      <c r="G270" s="8">
        <f>CHOOSE( CONTROL!$C$33, 8.5679, 8.5668) * CHOOSE( CONTROL!$C$16, $D$10, 100%, $F$10)</f>
        <v>8.5678999999999998</v>
      </c>
      <c r="H270" s="4">
        <f>CHOOSE( CONTROL!$C$33, 9.4532, 9.4521) * CHOOSE(CONTROL!$C$16, $D$10, 100%, $F$10)</f>
        <v>9.4532000000000007</v>
      </c>
      <c r="I270" s="8">
        <f>CHOOSE( CONTROL!$C$33, 8.5512, 8.5501) * CHOOSE(CONTROL!$C$16, $D$10, 100%, $F$10)</f>
        <v>8.5511999999999997</v>
      </c>
      <c r="J270" s="4">
        <f>CHOOSE( CONTROL!$C$33, 8.3889, 8.3878) * CHOOSE(CONTROL!$C$16, $D$10, 100%, $F$10)</f>
        <v>8.3888999999999996</v>
      </c>
      <c r="K270" s="4"/>
      <c r="L270" s="9">
        <v>29.306000000000001</v>
      </c>
      <c r="M270" s="9">
        <v>12.063700000000001</v>
      </c>
      <c r="N270" s="9">
        <v>4.9444999999999997</v>
      </c>
      <c r="O270" s="9">
        <v>0.37409999999999999</v>
      </c>
      <c r="P270" s="9">
        <v>1.2927</v>
      </c>
      <c r="Q270" s="9">
        <v>30.645399999999999</v>
      </c>
      <c r="R270" s="9"/>
      <c r="S270" s="11"/>
    </row>
    <row r="271" spans="1:19" ht="15" customHeight="1">
      <c r="A271" s="13">
        <v>49400</v>
      </c>
      <c r="B271" s="8">
        <f>CHOOSE( CONTROL!$C$33, 8.7788, 8.7777) * CHOOSE(CONTROL!$C$16, $D$10, 100%, $F$10)</f>
        <v>8.7788000000000004</v>
      </c>
      <c r="C271" s="8">
        <f>CHOOSE( CONTROL!$C$33, 8.7833, 8.7822) * CHOOSE(CONTROL!$C$16, $D$10, 100%, $F$10)</f>
        <v>8.7833000000000006</v>
      </c>
      <c r="D271" s="8">
        <f>CHOOSE( CONTROL!$C$33, 8.8122, 8.8111) * CHOOSE( CONTROL!$C$16, $D$10, 100%, $F$10)</f>
        <v>8.8122000000000007</v>
      </c>
      <c r="E271" s="12">
        <f>CHOOSE( CONTROL!$C$33, 8.8021, 8.801) * CHOOSE( CONTROL!$C$16, $D$10, 100%, $F$10)</f>
        <v>8.8020999999999994</v>
      </c>
      <c r="F271" s="4">
        <f>CHOOSE( CONTROL!$C$33, 9.5571, 9.5559) * CHOOSE(CONTROL!$C$16, $D$10, 100%, $F$10)</f>
        <v>9.5571000000000002</v>
      </c>
      <c r="G271" s="8">
        <f>CHOOSE( CONTROL!$C$33, 8.7187, 8.7176) * CHOOSE( CONTROL!$C$16, $D$10, 100%, $F$10)</f>
        <v>8.7187000000000001</v>
      </c>
      <c r="H271" s="4">
        <f>CHOOSE( CONTROL!$C$33, 9.6976, 9.6965) * CHOOSE(CONTROL!$C$16, $D$10, 100%, $F$10)</f>
        <v>9.6975999999999996</v>
      </c>
      <c r="I271" s="8">
        <f>CHOOSE( CONTROL!$C$33, 8.6367, 8.6357) * CHOOSE(CONTROL!$C$16, $D$10, 100%, $F$10)</f>
        <v>8.6366999999999994</v>
      </c>
      <c r="J271" s="4">
        <f>CHOOSE( CONTROL!$C$33, 8.5164, 8.5153) * CHOOSE(CONTROL!$C$16, $D$10, 100%, $F$10)</f>
        <v>8.5164000000000009</v>
      </c>
      <c r="K271" s="4"/>
      <c r="L271" s="9">
        <v>30.092199999999998</v>
      </c>
      <c r="M271" s="9">
        <v>11.6745</v>
      </c>
      <c r="N271" s="9">
        <v>4.7850000000000001</v>
      </c>
      <c r="O271" s="9">
        <v>0.36199999999999999</v>
      </c>
      <c r="P271" s="9">
        <v>1.2509999999999999</v>
      </c>
      <c r="Q271" s="9">
        <v>29.6568</v>
      </c>
      <c r="R271" s="9"/>
      <c r="S271" s="11"/>
    </row>
    <row r="272" spans="1:19" ht="15" customHeight="1">
      <c r="A272" s="13">
        <v>49430</v>
      </c>
      <c r="B272" s="8">
        <f>CHOOSE( CONTROL!$C$33, 9.0149, 9.0134) * CHOOSE(CONTROL!$C$16, $D$10, 100%, $F$10)</f>
        <v>9.0149000000000008</v>
      </c>
      <c r="C272" s="8">
        <f>CHOOSE( CONTROL!$C$33, 9.0229, 9.0213) * CHOOSE(CONTROL!$C$16, $D$10, 100%, $F$10)</f>
        <v>9.0228999999999999</v>
      </c>
      <c r="D272" s="8">
        <f>CHOOSE( CONTROL!$C$33, 9.0451, 9.0436) * CHOOSE( CONTROL!$C$16, $D$10, 100%, $F$10)</f>
        <v>9.0450999999999997</v>
      </c>
      <c r="E272" s="12">
        <f>CHOOSE( CONTROL!$C$33, 9.0358, 9.0343) * CHOOSE( CONTROL!$C$16, $D$10, 100%, $F$10)</f>
        <v>9.0358000000000001</v>
      </c>
      <c r="F272" s="4">
        <f>CHOOSE( CONTROL!$C$33, 9.7918, 9.7903) * CHOOSE(CONTROL!$C$16, $D$10, 100%, $F$10)</f>
        <v>9.7918000000000003</v>
      </c>
      <c r="G272" s="8">
        <f>CHOOSE( CONTROL!$C$33, 8.9501, 8.9486) * CHOOSE( CONTROL!$C$16, $D$10, 100%, $F$10)</f>
        <v>8.9501000000000008</v>
      </c>
      <c r="H272" s="4">
        <f>CHOOSE( CONTROL!$C$33, 9.9291, 9.9275) * CHOOSE(CONTROL!$C$16, $D$10, 100%, $F$10)</f>
        <v>9.9291</v>
      </c>
      <c r="I272" s="8">
        <f>CHOOSE( CONTROL!$C$33, 8.8638, 8.8623) * CHOOSE(CONTROL!$C$16, $D$10, 100%, $F$10)</f>
        <v>8.8637999999999995</v>
      </c>
      <c r="J272" s="4">
        <f>CHOOSE( CONTROL!$C$33, 8.7437, 8.7422) * CHOOSE(CONTROL!$C$16, $D$10, 100%, $F$10)</f>
        <v>8.7437000000000005</v>
      </c>
      <c r="K272" s="4"/>
      <c r="L272" s="9">
        <v>30.7165</v>
      </c>
      <c r="M272" s="9">
        <v>12.063700000000001</v>
      </c>
      <c r="N272" s="9">
        <v>4.9444999999999997</v>
      </c>
      <c r="O272" s="9">
        <v>0.37409999999999999</v>
      </c>
      <c r="P272" s="9">
        <v>1.2927</v>
      </c>
      <c r="Q272" s="9">
        <v>30.645399999999999</v>
      </c>
      <c r="R272" s="9"/>
      <c r="S272" s="11"/>
    </row>
    <row r="273" spans="1:19" ht="15" customHeight="1">
      <c r="A273" s="14">
        <v>49461</v>
      </c>
      <c r="B273" s="8">
        <f>CHOOSE( CONTROL!$C$33, 8.8698, 8.8682) * CHOOSE(CONTROL!$C$16, $D$10, 100%, $F$10)</f>
        <v>8.8697999999999997</v>
      </c>
      <c r="C273" s="8">
        <f>CHOOSE( CONTROL!$C$33, 8.8778, 8.8762) * CHOOSE(CONTROL!$C$16, $D$10, 100%, $F$10)</f>
        <v>8.8778000000000006</v>
      </c>
      <c r="D273" s="8">
        <f>CHOOSE( CONTROL!$C$33, 8.9002, 8.8986) * CHOOSE( CONTROL!$C$16, $D$10, 100%, $F$10)</f>
        <v>8.9001999999999999</v>
      </c>
      <c r="E273" s="12">
        <f>CHOOSE( CONTROL!$C$33, 8.8909, 8.8893) * CHOOSE( CONTROL!$C$16, $D$10, 100%, $F$10)</f>
        <v>8.8909000000000002</v>
      </c>
      <c r="F273" s="4">
        <f>CHOOSE( CONTROL!$C$33, 9.6467, 9.6451) * CHOOSE(CONTROL!$C$16, $D$10, 100%, $F$10)</f>
        <v>9.6466999999999992</v>
      </c>
      <c r="G273" s="8">
        <f>CHOOSE( CONTROL!$C$33, 8.8071, 8.8056) * CHOOSE( CONTROL!$C$16, $D$10, 100%, $F$10)</f>
        <v>8.8071000000000002</v>
      </c>
      <c r="H273" s="4">
        <f>CHOOSE( CONTROL!$C$33, 9.7859, 9.7844) * CHOOSE(CONTROL!$C$16, $D$10, 100%, $F$10)</f>
        <v>9.7858999999999998</v>
      </c>
      <c r="I273" s="8">
        <f>CHOOSE( CONTROL!$C$33, 8.7238, 8.7222) * CHOOSE(CONTROL!$C$16, $D$10, 100%, $F$10)</f>
        <v>8.7238000000000007</v>
      </c>
      <c r="J273" s="4">
        <f>CHOOSE( CONTROL!$C$33, 8.6032, 8.6017) * CHOOSE(CONTROL!$C$16, $D$10, 100%, $F$10)</f>
        <v>8.6031999999999993</v>
      </c>
      <c r="K273" s="4"/>
      <c r="L273" s="9">
        <v>29.7257</v>
      </c>
      <c r="M273" s="9">
        <v>11.6745</v>
      </c>
      <c r="N273" s="9">
        <v>4.7850000000000001</v>
      </c>
      <c r="O273" s="9">
        <v>0.36199999999999999</v>
      </c>
      <c r="P273" s="9">
        <v>1.2509999999999999</v>
      </c>
      <c r="Q273" s="9">
        <v>29.6568</v>
      </c>
      <c r="R273" s="9"/>
      <c r="S273" s="11"/>
    </row>
    <row r="274" spans="1:19" ht="15" customHeight="1">
      <c r="A274" s="14">
        <v>49491</v>
      </c>
      <c r="B274" s="8">
        <f>CHOOSE( CONTROL!$C$33, 9.252, 9.2504) * CHOOSE(CONTROL!$C$16, $D$10, 100%, $F$10)</f>
        <v>9.2520000000000007</v>
      </c>
      <c r="C274" s="8">
        <f>CHOOSE( CONTROL!$C$33, 9.26, 9.2584) * CHOOSE(CONTROL!$C$16, $D$10, 100%, $F$10)</f>
        <v>9.26</v>
      </c>
      <c r="D274" s="8">
        <f>CHOOSE( CONTROL!$C$33, 9.2826, 9.2811) * CHOOSE( CONTROL!$C$16, $D$10, 100%, $F$10)</f>
        <v>9.2826000000000004</v>
      </c>
      <c r="E274" s="12">
        <f>CHOOSE( CONTROL!$C$33, 9.2732, 9.2717) * CHOOSE( CONTROL!$C$16, $D$10, 100%, $F$10)</f>
        <v>9.2731999999999992</v>
      </c>
      <c r="F274" s="4">
        <f>CHOOSE( CONTROL!$C$33, 10.0289, 10.0274) * CHOOSE(CONTROL!$C$16, $D$10, 100%, $F$10)</f>
        <v>10.0289</v>
      </c>
      <c r="G274" s="8">
        <f>CHOOSE( CONTROL!$C$33, 9.1842, 9.1827) * CHOOSE( CONTROL!$C$16, $D$10, 100%, $F$10)</f>
        <v>9.1842000000000006</v>
      </c>
      <c r="H274" s="4">
        <f>CHOOSE( CONTROL!$C$33, 10.1629, 10.1613) * CHOOSE(CONTROL!$C$16, $D$10, 100%, $F$10)</f>
        <v>10.1629</v>
      </c>
      <c r="I274" s="8">
        <f>CHOOSE( CONTROL!$C$33, 9.0949, 9.0933) * CHOOSE(CONTROL!$C$16, $D$10, 100%, $F$10)</f>
        <v>9.0949000000000009</v>
      </c>
      <c r="J274" s="4">
        <f>CHOOSE( CONTROL!$C$33, 8.9733, 8.9718) * CHOOSE(CONTROL!$C$16, $D$10, 100%, $F$10)</f>
        <v>8.9733000000000001</v>
      </c>
      <c r="K274" s="4"/>
      <c r="L274" s="9">
        <v>30.7165</v>
      </c>
      <c r="M274" s="9">
        <v>12.063700000000001</v>
      </c>
      <c r="N274" s="9">
        <v>4.9444999999999997</v>
      </c>
      <c r="O274" s="9">
        <v>0.37409999999999999</v>
      </c>
      <c r="P274" s="9">
        <v>1.2927</v>
      </c>
      <c r="Q274" s="9">
        <v>30.645399999999999</v>
      </c>
      <c r="R274" s="9"/>
      <c r="S274" s="11"/>
    </row>
    <row r="275" spans="1:19" ht="15" customHeight="1">
      <c r="A275" s="14">
        <v>49522</v>
      </c>
      <c r="B275" s="8">
        <f>CHOOSE( CONTROL!$C$33, 8.5368, 8.5352) * CHOOSE(CONTROL!$C$16, $D$10, 100%, $F$10)</f>
        <v>8.5367999999999995</v>
      </c>
      <c r="C275" s="8">
        <f>CHOOSE( CONTROL!$C$33, 8.5448, 8.5432) * CHOOSE(CONTROL!$C$16, $D$10, 100%, $F$10)</f>
        <v>8.5448000000000004</v>
      </c>
      <c r="D275" s="8">
        <f>CHOOSE( CONTROL!$C$33, 8.5675, 8.5659) * CHOOSE( CONTROL!$C$16, $D$10, 100%, $F$10)</f>
        <v>8.5675000000000008</v>
      </c>
      <c r="E275" s="12">
        <f>CHOOSE( CONTROL!$C$33, 8.5581, 8.5565) * CHOOSE( CONTROL!$C$16, $D$10, 100%, $F$10)</f>
        <v>8.5580999999999996</v>
      </c>
      <c r="F275" s="4">
        <f>CHOOSE( CONTROL!$C$33, 9.3137, 9.3121) * CHOOSE(CONTROL!$C$16, $D$10, 100%, $F$10)</f>
        <v>9.3137000000000008</v>
      </c>
      <c r="G275" s="8">
        <f>CHOOSE( CONTROL!$C$33, 8.479, 8.4775) * CHOOSE( CONTROL!$C$16, $D$10, 100%, $F$10)</f>
        <v>8.4789999999999992</v>
      </c>
      <c r="H275" s="4">
        <f>CHOOSE( CONTROL!$C$33, 9.4576, 9.4561) * CHOOSE(CONTROL!$C$16, $D$10, 100%, $F$10)</f>
        <v>9.4575999999999993</v>
      </c>
      <c r="I275" s="8">
        <f>CHOOSE( CONTROL!$C$33, 8.4021, 8.4006) * CHOOSE(CONTROL!$C$16, $D$10, 100%, $F$10)</f>
        <v>8.4021000000000008</v>
      </c>
      <c r="J275" s="4">
        <f>CHOOSE( CONTROL!$C$33, 8.2808, 8.2792) * CHOOSE(CONTROL!$C$16, $D$10, 100%, $F$10)</f>
        <v>8.2807999999999993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1.2927</v>
      </c>
      <c r="Q275" s="9">
        <v>30.645399999999999</v>
      </c>
      <c r="R275" s="9"/>
      <c r="S275" s="11"/>
    </row>
    <row r="276" spans="1:19" ht="15" customHeight="1">
      <c r="A276" s="14">
        <v>49553</v>
      </c>
      <c r="B276" s="8">
        <f>CHOOSE( CONTROL!$C$33, 8.3577, 8.3561) * CHOOSE(CONTROL!$C$16, $D$10, 100%, $F$10)</f>
        <v>8.3576999999999995</v>
      </c>
      <c r="C276" s="8">
        <f>CHOOSE( CONTROL!$C$33, 8.3657, 8.3641) * CHOOSE(CONTROL!$C$16, $D$10, 100%, $F$10)</f>
        <v>8.3657000000000004</v>
      </c>
      <c r="D276" s="8">
        <f>CHOOSE( CONTROL!$C$33, 8.3882, 8.3867) * CHOOSE( CONTROL!$C$16, $D$10, 100%, $F$10)</f>
        <v>8.3881999999999994</v>
      </c>
      <c r="E276" s="12">
        <f>CHOOSE( CONTROL!$C$33, 8.3788, 8.3773) * CHOOSE( CONTROL!$C$16, $D$10, 100%, $F$10)</f>
        <v>8.3788</v>
      </c>
      <c r="F276" s="4">
        <f>CHOOSE( CONTROL!$C$33, 9.1346, 9.133) * CHOOSE(CONTROL!$C$16, $D$10, 100%, $F$10)</f>
        <v>9.1346000000000007</v>
      </c>
      <c r="G276" s="8">
        <f>CHOOSE( CONTROL!$C$33, 8.3023, 8.3008) * CHOOSE( CONTROL!$C$16, $D$10, 100%, $F$10)</f>
        <v>8.3023000000000007</v>
      </c>
      <c r="H276" s="4">
        <f>CHOOSE( CONTROL!$C$33, 9.281, 9.2795) * CHOOSE(CONTROL!$C$16, $D$10, 100%, $F$10)</f>
        <v>9.2810000000000006</v>
      </c>
      <c r="I276" s="8">
        <f>CHOOSE( CONTROL!$C$33, 8.2282, 8.2267) * CHOOSE(CONTROL!$C$16, $D$10, 100%, $F$10)</f>
        <v>8.2281999999999993</v>
      </c>
      <c r="J276" s="4">
        <f>CHOOSE( CONTROL!$C$33, 8.1073, 8.1058) * CHOOSE(CONTROL!$C$16, $D$10, 100%, $F$10)</f>
        <v>8.1073000000000004</v>
      </c>
      <c r="K276" s="4"/>
      <c r="L276" s="9">
        <v>29.7257</v>
      </c>
      <c r="M276" s="9">
        <v>11.6745</v>
      </c>
      <c r="N276" s="9">
        <v>4.7850000000000001</v>
      </c>
      <c r="O276" s="9">
        <v>0.36199999999999999</v>
      </c>
      <c r="P276" s="9">
        <v>1.2509999999999999</v>
      </c>
      <c r="Q276" s="9">
        <v>29.6568</v>
      </c>
      <c r="R276" s="9"/>
      <c r="S276" s="11"/>
    </row>
    <row r="277" spans="1:19" ht="15" customHeight="1">
      <c r="A277" s="14">
        <v>49583</v>
      </c>
      <c r="B277" s="8">
        <f>CHOOSE( CONTROL!$C$33, 8.7274, 8.7263) * CHOOSE(CONTROL!$C$16, $D$10, 100%, $F$10)</f>
        <v>8.7273999999999994</v>
      </c>
      <c r="C277" s="8">
        <f>CHOOSE( CONTROL!$C$33, 8.7327, 8.7316) * CHOOSE(CONTROL!$C$16, $D$10, 100%, $F$10)</f>
        <v>8.7326999999999995</v>
      </c>
      <c r="D277" s="8">
        <f>CHOOSE( CONTROL!$C$33, 8.7615, 8.7604) * CHOOSE( CONTROL!$C$16, $D$10, 100%, $F$10)</f>
        <v>8.7614999999999998</v>
      </c>
      <c r="E277" s="12">
        <f>CHOOSE( CONTROL!$C$33, 8.7514, 8.7503) * CHOOSE( CONTROL!$C$16, $D$10, 100%, $F$10)</f>
        <v>8.7514000000000003</v>
      </c>
      <c r="F277" s="4">
        <f>CHOOSE( CONTROL!$C$33, 9.506, 9.5049) * CHOOSE(CONTROL!$C$16, $D$10, 100%, $F$10)</f>
        <v>9.5060000000000002</v>
      </c>
      <c r="G277" s="8">
        <f>CHOOSE( CONTROL!$C$33, 8.6687, 8.6676) * CHOOSE( CONTROL!$C$16, $D$10, 100%, $F$10)</f>
        <v>8.6686999999999994</v>
      </c>
      <c r="H277" s="4">
        <f>CHOOSE( CONTROL!$C$33, 9.6473, 9.6462) * CHOOSE(CONTROL!$C$16, $D$10, 100%, $F$10)</f>
        <v>9.6472999999999995</v>
      </c>
      <c r="I277" s="8">
        <f>CHOOSE( CONTROL!$C$33, 8.5886, 8.5875) * CHOOSE(CONTROL!$C$16, $D$10, 100%, $F$10)</f>
        <v>8.5885999999999996</v>
      </c>
      <c r="J277" s="4">
        <f>CHOOSE( CONTROL!$C$33, 8.467, 8.4659) * CHOOSE(CONTROL!$C$16, $D$10, 100%, $F$10)</f>
        <v>8.4670000000000005</v>
      </c>
      <c r="K277" s="4"/>
      <c r="L277" s="9">
        <v>31.095300000000002</v>
      </c>
      <c r="M277" s="9">
        <v>12.063700000000001</v>
      </c>
      <c r="N277" s="9">
        <v>4.9444999999999997</v>
      </c>
      <c r="O277" s="9">
        <v>0.37409999999999999</v>
      </c>
      <c r="P277" s="9">
        <v>1.2927</v>
      </c>
      <c r="Q277" s="9">
        <v>30.645399999999999</v>
      </c>
      <c r="R277" s="9"/>
      <c r="S277" s="11"/>
    </row>
    <row r="278" spans="1:19" ht="15" customHeight="1">
      <c r="A278" s="14">
        <v>49614</v>
      </c>
      <c r="B278" s="8">
        <f>CHOOSE( CONTROL!$C$33, 9.4134, 9.4123) * CHOOSE(CONTROL!$C$16, $D$10, 100%, $F$10)</f>
        <v>9.4133999999999993</v>
      </c>
      <c r="C278" s="8">
        <f>CHOOSE( CONTROL!$C$33, 9.4185, 9.4174) * CHOOSE(CONTROL!$C$16, $D$10, 100%, $F$10)</f>
        <v>9.4184999999999999</v>
      </c>
      <c r="D278" s="8">
        <f>CHOOSE( CONTROL!$C$33, 9.3982, 9.397) * CHOOSE( CONTROL!$C$16, $D$10, 100%, $F$10)</f>
        <v>9.3981999999999992</v>
      </c>
      <c r="E278" s="12">
        <f>CHOOSE( CONTROL!$C$33, 9.4051, 9.4039) * CHOOSE( CONTROL!$C$16, $D$10, 100%, $F$10)</f>
        <v>9.4050999999999991</v>
      </c>
      <c r="F278" s="4">
        <f>CHOOSE( CONTROL!$C$33, 10.0763, 10.0751) * CHOOSE(CONTROL!$C$16, $D$10, 100%, $F$10)</f>
        <v>10.0763</v>
      </c>
      <c r="G278" s="8">
        <f>CHOOSE( CONTROL!$C$33, 9.318, 9.3169) * CHOOSE( CONTROL!$C$16, $D$10, 100%, $F$10)</f>
        <v>9.3179999999999996</v>
      </c>
      <c r="H278" s="4">
        <f>CHOOSE( CONTROL!$C$33, 10.2095, 10.2084) * CHOOSE(CONTROL!$C$16, $D$10, 100%, $F$10)</f>
        <v>10.2095</v>
      </c>
      <c r="I278" s="8">
        <f>CHOOSE( CONTROL!$C$33, 9.3014, 9.3003) * CHOOSE(CONTROL!$C$16, $D$10, 100%, $F$10)</f>
        <v>9.3013999999999992</v>
      </c>
      <c r="J278" s="4">
        <f>CHOOSE( CONTROL!$C$33, 9.1316, 9.1306) * CHOOSE(CONTROL!$C$16, $D$10, 100%, $F$10)</f>
        <v>9.1316000000000006</v>
      </c>
      <c r="K278" s="4"/>
      <c r="L278" s="9">
        <v>28.360600000000002</v>
      </c>
      <c r="M278" s="9">
        <v>11.6745</v>
      </c>
      <c r="N278" s="9">
        <v>4.7850000000000001</v>
      </c>
      <c r="O278" s="9">
        <v>0.36199999999999999</v>
      </c>
      <c r="P278" s="9">
        <v>1.2509999999999999</v>
      </c>
      <c r="Q278" s="9">
        <v>29.6568</v>
      </c>
      <c r="R278" s="9"/>
      <c r="S278" s="11"/>
    </row>
    <row r="279" spans="1:19" ht="15" customHeight="1">
      <c r="A279" s="14">
        <v>49644</v>
      </c>
      <c r="B279" s="8">
        <f>CHOOSE( CONTROL!$C$33, 9.3962, 9.3951) * CHOOSE(CONTROL!$C$16, $D$10, 100%, $F$10)</f>
        <v>9.3962000000000003</v>
      </c>
      <c r="C279" s="8">
        <f>CHOOSE( CONTROL!$C$33, 9.4013, 9.4002) * CHOOSE(CONTROL!$C$16, $D$10, 100%, $F$10)</f>
        <v>9.4013000000000009</v>
      </c>
      <c r="D279" s="8">
        <f>CHOOSE( CONTROL!$C$33, 9.3825, 9.3813) * CHOOSE( CONTROL!$C$16, $D$10, 100%, $F$10)</f>
        <v>9.3825000000000003</v>
      </c>
      <c r="E279" s="12">
        <f>CHOOSE( CONTROL!$C$33, 9.3888, 9.3877) * CHOOSE( CONTROL!$C$16, $D$10, 100%, $F$10)</f>
        <v>9.3887999999999998</v>
      </c>
      <c r="F279" s="4">
        <f>CHOOSE( CONTROL!$C$33, 10.0591, 10.058) * CHOOSE(CONTROL!$C$16, $D$10, 100%, $F$10)</f>
        <v>10.059100000000001</v>
      </c>
      <c r="G279" s="8">
        <f>CHOOSE( CONTROL!$C$33, 9.3022, 9.301) * CHOOSE( CONTROL!$C$16, $D$10, 100%, $F$10)</f>
        <v>9.3021999999999991</v>
      </c>
      <c r="H279" s="4">
        <f>CHOOSE( CONTROL!$C$33, 10.1926, 10.1915) * CHOOSE(CONTROL!$C$16, $D$10, 100%, $F$10)</f>
        <v>10.192600000000001</v>
      </c>
      <c r="I279" s="8">
        <f>CHOOSE( CONTROL!$C$33, 9.2893, 9.2882) * CHOOSE(CONTROL!$C$16, $D$10, 100%, $F$10)</f>
        <v>9.2893000000000008</v>
      </c>
      <c r="J279" s="4">
        <f>CHOOSE( CONTROL!$C$33, 9.115, 9.114) * CHOOSE(CONTROL!$C$16, $D$10, 100%, $F$10)</f>
        <v>9.1150000000000002</v>
      </c>
      <c r="K279" s="4"/>
      <c r="L279" s="9">
        <v>29.306000000000001</v>
      </c>
      <c r="M279" s="9">
        <v>12.063700000000001</v>
      </c>
      <c r="N279" s="9">
        <v>4.9444999999999997</v>
      </c>
      <c r="O279" s="9">
        <v>0.37409999999999999</v>
      </c>
      <c r="P279" s="9">
        <v>1.2927</v>
      </c>
      <c r="Q279" s="9">
        <v>30.645399999999999</v>
      </c>
      <c r="R279" s="9"/>
      <c r="S279" s="11"/>
    </row>
    <row r="280" spans="1:19" ht="15" customHeight="1">
      <c r="A280" s="14">
        <v>49675</v>
      </c>
      <c r="B280" s="8">
        <f>CHOOSE( CONTROL!$C$33, 9.6739, 9.6728) * CHOOSE(CONTROL!$C$16, $D$10, 100%, $F$10)</f>
        <v>9.6738999999999997</v>
      </c>
      <c r="C280" s="8">
        <f>CHOOSE( CONTROL!$C$33, 9.679, 9.6779) * CHOOSE(CONTROL!$C$16, $D$10, 100%, $F$10)</f>
        <v>9.6790000000000003</v>
      </c>
      <c r="D280" s="8">
        <f>CHOOSE( CONTROL!$C$33, 9.6713, 9.6702) * CHOOSE( CONTROL!$C$16, $D$10, 100%, $F$10)</f>
        <v>9.6713000000000005</v>
      </c>
      <c r="E280" s="12">
        <f>CHOOSE( CONTROL!$C$33, 9.6736, 9.6725) * CHOOSE( CONTROL!$C$16, $D$10, 100%, $F$10)</f>
        <v>9.6736000000000004</v>
      </c>
      <c r="F280" s="4">
        <f>CHOOSE( CONTROL!$C$33, 10.3367, 10.3356) * CHOOSE(CONTROL!$C$16, $D$10, 100%, $F$10)</f>
        <v>10.3367</v>
      </c>
      <c r="G280" s="8">
        <f>CHOOSE( CONTROL!$C$33, 9.5818, 9.5807) * CHOOSE( CONTROL!$C$16, $D$10, 100%, $F$10)</f>
        <v>9.5817999999999994</v>
      </c>
      <c r="H280" s="4">
        <f>CHOOSE( CONTROL!$C$33, 10.4664, 10.4653) * CHOOSE(CONTROL!$C$16, $D$10, 100%, $F$10)</f>
        <v>10.4664</v>
      </c>
      <c r="I280" s="8">
        <f>CHOOSE( CONTROL!$C$33, 9.5495, 9.5484) * CHOOSE(CONTROL!$C$16, $D$10, 100%, $F$10)</f>
        <v>9.5495000000000001</v>
      </c>
      <c r="J280" s="4">
        <f>CHOOSE( CONTROL!$C$33, 9.3839, 9.3828) * CHOOSE(CONTROL!$C$16, $D$10, 100%, $F$10)</f>
        <v>9.3839000000000006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30.580300000000001</v>
      </c>
      <c r="R280" s="9"/>
      <c r="S280" s="11"/>
    </row>
    <row r="281" spans="1:19" ht="15" customHeight="1">
      <c r="A281" s="14">
        <v>49706</v>
      </c>
      <c r="B281" s="8">
        <f>CHOOSE( CONTROL!$C$33, 9.0474, 9.0463) * CHOOSE(CONTROL!$C$16, $D$10, 100%, $F$10)</f>
        <v>9.0473999999999997</v>
      </c>
      <c r="C281" s="8">
        <f>CHOOSE( CONTROL!$C$33, 9.0525, 9.0514) * CHOOSE(CONTROL!$C$16, $D$10, 100%, $F$10)</f>
        <v>9.0525000000000002</v>
      </c>
      <c r="D281" s="8">
        <f>CHOOSE( CONTROL!$C$33, 9.0447, 9.0436) * CHOOSE( CONTROL!$C$16, $D$10, 100%, $F$10)</f>
        <v>9.0447000000000006</v>
      </c>
      <c r="E281" s="12">
        <f>CHOOSE( CONTROL!$C$33, 9.047, 9.0459) * CHOOSE( CONTROL!$C$16, $D$10, 100%, $F$10)</f>
        <v>9.0470000000000006</v>
      </c>
      <c r="F281" s="4">
        <f>CHOOSE( CONTROL!$C$33, 9.7103, 9.7092) * CHOOSE(CONTROL!$C$16, $D$10, 100%, $F$10)</f>
        <v>9.7103000000000002</v>
      </c>
      <c r="G281" s="8">
        <f>CHOOSE( CONTROL!$C$33, 8.9639, 8.9628) * CHOOSE( CONTROL!$C$16, $D$10, 100%, $F$10)</f>
        <v>8.9639000000000006</v>
      </c>
      <c r="H281" s="4">
        <f>CHOOSE( CONTROL!$C$33, 9.8487, 9.8476) * CHOOSE(CONTROL!$C$16, $D$10, 100%, $F$10)</f>
        <v>9.8486999999999991</v>
      </c>
      <c r="I281" s="8">
        <f>CHOOSE( CONTROL!$C$33, 8.942, 8.941) * CHOOSE(CONTROL!$C$16, $D$10, 100%, $F$10)</f>
        <v>8.9420000000000002</v>
      </c>
      <c r="J281" s="4">
        <f>CHOOSE( CONTROL!$C$33, 8.7773, 8.7762) * CHOOSE(CONTROL!$C$16, $D$10, 100%, $F$10)</f>
        <v>8.7773000000000003</v>
      </c>
      <c r="K281" s="4"/>
      <c r="L281" s="9">
        <v>27.415299999999998</v>
      </c>
      <c r="M281" s="9">
        <v>11.285299999999999</v>
      </c>
      <c r="N281" s="9">
        <v>4.6254999999999997</v>
      </c>
      <c r="O281" s="9">
        <v>0.34989999999999999</v>
      </c>
      <c r="P281" s="9">
        <v>1.2093</v>
      </c>
      <c r="Q281" s="9">
        <v>28.607299999999999</v>
      </c>
      <c r="R281" s="9"/>
      <c r="S281" s="11"/>
    </row>
    <row r="282" spans="1:19" ht="15" customHeight="1">
      <c r="A282" s="14">
        <v>49735</v>
      </c>
      <c r="B282" s="8">
        <f>CHOOSE( CONTROL!$C$33, 8.8545, 8.8534) * CHOOSE(CONTROL!$C$16, $D$10, 100%, $F$10)</f>
        <v>8.8544999999999998</v>
      </c>
      <c r="C282" s="8">
        <f>CHOOSE( CONTROL!$C$33, 8.8596, 8.8585) * CHOOSE(CONTROL!$C$16, $D$10, 100%, $F$10)</f>
        <v>8.8596000000000004</v>
      </c>
      <c r="D282" s="8">
        <f>CHOOSE( CONTROL!$C$33, 8.851, 8.8499) * CHOOSE( CONTROL!$C$16, $D$10, 100%, $F$10)</f>
        <v>8.8510000000000009</v>
      </c>
      <c r="E282" s="12">
        <f>CHOOSE( CONTROL!$C$33, 8.8536, 8.8525) * CHOOSE( CONTROL!$C$16, $D$10, 100%, $F$10)</f>
        <v>8.8536000000000001</v>
      </c>
      <c r="F282" s="4">
        <f>CHOOSE( CONTROL!$C$33, 9.5174, 9.5162) * CHOOSE(CONTROL!$C$16, $D$10, 100%, $F$10)</f>
        <v>9.5174000000000003</v>
      </c>
      <c r="G282" s="8">
        <f>CHOOSE( CONTROL!$C$33, 8.7732, 8.772) * CHOOSE( CONTROL!$C$16, $D$10, 100%, $F$10)</f>
        <v>8.7731999999999992</v>
      </c>
      <c r="H282" s="4">
        <f>CHOOSE( CONTROL!$C$33, 9.6584, 9.6573) * CHOOSE(CONTROL!$C$16, $D$10, 100%, $F$10)</f>
        <v>9.6584000000000003</v>
      </c>
      <c r="I282" s="8">
        <f>CHOOSE( CONTROL!$C$33, 8.7529, 8.7518) * CHOOSE(CONTROL!$C$16, $D$10, 100%, $F$10)</f>
        <v>8.7529000000000003</v>
      </c>
      <c r="J282" s="4">
        <f>CHOOSE( CONTROL!$C$33, 8.5905, 8.5894) * CHOOSE(CONTROL!$C$16, $D$10, 100%, $F$10)</f>
        <v>8.5905000000000005</v>
      </c>
      <c r="K282" s="4"/>
      <c r="L282" s="9">
        <v>29.306000000000001</v>
      </c>
      <c r="M282" s="9">
        <v>12.063700000000001</v>
      </c>
      <c r="N282" s="9">
        <v>4.9444999999999997</v>
      </c>
      <c r="O282" s="9">
        <v>0.37409999999999999</v>
      </c>
      <c r="P282" s="9">
        <v>1.2927</v>
      </c>
      <c r="Q282" s="9">
        <v>30.580300000000001</v>
      </c>
      <c r="R282" s="9"/>
      <c r="S282" s="11"/>
    </row>
    <row r="283" spans="1:19" ht="15" customHeight="1">
      <c r="A283" s="14">
        <v>49766</v>
      </c>
      <c r="B283" s="8">
        <f>CHOOSE( CONTROL!$C$33, 8.9901, 8.989) * CHOOSE(CONTROL!$C$16, $D$10, 100%, $F$10)</f>
        <v>8.9901</v>
      </c>
      <c r="C283" s="8">
        <f>CHOOSE( CONTROL!$C$33, 8.9946, 8.9935) * CHOOSE(CONTROL!$C$16, $D$10, 100%, $F$10)</f>
        <v>8.9946000000000002</v>
      </c>
      <c r="D283" s="8">
        <f>CHOOSE( CONTROL!$C$33, 9.0235, 9.0224) * CHOOSE( CONTROL!$C$16, $D$10, 100%, $F$10)</f>
        <v>9.0235000000000003</v>
      </c>
      <c r="E283" s="12">
        <f>CHOOSE( CONTROL!$C$33, 9.0134, 9.0123) * CHOOSE( CONTROL!$C$16, $D$10, 100%, $F$10)</f>
        <v>9.0134000000000007</v>
      </c>
      <c r="F283" s="4">
        <f>CHOOSE( CONTROL!$C$33, 9.7684, 9.7672) * CHOOSE(CONTROL!$C$16, $D$10, 100%, $F$10)</f>
        <v>9.7683999999999997</v>
      </c>
      <c r="G283" s="8">
        <f>CHOOSE( CONTROL!$C$33, 8.927, 8.9259) * CHOOSE( CONTROL!$C$16, $D$10, 100%, $F$10)</f>
        <v>8.9269999999999996</v>
      </c>
      <c r="H283" s="4">
        <f>CHOOSE( CONTROL!$C$33, 9.9059, 9.9048) * CHOOSE(CONTROL!$C$16, $D$10, 100%, $F$10)</f>
        <v>9.9059000000000008</v>
      </c>
      <c r="I283" s="8">
        <f>CHOOSE( CONTROL!$C$33, 8.8415, 8.8404) * CHOOSE(CONTROL!$C$16, $D$10, 100%, $F$10)</f>
        <v>8.8414999999999999</v>
      </c>
      <c r="J283" s="4">
        <f>CHOOSE( CONTROL!$C$33, 8.721, 8.7199) * CHOOSE(CONTROL!$C$16, $D$10, 100%, $F$10)</f>
        <v>8.7210000000000001</v>
      </c>
      <c r="K283" s="4"/>
      <c r="L283" s="9">
        <v>30.092199999999998</v>
      </c>
      <c r="M283" s="9">
        <v>11.6745</v>
      </c>
      <c r="N283" s="9">
        <v>4.7850000000000001</v>
      </c>
      <c r="O283" s="9">
        <v>0.36199999999999999</v>
      </c>
      <c r="P283" s="9">
        <v>1.2509999999999999</v>
      </c>
      <c r="Q283" s="9">
        <v>29.593800000000002</v>
      </c>
      <c r="R283" s="9"/>
      <c r="S283" s="11"/>
    </row>
    <row r="284" spans="1:19" ht="15" customHeight="1">
      <c r="A284" s="14">
        <v>49796</v>
      </c>
      <c r="B284" s="8">
        <f>CHOOSE( CONTROL!$C$33, 9.2319, 9.2303) * CHOOSE(CONTROL!$C$16, $D$10, 100%, $F$10)</f>
        <v>9.2318999999999996</v>
      </c>
      <c r="C284" s="8">
        <f>CHOOSE( CONTROL!$C$33, 9.2398, 9.2383) * CHOOSE(CONTROL!$C$16, $D$10, 100%, $F$10)</f>
        <v>9.2398000000000007</v>
      </c>
      <c r="D284" s="8">
        <f>CHOOSE( CONTROL!$C$33, 9.2621, 9.2605) * CHOOSE( CONTROL!$C$16, $D$10, 100%, $F$10)</f>
        <v>9.2621000000000002</v>
      </c>
      <c r="E284" s="12">
        <f>CHOOSE( CONTROL!$C$33, 9.2528, 9.2512) * CHOOSE( CONTROL!$C$16, $D$10, 100%, $F$10)</f>
        <v>9.2528000000000006</v>
      </c>
      <c r="F284" s="4">
        <f>CHOOSE( CONTROL!$C$33, 10.0088, 10.0072) * CHOOSE(CONTROL!$C$16, $D$10, 100%, $F$10)</f>
        <v>10.008800000000001</v>
      </c>
      <c r="G284" s="8">
        <f>CHOOSE( CONTROL!$C$33, 9.164, 9.1625) * CHOOSE( CONTROL!$C$16, $D$10, 100%, $F$10)</f>
        <v>9.1639999999999997</v>
      </c>
      <c r="H284" s="4">
        <f>CHOOSE( CONTROL!$C$33, 10.143, 10.1414) * CHOOSE(CONTROL!$C$16, $D$10, 100%, $F$10)</f>
        <v>10.143000000000001</v>
      </c>
      <c r="I284" s="8">
        <f>CHOOSE( CONTROL!$C$33, 9.074, 9.0725) * CHOOSE(CONTROL!$C$16, $D$10, 100%, $F$10)</f>
        <v>9.0739999999999998</v>
      </c>
      <c r="J284" s="4">
        <f>CHOOSE( CONTROL!$C$33, 8.9538, 8.9523) * CHOOSE(CONTROL!$C$16, $D$10, 100%, $F$10)</f>
        <v>8.9537999999999993</v>
      </c>
      <c r="K284" s="4"/>
      <c r="L284" s="9">
        <v>30.7165</v>
      </c>
      <c r="M284" s="9">
        <v>12.063700000000001</v>
      </c>
      <c r="N284" s="9">
        <v>4.9444999999999997</v>
      </c>
      <c r="O284" s="9">
        <v>0.37409999999999999</v>
      </c>
      <c r="P284" s="9">
        <v>1.2927</v>
      </c>
      <c r="Q284" s="9">
        <v>30.580300000000001</v>
      </c>
      <c r="R284" s="9"/>
      <c r="S284" s="11"/>
    </row>
    <row r="285" spans="1:19" ht="15" customHeight="1">
      <c r="A285" s="14">
        <v>49827</v>
      </c>
      <c r="B285" s="8">
        <f>CHOOSE( CONTROL!$C$33, 9.0832, 9.0816) * CHOOSE(CONTROL!$C$16, $D$10, 100%, $F$10)</f>
        <v>9.0831999999999997</v>
      </c>
      <c r="C285" s="8">
        <f>CHOOSE( CONTROL!$C$33, 9.0912, 9.0896) * CHOOSE(CONTROL!$C$16, $D$10, 100%, $F$10)</f>
        <v>9.0912000000000006</v>
      </c>
      <c r="D285" s="8">
        <f>CHOOSE( CONTROL!$C$33, 9.1136, 9.112) * CHOOSE( CONTROL!$C$16, $D$10, 100%, $F$10)</f>
        <v>9.1135999999999999</v>
      </c>
      <c r="E285" s="12">
        <f>CHOOSE( CONTROL!$C$33, 9.1043, 9.1027) * CHOOSE( CONTROL!$C$16, $D$10, 100%, $F$10)</f>
        <v>9.1043000000000003</v>
      </c>
      <c r="F285" s="4">
        <f>CHOOSE( CONTROL!$C$33, 9.8601, 9.8586) * CHOOSE(CONTROL!$C$16, $D$10, 100%, $F$10)</f>
        <v>9.8600999999999992</v>
      </c>
      <c r="G285" s="8">
        <f>CHOOSE( CONTROL!$C$33, 9.0176, 9.016) * CHOOSE( CONTROL!$C$16, $D$10, 100%, $F$10)</f>
        <v>9.0175999999999998</v>
      </c>
      <c r="H285" s="4">
        <f>CHOOSE( CONTROL!$C$33, 9.9964, 9.9949) * CHOOSE(CONTROL!$C$16, $D$10, 100%, $F$10)</f>
        <v>9.9963999999999995</v>
      </c>
      <c r="I285" s="8">
        <f>CHOOSE( CONTROL!$C$33, 8.9305, 8.929) * CHOOSE(CONTROL!$C$16, $D$10, 100%, $F$10)</f>
        <v>8.9305000000000003</v>
      </c>
      <c r="J285" s="4">
        <f>CHOOSE( CONTROL!$C$33, 8.8099, 8.8083) * CHOOSE(CONTROL!$C$16, $D$10, 100%, $F$10)</f>
        <v>8.8099000000000007</v>
      </c>
      <c r="K285" s="4"/>
      <c r="L285" s="9">
        <v>29.7257</v>
      </c>
      <c r="M285" s="9">
        <v>11.6745</v>
      </c>
      <c r="N285" s="9">
        <v>4.7850000000000001</v>
      </c>
      <c r="O285" s="9">
        <v>0.36199999999999999</v>
      </c>
      <c r="P285" s="9">
        <v>1.2509999999999999</v>
      </c>
      <c r="Q285" s="9">
        <v>29.593800000000002</v>
      </c>
      <c r="R285" s="9"/>
      <c r="S285" s="11"/>
    </row>
    <row r="286" spans="1:19" ht="15" customHeight="1">
      <c r="A286" s="14">
        <v>49857</v>
      </c>
      <c r="B286" s="8">
        <f>CHOOSE( CONTROL!$C$33, 9.4746, 9.4731) * CHOOSE(CONTROL!$C$16, $D$10, 100%, $F$10)</f>
        <v>9.4746000000000006</v>
      </c>
      <c r="C286" s="8">
        <f>CHOOSE( CONTROL!$C$33, 9.4826, 9.4811) * CHOOSE(CONTROL!$C$16, $D$10, 100%, $F$10)</f>
        <v>9.4825999999999997</v>
      </c>
      <c r="D286" s="8">
        <f>CHOOSE( CONTROL!$C$33, 9.5053, 9.5037) * CHOOSE( CONTROL!$C$16, $D$10, 100%, $F$10)</f>
        <v>9.5053000000000001</v>
      </c>
      <c r="E286" s="12">
        <f>CHOOSE( CONTROL!$C$33, 9.4959, 9.4943) * CHOOSE( CONTROL!$C$16, $D$10, 100%, $F$10)</f>
        <v>9.4959000000000007</v>
      </c>
      <c r="F286" s="4">
        <f>CHOOSE( CONTROL!$C$33, 10.2516, 10.25) * CHOOSE(CONTROL!$C$16, $D$10, 100%, $F$10)</f>
        <v>10.2516</v>
      </c>
      <c r="G286" s="8">
        <f>CHOOSE( CONTROL!$C$33, 9.4037, 9.4022) * CHOOSE( CONTROL!$C$16, $D$10, 100%, $F$10)</f>
        <v>9.4037000000000006</v>
      </c>
      <c r="H286" s="4">
        <f>CHOOSE( CONTROL!$C$33, 10.3824, 10.3808) * CHOOSE(CONTROL!$C$16, $D$10, 100%, $F$10)</f>
        <v>10.382400000000001</v>
      </c>
      <c r="I286" s="8">
        <f>CHOOSE( CONTROL!$C$33, 9.3105, 9.309) * CHOOSE(CONTROL!$C$16, $D$10, 100%, $F$10)</f>
        <v>9.3104999999999993</v>
      </c>
      <c r="J286" s="4">
        <f>CHOOSE( CONTROL!$C$33, 9.1889, 9.1874) * CHOOSE(CONTROL!$C$16, $D$10, 100%, $F$10)</f>
        <v>9.1889000000000003</v>
      </c>
      <c r="K286" s="4"/>
      <c r="L286" s="9">
        <v>30.7165</v>
      </c>
      <c r="M286" s="9">
        <v>12.063700000000001</v>
      </c>
      <c r="N286" s="9">
        <v>4.9444999999999997</v>
      </c>
      <c r="O286" s="9">
        <v>0.37409999999999999</v>
      </c>
      <c r="P286" s="9">
        <v>1.2927</v>
      </c>
      <c r="Q286" s="9">
        <v>30.580300000000001</v>
      </c>
      <c r="R286" s="9"/>
      <c r="S286" s="11"/>
    </row>
    <row r="287" spans="1:19" ht="15" customHeight="1">
      <c r="A287" s="14">
        <v>49888</v>
      </c>
      <c r="B287" s="8">
        <f>CHOOSE( CONTROL!$C$33, 8.7422, 8.7407) * CHOOSE(CONTROL!$C$16, $D$10, 100%, $F$10)</f>
        <v>8.7422000000000004</v>
      </c>
      <c r="C287" s="8">
        <f>CHOOSE( CONTROL!$C$33, 8.7502, 8.7487) * CHOOSE(CONTROL!$C$16, $D$10, 100%, $F$10)</f>
        <v>8.7501999999999995</v>
      </c>
      <c r="D287" s="8">
        <f>CHOOSE( CONTROL!$C$33, 8.7729, 8.7713) * CHOOSE( CONTROL!$C$16, $D$10, 100%, $F$10)</f>
        <v>8.7728999999999999</v>
      </c>
      <c r="E287" s="12">
        <f>CHOOSE( CONTROL!$C$33, 8.7635, 8.7619) * CHOOSE( CONTROL!$C$16, $D$10, 100%, $F$10)</f>
        <v>8.7635000000000005</v>
      </c>
      <c r="F287" s="4">
        <f>CHOOSE( CONTROL!$C$33, 9.5191, 9.5176) * CHOOSE(CONTROL!$C$16, $D$10, 100%, $F$10)</f>
        <v>9.5190999999999999</v>
      </c>
      <c r="G287" s="8">
        <f>CHOOSE( CONTROL!$C$33, 8.6816, 8.68) * CHOOSE( CONTROL!$C$16, $D$10, 100%, $F$10)</f>
        <v>8.6815999999999995</v>
      </c>
      <c r="H287" s="4">
        <f>CHOOSE( CONTROL!$C$33, 9.6602, 9.6586) * CHOOSE(CONTROL!$C$16, $D$10, 100%, $F$10)</f>
        <v>9.6601999999999997</v>
      </c>
      <c r="I287" s="8">
        <f>CHOOSE( CONTROL!$C$33, 8.6012, 8.5996) * CHOOSE(CONTROL!$C$16, $D$10, 100%, $F$10)</f>
        <v>8.6012000000000004</v>
      </c>
      <c r="J287" s="4">
        <f>CHOOSE( CONTROL!$C$33, 8.4797, 8.4782) * CHOOSE(CONTROL!$C$16, $D$10, 100%, $F$10)</f>
        <v>8.4796999999999993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1.2927</v>
      </c>
      <c r="Q287" s="9">
        <v>30.580300000000001</v>
      </c>
      <c r="R287" s="9"/>
      <c r="S287" s="11"/>
    </row>
    <row r="288" spans="1:19" ht="15" customHeight="1">
      <c r="A288" s="14">
        <v>49919</v>
      </c>
      <c r="B288" s="8">
        <f>CHOOSE( CONTROL!$C$33, 8.5588, 8.5573) * CHOOSE(CONTROL!$C$16, $D$10, 100%, $F$10)</f>
        <v>8.5587999999999997</v>
      </c>
      <c r="C288" s="8">
        <f>CHOOSE( CONTROL!$C$33, 8.5668, 8.5652) * CHOOSE(CONTROL!$C$16, $D$10, 100%, $F$10)</f>
        <v>8.5668000000000006</v>
      </c>
      <c r="D288" s="8">
        <f>CHOOSE( CONTROL!$C$33, 8.5894, 8.5878) * CHOOSE( CONTROL!$C$16, $D$10, 100%, $F$10)</f>
        <v>8.5893999999999995</v>
      </c>
      <c r="E288" s="12">
        <f>CHOOSE( CONTROL!$C$33, 8.58, 8.5784) * CHOOSE( CONTROL!$C$16, $D$10, 100%, $F$10)</f>
        <v>8.58</v>
      </c>
      <c r="F288" s="4">
        <f>CHOOSE( CONTROL!$C$33, 9.3357, 9.3342) * CHOOSE(CONTROL!$C$16, $D$10, 100%, $F$10)</f>
        <v>9.3356999999999992</v>
      </c>
      <c r="G288" s="8">
        <f>CHOOSE( CONTROL!$C$33, 8.5006, 8.4991) * CHOOSE( CONTROL!$C$16, $D$10, 100%, $F$10)</f>
        <v>8.5006000000000004</v>
      </c>
      <c r="H288" s="4">
        <f>CHOOSE( CONTROL!$C$33, 9.4793, 9.4778) * CHOOSE(CONTROL!$C$16, $D$10, 100%, $F$10)</f>
        <v>9.4793000000000003</v>
      </c>
      <c r="I288" s="8">
        <f>CHOOSE( CONTROL!$C$33, 8.4231, 8.4215) * CHOOSE(CONTROL!$C$16, $D$10, 100%, $F$10)</f>
        <v>8.4230999999999998</v>
      </c>
      <c r="J288" s="4">
        <f>CHOOSE( CONTROL!$C$33, 8.3021, 8.3006) * CHOOSE(CONTROL!$C$16, $D$10, 100%, $F$10)</f>
        <v>8.3020999999999994</v>
      </c>
      <c r="K288" s="4"/>
      <c r="L288" s="9">
        <v>29.7257</v>
      </c>
      <c r="M288" s="9">
        <v>11.6745</v>
      </c>
      <c r="N288" s="9">
        <v>4.7850000000000001</v>
      </c>
      <c r="O288" s="9">
        <v>0.36199999999999999</v>
      </c>
      <c r="P288" s="9">
        <v>1.2509999999999999</v>
      </c>
      <c r="Q288" s="9">
        <v>29.593800000000002</v>
      </c>
      <c r="R288" s="9"/>
      <c r="S288" s="11"/>
    </row>
    <row r="289" spans="1:19" ht="15" customHeight="1">
      <c r="A289" s="14">
        <v>49949</v>
      </c>
      <c r="B289" s="8">
        <f>CHOOSE( CONTROL!$C$33, 8.9375, 8.9363) * CHOOSE(CONTROL!$C$16, $D$10, 100%, $F$10)</f>
        <v>8.9375</v>
      </c>
      <c r="C289" s="8">
        <f>CHOOSE( CONTROL!$C$33, 8.9428, 8.9417) * CHOOSE(CONTROL!$C$16, $D$10, 100%, $F$10)</f>
        <v>8.9428000000000001</v>
      </c>
      <c r="D289" s="8">
        <f>CHOOSE( CONTROL!$C$33, 8.9716, 8.9705) * CHOOSE( CONTROL!$C$16, $D$10, 100%, $F$10)</f>
        <v>8.9716000000000005</v>
      </c>
      <c r="E289" s="12">
        <f>CHOOSE( CONTROL!$C$33, 8.9615, 8.9604) * CHOOSE( CONTROL!$C$16, $D$10, 100%, $F$10)</f>
        <v>8.9614999999999991</v>
      </c>
      <c r="F289" s="4">
        <f>CHOOSE( CONTROL!$C$33, 9.7161, 9.715) * CHOOSE(CONTROL!$C$16, $D$10, 100%, $F$10)</f>
        <v>9.7161000000000008</v>
      </c>
      <c r="G289" s="8">
        <f>CHOOSE( CONTROL!$C$33, 8.8758, 8.8747) * CHOOSE( CONTROL!$C$16, $D$10, 100%, $F$10)</f>
        <v>8.8757999999999999</v>
      </c>
      <c r="H289" s="4">
        <f>CHOOSE( CONTROL!$C$33, 9.8544, 9.8533) * CHOOSE(CONTROL!$C$16, $D$10, 100%, $F$10)</f>
        <v>9.8544</v>
      </c>
      <c r="I289" s="8">
        <f>CHOOSE( CONTROL!$C$33, 8.7921, 8.791) * CHOOSE(CONTROL!$C$16, $D$10, 100%, $F$10)</f>
        <v>8.7920999999999996</v>
      </c>
      <c r="J289" s="4">
        <f>CHOOSE( CONTROL!$C$33, 8.6704, 8.6693) * CHOOSE(CONTROL!$C$16, $D$10, 100%, $F$10)</f>
        <v>8.6704000000000008</v>
      </c>
      <c r="K289" s="4"/>
      <c r="L289" s="9">
        <v>31.095300000000002</v>
      </c>
      <c r="M289" s="9">
        <v>12.063700000000001</v>
      </c>
      <c r="N289" s="9">
        <v>4.9444999999999997</v>
      </c>
      <c r="O289" s="9">
        <v>0.37409999999999999</v>
      </c>
      <c r="P289" s="9">
        <v>1.2927</v>
      </c>
      <c r="Q289" s="9">
        <v>30.580300000000001</v>
      </c>
      <c r="R289" s="9"/>
      <c r="S289" s="11"/>
    </row>
    <row r="290" spans="1:19" ht="15" customHeight="1">
      <c r="A290" s="14">
        <v>49980</v>
      </c>
      <c r="B290" s="8">
        <f>CHOOSE( CONTROL!$C$33, 9.64, 9.6388) * CHOOSE(CONTROL!$C$16, $D$10, 100%, $F$10)</f>
        <v>9.64</v>
      </c>
      <c r="C290" s="8">
        <f>CHOOSE( CONTROL!$C$33, 9.6451, 9.6439) * CHOOSE(CONTROL!$C$16, $D$10, 100%, $F$10)</f>
        <v>9.6450999999999993</v>
      </c>
      <c r="D290" s="8">
        <f>CHOOSE( CONTROL!$C$33, 9.6247, 9.6236) * CHOOSE( CONTROL!$C$16, $D$10, 100%, $F$10)</f>
        <v>9.6247000000000007</v>
      </c>
      <c r="E290" s="12">
        <f>CHOOSE( CONTROL!$C$33, 9.6316, 9.6305) * CHOOSE( CONTROL!$C$16, $D$10, 100%, $F$10)</f>
        <v>9.6316000000000006</v>
      </c>
      <c r="F290" s="4">
        <f>CHOOSE( CONTROL!$C$33, 10.3028, 10.3017) * CHOOSE(CONTROL!$C$16, $D$10, 100%, $F$10)</f>
        <v>10.3028</v>
      </c>
      <c r="G290" s="8">
        <f>CHOOSE( CONTROL!$C$33, 9.5414, 9.5403) * CHOOSE( CONTROL!$C$16, $D$10, 100%, $F$10)</f>
        <v>9.5413999999999994</v>
      </c>
      <c r="H290" s="4">
        <f>CHOOSE( CONTROL!$C$33, 10.4329, 10.4318) * CHOOSE(CONTROL!$C$16, $D$10, 100%, $F$10)</f>
        <v>10.4329</v>
      </c>
      <c r="I290" s="8">
        <f>CHOOSE( CONTROL!$C$33, 9.5209, 9.5198) * CHOOSE(CONTROL!$C$16, $D$10, 100%, $F$10)</f>
        <v>9.5208999999999993</v>
      </c>
      <c r="J290" s="4">
        <f>CHOOSE( CONTROL!$C$33, 9.351, 9.3499) * CHOOSE(CONTROL!$C$16, $D$10, 100%, $F$10)</f>
        <v>9.3510000000000009</v>
      </c>
      <c r="K290" s="4"/>
      <c r="L290" s="9">
        <v>28.360600000000002</v>
      </c>
      <c r="M290" s="9">
        <v>11.6745</v>
      </c>
      <c r="N290" s="9">
        <v>4.7850000000000001</v>
      </c>
      <c r="O290" s="9">
        <v>0.36199999999999999</v>
      </c>
      <c r="P290" s="9">
        <v>1.2509999999999999</v>
      </c>
      <c r="Q290" s="9">
        <v>29.593800000000002</v>
      </c>
      <c r="R290" s="9"/>
      <c r="S290" s="11"/>
    </row>
    <row r="291" spans="1:19" ht="15" customHeight="1">
      <c r="A291" s="14">
        <v>50010</v>
      </c>
      <c r="B291" s="8">
        <f>CHOOSE( CONTROL!$C$33, 9.6224, 9.6213) * CHOOSE(CONTROL!$C$16, $D$10, 100%, $F$10)</f>
        <v>9.6224000000000007</v>
      </c>
      <c r="C291" s="8">
        <f>CHOOSE( CONTROL!$C$33, 9.6275, 9.6264) * CHOOSE(CONTROL!$C$16, $D$10, 100%, $F$10)</f>
        <v>9.6274999999999995</v>
      </c>
      <c r="D291" s="8">
        <f>CHOOSE( CONTROL!$C$33, 9.6086, 9.6075) * CHOOSE( CONTROL!$C$16, $D$10, 100%, $F$10)</f>
        <v>9.6085999999999991</v>
      </c>
      <c r="E291" s="12">
        <f>CHOOSE( CONTROL!$C$33, 9.615, 9.6139) * CHOOSE( CONTROL!$C$16, $D$10, 100%, $F$10)</f>
        <v>9.6150000000000002</v>
      </c>
      <c r="F291" s="4">
        <f>CHOOSE( CONTROL!$C$33, 10.2853, 10.2841) * CHOOSE(CONTROL!$C$16, $D$10, 100%, $F$10)</f>
        <v>10.285299999999999</v>
      </c>
      <c r="G291" s="8">
        <f>CHOOSE( CONTROL!$C$33, 9.5252, 9.524) * CHOOSE( CONTROL!$C$16, $D$10, 100%, $F$10)</f>
        <v>9.5251999999999999</v>
      </c>
      <c r="H291" s="4">
        <f>CHOOSE( CONTROL!$C$33, 10.4156, 10.4145) * CHOOSE(CONTROL!$C$16, $D$10, 100%, $F$10)</f>
        <v>10.4156</v>
      </c>
      <c r="I291" s="8">
        <f>CHOOSE( CONTROL!$C$33, 9.5084, 9.5073) * CHOOSE(CONTROL!$C$16, $D$10, 100%, $F$10)</f>
        <v>9.5084</v>
      </c>
      <c r="J291" s="4">
        <f>CHOOSE( CONTROL!$C$33, 9.334, 9.3329) * CHOOSE(CONTROL!$C$16, $D$10, 100%, $F$10)</f>
        <v>9.3339999999999996</v>
      </c>
      <c r="K291" s="4"/>
      <c r="L291" s="9">
        <v>29.306000000000001</v>
      </c>
      <c r="M291" s="9">
        <v>12.063700000000001</v>
      </c>
      <c r="N291" s="9">
        <v>4.9444999999999997</v>
      </c>
      <c r="O291" s="9">
        <v>0.37409999999999999</v>
      </c>
      <c r="P291" s="9">
        <v>1.2927</v>
      </c>
      <c r="Q291" s="9">
        <v>30.580300000000001</v>
      </c>
      <c r="R291" s="9"/>
      <c r="S291" s="11"/>
    </row>
    <row r="292" spans="1:19" ht="15" customHeight="1">
      <c r="A292" s="14">
        <v>50041</v>
      </c>
      <c r="B292" s="8">
        <f>CHOOSE( CONTROL!$C$33, 9.9067, 9.9056) * CHOOSE(CONTROL!$C$16, $D$10, 100%, $F$10)</f>
        <v>9.9067000000000007</v>
      </c>
      <c r="C292" s="8">
        <f>CHOOSE( CONTROL!$C$33, 9.9118, 9.9107) * CHOOSE(CONTROL!$C$16, $D$10, 100%, $F$10)</f>
        <v>9.9117999999999995</v>
      </c>
      <c r="D292" s="8">
        <f>CHOOSE( CONTROL!$C$33, 9.9042, 9.903) * CHOOSE( CONTROL!$C$16, $D$10, 100%, $F$10)</f>
        <v>9.9041999999999994</v>
      </c>
      <c r="E292" s="12">
        <f>CHOOSE( CONTROL!$C$33, 9.9064, 9.9053) * CHOOSE( CONTROL!$C$16, $D$10, 100%, $F$10)</f>
        <v>9.9063999999999997</v>
      </c>
      <c r="F292" s="4">
        <f>CHOOSE( CONTROL!$C$33, 10.5696, 10.5684) * CHOOSE(CONTROL!$C$16, $D$10, 100%, $F$10)</f>
        <v>10.569599999999999</v>
      </c>
      <c r="G292" s="8">
        <f>CHOOSE( CONTROL!$C$33, 9.8113, 9.8102) * CHOOSE( CONTROL!$C$16, $D$10, 100%, $F$10)</f>
        <v>9.8112999999999992</v>
      </c>
      <c r="H292" s="4">
        <f>CHOOSE( CONTROL!$C$33, 10.696, 10.6948) * CHOOSE(CONTROL!$C$16, $D$10, 100%, $F$10)</f>
        <v>10.696</v>
      </c>
      <c r="I292" s="8">
        <f>CHOOSE( CONTROL!$C$33, 9.7751, 9.774) * CHOOSE(CONTROL!$C$16, $D$10, 100%, $F$10)</f>
        <v>9.7751000000000001</v>
      </c>
      <c r="J292" s="4">
        <f>CHOOSE( CONTROL!$C$33, 9.6093, 9.6082) * CHOOSE(CONTROL!$C$16, $D$10, 100%, $F$10)</f>
        <v>9.6092999999999993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30.5152</v>
      </c>
      <c r="R292" s="9"/>
      <c r="S292" s="11"/>
    </row>
    <row r="293" spans="1:19" ht="15" customHeight="1">
      <c r="A293" s="14">
        <v>50072</v>
      </c>
      <c r="B293" s="8">
        <f>CHOOSE( CONTROL!$C$33, 9.2652, 9.2641) * CHOOSE(CONTROL!$C$16, $D$10, 100%, $F$10)</f>
        <v>9.2652000000000001</v>
      </c>
      <c r="C293" s="8">
        <f>CHOOSE( CONTROL!$C$33, 9.2703, 9.2692) * CHOOSE(CONTROL!$C$16, $D$10, 100%, $F$10)</f>
        <v>9.2703000000000007</v>
      </c>
      <c r="D293" s="8">
        <f>CHOOSE( CONTROL!$C$33, 9.2625, 9.2614) * CHOOSE( CONTROL!$C$16, $D$10, 100%, $F$10)</f>
        <v>9.2624999999999993</v>
      </c>
      <c r="E293" s="12">
        <f>CHOOSE( CONTROL!$C$33, 9.2648, 9.2637) * CHOOSE( CONTROL!$C$16, $D$10, 100%, $F$10)</f>
        <v>9.2647999999999993</v>
      </c>
      <c r="F293" s="4">
        <f>CHOOSE( CONTROL!$C$33, 9.9281, 9.927) * CHOOSE(CONTROL!$C$16, $D$10, 100%, $F$10)</f>
        <v>9.9281000000000006</v>
      </c>
      <c r="G293" s="8">
        <f>CHOOSE( CONTROL!$C$33, 9.1787, 9.1776) * CHOOSE( CONTROL!$C$16, $D$10, 100%, $F$10)</f>
        <v>9.1786999999999992</v>
      </c>
      <c r="H293" s="4">
        <f>CHOOSE( CONTROL!$C$33, 10.0634, 10.0623) * CHOOSE(CONTROL!$C$16, $D$10, 100%, $F$10)</f>
        <v>10.0634</v>
      </c>
      <c r="I293" s="8">
        <f>CHOOSE( CONTROL!$C$33, 9.153, 9.1519) * CHOOSE(CONTROL!$C$16, $D$10, 100%, $F$10)</f>
        <v>9.1530000000000005</v>
      </c>
      <c r="J293" s="4">
        <f>CHOOSE( CONTROL!$C$33, 8.9882, 8.9871) * CHOOSE(CONTROL!$C$16, $D$10, 100%, $F$10)</f>
        <v>8.9882000000000009</v>
      </c>
      <c r="K293" s="4"/>
      <c r="L293" s="9">
        <v>26.469899999999999</v>
      </c>
      <c r="M293" s="9">
        <v>10.8962</v>
      </c>
      <c r="N293" s="9">
        <v>4.4660000000000002</v>
      </c>
      <c r="O293" s="9">
        <v>0.33789999999999998</v>
      </c>
      <c r="P293" s="9">
        <v>1.1676</v>
      </c>
      <c r="Q293" s="9">
        <v>27.562100000000001</v>
      </c>
      <c r="R293" s="9"/>
      <c r="S293" s="11"/>
    </row>
    <row r="294" spans="1:19" ht="15" customHeight="1">
      <c r="A294" s="14">
        <v>50100</v>
      </c>
      <c r="B294" s="8">
        <f>CHOOSE( CONTROL!$C$33, 9.0676, 9.0665) * CHOOSE(CONTROL!$C$16, $D$10, 100%, $F$10)</f>
        <v>9.0676000000000005</v>
      </c>
      <c r="C294" s="8">
        <f>CHOOSE( CONTROL!$C$33, 9.0727, 9.0716) * CHOOSE(CONTROL!$C$16, $D$10, 100%, $F$10)</f>
        <v>9.0726999999999993</v>
      </c>
      <c r="D294" s="8">
        <f>CHOOSE( CONTROL!$C$33, 9.0642, 9.0631) * CHOOSE( CONTROL!$C$16, $D$10, 100%, $F$10)</f>
        <v>9.0641999999999996</v>
      </c>
      <c r="E294" s="12">
        <f>CHOOSE( CONTROL!$C$33, 9.0668, 9.0657) * CHOOSE( CONTROL!$C$16, $D$10, 100%, $F$10)</f>
        <v>9.0668000000000006</v>
      </c>
      <c r="F294" s="4">
        <f>CHOOSE( CONTROL!$C$33, 9.7305, 9.7294) * CHOOSE(CONTROL!$C$16, $D$10, 100%, $F$10)</f>
        <v>9.7304999999999993</v>
      </c>
      <c r="G294" s="8">
        <f>CHOOSE( CONTROL!$C$33, 8.9833, 8.9822) * CHOOSE( CONTROL!$C$16, $D$10, 100%, $F$10)</f>
        <v>8.9832999999999998</v>
      </c>
      <c r="H294" s="4">
        <f>CHOOSE( CONTROL!$C$33, 9.8686, 9.8675) * CHOOSE(CONTROL!$C$16, $D$10, 100%, $F$10)</f>
        <v>9.8686000000000007</v>
      </c>
      <c r="I294" s="8">
        <f>CHOOSE( CONTROL!$C$33, 8.9593, 8.9582) * CHOOSE(CONTROL!$C$16, $D$10, 100%, $F$10)</f>
        <v>8.9593000000000007</v>
      </c>
      <c r="J294" s="4">
        <f>CHOOSE( CONTROL!$C$33, 8.7968, 8.7958) * CHOOSE(CONTROL!$C$16, $D$10, 100%, $F$10)</f>
        <v>8.7967999999999993</v>
      </c>
      <c r="K294" s="4"/>
      <c r="L294" s="9">
        <v>29.306000000000001</v>
      </c>
      <c r="M294" s="9">
        <v>12.063700000000001</v>
      </c>
      <c r="N294" s="9">
        <v>4.9444999999999997</v>
      </c>
      <c r="O294" s="9">
        <v>0.37409999999999999</v>
      </c>
      <c r="P294" s="9">
        <v>1.2927</v>
      </c>
      <c r="Q294" s="9">
        <v>30.5152</v>
      </c>
      <c r="R294" s="9"/>
      <c r="S294" s="11"/>
    </row>
    <row r="295" spans="1:19" ht="15" customHeight="1">
      <c r="A295" s="14">
        <v>50131</v>
      </c>
      <c r="B295" s="8">
        <f>CHOOSE( CONTROL!$C$33, 9.2065, 9.2053) * CHOOSE(CONTROL!$C$16, $D$10, 100%, $F$10)</f>
        <v>9.2065000000000001</v>
      </c>
      <c r="C295" s="8">
        <f>CHOOSE( CONTROL!$C$33, 9.211, 9.2099) * CHOOSE(CONTROL!$C$16, $D$10, 100%, $F$10)</f>
        <v>9.2110000000000003</v>
      </c>
      <c r="D295" s="8">
        <f>CHOOSE( CONTROL!$C$33, 9.2399, 9.2387) * CHOOSE( CONTROL!$C$16, $D$10, 100%, $F$10)</f>
        <v>9.2399000000000004</v>
      </c>
      <c r="E295" s="12">
        <f>CHOOSE( CONTROL!$C$33, 9.2298, 9.2287) * CHOOSE( CONTROL!$C$16, $D$10, 100%, $F$10)</f>
        <v>9.2297999999999991</v>
      </c>
      <c r="F295" s="4">
        <f>CHOOSE( CONTROL!$C$33, 9.9847, 9.9836) * CHOOSE(CONTROL!$C$16, $D$10, 100%, $F$10)</f>
        <v>9.9847000000000001</v>
      </c>
      <c r="G295" s="8">
        <f>CHOOSE( CONTROL!$C$33, 9.1404, 9.1393) * CHOOSE( CONTROL!$C$16, $D$10, 100%, $F$10)</f>
        <v>9.1403999999999996</v>
      </c>
      <c r="H295" s="4">
        <f>CHOOSE( CONTROL!$C$33, 10.1193, 10.1182) * CHOOSE(CONTROL!$C$16, $D$10, 100%, $F$10)</f>
        <v>10.119300000000001</v>
      </c>
      <c r="I295" s="8">
        <f>CHOOSE( CONTROL!$C$33, 9.0511, 9.05) * CHOOSE(CONTROL!$C$16, $D$10, 100%, $F$10)</f>
        <v>9.0510999999999999</v>
      </c>
      <c r="J295" s="4">
        <f>CHOOSE( CONTROL!$C$33, 8.9305, 8.9294) * CHOOSE(CONTROL!$C$16, $D$10, 100%, $F$10)</f>
        <v>8.9305000000000003</v>
      </c>
      <c r="K295" s="4"/>
      <c r="L295" s="9">
        <v>30.092199999999998</v>
      </c>
      <c r="M295" s="9">
        <v>11.6745</v>
      </c>
      <c r="N295" s="9">
        <v>4.7850000000000001</v>
      </c>
      <c r="O295" s="9">
        <v>0.36199999999999999</v>
      </c>
      <c r="P295" s="9">
        <v>1.2509999999999999</v>
      </c>
      <c r="Q295" s="9">
        <v>29.530799999999999</v>
      </c>
      <c r="R295" s="9"/>
      <c r="S295" s="11"/>
    </row>
    <row r="296" spans="1:19" ht="15" customHeight="1">
      <c r="A296" s="14">
        <v>50161</v>
      </c>
      <c r="B296" s="8">
        <f>CHOOSE( CONTROL!$C$33, 9.454, 9.4524) * CHOOSE(CONTROL!$C$16, $D$10, 100%, $F$10)</f>
        <v>9.4540000000000006</v>
      </c>
      <c r="C296" s="8">
        <f>CHOOSE( CONTROL!$C$33, 9.462, 9.4604) * CHOOSE(CONTROL!$C$16, $D$10, 100%, $F$10)</f>
        <v>9.4619999999999997</v>
      </c>
      <c r="D296" s="8">
        <f>CHOOSE( CONTROL!$C$33, 9.4842, 9.4827) * CHOOSE( CONTROL!$C$16, $D$10, 100%, $F$10)</f>
        <v>9.4841999999999995</v>
      </c>
      <c r="E296" s="12">
        <f>CHOOSE( CONTROL!$C$33, 9.4749, 9.4734) * CHOOSE( CONTROL!$C$16, $D$10, 100%, $F$10)</f>
        <v>9.4748999999999999</v>
      </c>
      <c r="F296" s="4">
        <f>CHOOSE( CONTROL!$C$33, 10.2309, 10.2293) * CHOOSE(CONTROL!$C$16, $D$10, 100%, $F$10)</f>
        <v>10.2309</v>
      </c>
      <c r="G296" s="8">
        <f>CHOOSE( CONTROL!$C$33, 9.3831, 9.3815) * CHOOSE( CONTROL!$C$16, $D$10, 100%, $F$10)</f>
        <v>9.3831000000000007</v>
      </c>
      <c r="H296" s="4">
        <f>CHOOSE( CONTROL!$C$33, 10.362, 10.3605) * CHOOSE(CONTROL!$C$16, $D$10, 100%, $F$10)</f>
        <v>10.362</v>
      </c>
      <c r="I296" s="8">
        <f>CHOOSE( CONTROL!$C$33, 9.2892, 9.2877) * CHOOSE(CONTROL!$C$16, $D$10, 100%, $F$10)</f>
        <v>9.2891999999999992</v>
      </c>
      <c r="J296" s="4">
        <f>CHOOSE( CONTROL!$C$33, 9.1689, 9.1674) * CHOOSE(CONTROL!$C$16, $D$10, 100%, $F$10)</f>
        <v>9.1689000000000007</v>
      </c>
      <c r="K296" s="4"/>
      <c r="L296" s="9">
        <v>30.7165</v>
      </c>
      <c r="M296" s="9">
        <v>12.063700000000001</v>
      </c>
      <c r="N296" s="9">
        <v>4.9444999999999997</v>
      </c>
      <c r="O296" s="9">
        <v>0.37409999999999999</v>
      </c>
      <c r="P296" s="9">
        <v>1.2927</v>
      </c>
      <c r="Q296" s="9">
        <v>30.5152</v>
      </c>
      <c r="R296" s="9"/>
      <c r="S296" s="11"/>
    </row>
    <row r="297" spans="1:19" ht="15" customHeight="1">
      <c r="A297" s="14">
        <v>50192</v>
      </c>
      <c r="B297" s="8">
        <f>CHOOSE( CONTROL!$C$33, 9.3018, 9.3002) * CHOOSE(CONTROL!$C$16, $D$10, 100%, $F$10)</f>
        <v>9.3018000000000001</v>
      </c>
      <c r="C297" s="8">
        <f>CHOOSE( CONTROL!$C$33, 9.3098, 9.3082) * CHOOSE(CONTROL!$C$16, $D$10, 100%, $F$10)</f>
        <v>9.3097999999999992</v>
      </c>
      <c r="D297" s="8">
        <f>CHOOSE( CONTROL!$C$33, 9.3322, 9.3306) * CHOOSE( CONTROL!$C$16, $D$10, 100%, $F$10)</f>
        <v>9.3322000000000003</v>
      </c>
      <c r="E297" s="12">
        <f>CHOOSE( CONTROL!$C$33, 9.3229, 9.3213) * CHOOSE( CONTROL!$C$16, $D$10, 100%, $F$10)</f>
        <v>9.3229000000000006</v>
      </c>
      <c r="F297" s="4">
        <f>CHOOSE( CONTROL!$C$33, 10.0787, 10.0771) * CHOOSE(CONTROL!$C$16, $D$10, 100%, $F$10)</f>
        <v>10.0787</v>
      </c>
      <c r="G297" s="8">
        <f>CHOOSE( CONTROL!$C$33, 9.2331, 9.2316) * CHOOSE( CONTROL!$C$16, $D$10, 100%, $F$10)</f>
        <v>9.2331000000000003</v>
      </c>
      <c r="H297" s="4">
        <f>CHOOSE( CONTROL!$C$33, 10.2119, 10.2104) * CHOOSE(CONTROL!$C$16, $D$10, 100%, $F$10)</f>
        <v>10.2119</v>
      </c>
      <c r="I297" s="8">
        <f>CHOOSE( CONTROL!$C$33, 9.1423, 9.1408) * CHOOSE(CONTROL!$C$16, $D$10, 100%, $F$10)</f>
        <v>9.1423000000000005</v>
      </c>
      <c r="J297" s="4">
        <f>CHOOSE( CONTROL!$C$33, 9.0215, 9.02) * CHOOSE(CONTROL!$C$16, $D$10, 100%, $F$10)</f>
        <v>9.0214999999999996</v>
      </c>
      <c r="K297" s="4"/>
      <c r="L297" s="9">
        <v>29.7257</v>
      </c>
      <c r="M297" s="9">
        <v>11.6745</v>
      </c>
      <c r="N297" s="9">
        <v>4.7850000000000001</v>
      </c>
      <c r="O297" s="9">
        <v>0.36199999999999999</v>
      </c>
      <c r="P297" s="9">
        <v>1.2509999999999999</v>
      </c>
      <c r="Q297" s="9">
        <v>29.530799999999999</v>
      </c>
      <c r="R297" s="9"/>
      <c r="S297" s="11"/>
    </row>
    <row r="298" spans="1:19" ht="15" customHeight="1">
      <c r="A298" s="14">
        <v>50222</v>
      </c>
      <c r="B298" s="8">
        <f>CHOOSE( CONTROL!$C$33, 9.7026, 9.701) * CHOOSE(CONTROL!$C$16, $D$10, 100%, $F$10)</f>
        <v>9.7026000000000003</v>
      </c>
      <c r="C298" s="8">
        <f>CHOOSE( CONTROL!$C$33, 9.7106, 9.709) * CHOOSE(CONTROL!$C$16, $D$10, 100%, $F$10)</f>
        <v>9.7105999999999995</v>
      </c>
      <c r="D298" s="8">
        <f>CHOOSE( CONTROL!$C$33, 9.7332, 9.7317) * CHOOSE( CONTROL!$C$16, $D$10, 100%, $F$10)</f>
        <v>9.7332000000000001</v>
      </c>
      <c r="E298" s="12">
        <f>CHOOSE( CONTROL!$C$33, 9.7238, 9.7223) * CHOOSE( CONTROL!$C$16, $D$10, 100%, $F$10)</f>
        <v>9.7238000000000007</v>
      </c>
      <c r="F298" s="4">
        <f>CHOOSE( CONTROL!$C$33, 10.4795, 10.478) * CHOOSE(CONTROL!$C$16, $D$10, 100%, $F$10)</f>
        <v>10.4795</v>
      </c>
      <c r="G298" s="8">
        <f>CHOOSE( CONTROL!$C$33, 9.6285, 9.627) * CHOOSE( CONTROL!$C$16, $D$10, 100%, $F$10)</f>
        <v>9.6285000000000007</v>
      </c>
      <c r="H298" s="4">
        <f>CHOOSE( CONTROL!$C$33, 10.6072, 10.6056) * CHOOSE(CONTROL!$C$16, $D$10, 100%, $F$10)</f>
        <v>10.607200000000001</v>
      </c>
      <c r="I298" s="8">
        <f>CHOOSE( CONTROL!$C$33, 9.5314, 9.5299) * CHOOSE(CONTROL!$C$16, $D$10, 100%, $F$10)</f>
        <v>9.5313999999999997</v>
      </c>
      <c r="J298" s="4">
        <f>CHOOSE( CONTROL!$C$33, 9.4096, 9.4081) * CHOOSE(CONTROL!$C$16, $D$10, 100%, $F$10)</f>
        <v>9.4095999999999993</v>
      </c>
      <c r="K298" s="4"/>
      <c r="L298" s="9">
        <v>30.7165</v>
      </c>
      <c r="M298" s="9">
        <v>12.063700000000001</v>
      </c>
      <c r="N298" s="9">
        <v>4.9444999999999997</v>
      </c>
      <c r="O298" s="9">
        <v>0.37409999999999999</v>
      </c>
      <c r="P298" s="9">
        <v>1.2927</v>
      </c>
      <c r="Q298" s="9">
        <v>30.5152</v>
      </c>
      <c r="R298" s="9"/>
      <c r="S298" s="11"/>
    </row>
    <row r="299" spans="1:19" ht="15" customHeight="1">
      <c r="A299" s="14">
        <v>50253</v>
      </c>
      <c r="B299" s="8">
        <f>CHOOSE( CONTROL!$C$33, 8.9526, 8.951) * CHOOSE(CONTROL!$C$16, $D$10, 100%, $F$10)</f>
        <v>8.9526000000000003</v>
      </c>
      <c r="C299" s="8">
        <f>CHOOSE( CONTROL!$C$33, 8.9606, 8.959) * CHOOSE(CONTROL!$C$16, $D$10, 100%, $F$10)</f>
        <v>8.9605999999999995</v>
      </c>
      <c r="D299" s="8">
        <f>CHOOSE( CONTROL!$C$33, 8.9833, 8.9817) * CHOOSE( CONTROL!$C$16, $D$10, 100%, $F$10)</f>
        <v>8.9832999999999998</v>
      </c>
      <c r="E299" s="12">
        <f>CHOOSE( CONTROL!$C$33, 8.9739, 8.9723) * CHOOSE( CONTROL!$C$16, $D$10, 100%, $F$10)</f>
        <v>8.9739000000000004</v>
      </c>
      <c r="F299" s="4">
        <f>CHOOSE( CONTROL!$C$33, 9.7295, 9.728) * CHOOSE(CONTROL!$C$16, $D$10, 100%, $F$10)</f>
        <v>9.7294999999999998</v>
      </c>
      <c r="G299" s="8">
        <f>CHOOSE( CONTROL!$C$33, 8.889, 8.8875) * CHOOSE( CONTROL!$C$16, $D$10, 100%, $F$10)</f>
        <v>8.8889999999999993</v>
      </c>
      <c r="H299" s="4">
        <f>CHOOSE( CONTROL!$C$33, 9.8676, 9.8661) * CHOOSE(CONTROL!$C$16, $D$10, 100%, $F$10)</f>
        <v>9.8675999999999995</v>
      </c>
      <c r="I299" s="8">
        <f>CHOOSE( CONTROL!$C$33, 8.805, 8.8035) * CHOOSE(CONTROL!$C$16, $D$10, 100%, $F$10)</f>
        <v>8.8049999999999997</v>
      </c>
      <c r="J299" s="4">
        <f>CHOOSE( CONTROL!$C$33, 8.6834, 8.6819) * CHOOSE(CONTROL!$C$16, $D$10, 100%, $F$10)</f>
        <v>8.6834000000000007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1.2927</v>
      </c>
      <c r="Q299" s="9">
        <v>30.5152</v>
      </c>
      <c r="R299" s="9"/>
      <c r="S299" s="11"/>
    </row>
    <row r="300" spans="1:19" ht="15" customHeight="1">
      <c r="A300" s="14">
        <v>50284</v>
      </c>
      <c r="B300" s="8">
        <f>CHOOSE( CONTROL!$C$33, 8.7648, 8.7632) * CHOOSE(CONTROL!$C$16, $D$10, 100%, $F$10)</f>
        <v>8.7647999999999993</v>
      </c>
      <c r="C300" s="8">
        <f>CHOOSE( CONTROL!$C$33, 8.7728, 8.7712) * CHOOSE(CONTROL!$C$16, $D$10, 100%, $F$10)</f>
        <v>8.7728000000000002</v>
      </c>
      <c r="D300" s="8">
        <f>CHOOSE( CONTROL!$C$33, 8.7953, 8.7938) * CHOOSE( CONTROL!$C$16, $D$10, 100%, $F$10)</f>
        <v>8.7952999999999992</v>
      </c>
      <c r="E300" s="12">
        <f>CHOOSE( CONTROL!$C$33, 8.7859, 8.7844) * CHOOSE( CONTROL!$C$16, $D$10, 100%, $F$10)</f>
        <v>8.7858999999999998</v>
      </c>
      <c r="F300" s="4">
        <f>CHOOSE( CONTROL!$C$33, 9.5417, 9.5401) * CHOOSE(CONTROL!$C$16, $D$10, 100%, $F$10)</f>
        <v>9.5417000000000005</v>
      </c>
      <c r="G300" s="8">
        <f>CHOOSE( CONTROL!$C$33, 8.7037, 8.7022) * CHOOSE( CONTROL!$C$16, $D$10, 100%, $F$10)</f>
        <v>8.7036999999999995</v>
      </c>
      <c r="H300" s="4">
        <f>CHOOSE( CONTROL!$C$33, 9.6824, 9.6809) * CHOOSE(CONTROL!$C$16, $D$10, 100%, $F$10)</f>
        <v>9.6823999999999995</v>
      </c>
      <c r="I300" s="8">
        <f>CHOOSE( CONTROL!$C$33, 8.6226, 8.6211) * CHOOSE(CONTROL!$C$16, $D$10, 100%, $F$10)</f>
        <v>8.6226000000000003</v>
      </c>
      <c r="J300" s="4">
        <f>CHOOSE( CONTROL!$C$33, 8.5015, 8.5) * CHOOSE(CONTROL!$C$16, $D$10, 100%, $F$10)</f>
        <v>8.5015000000000001</v>
      </c>
      <c r="K300" s="4"/>
      <c r="L300" s="9">
        <v>29.7257</v>
      </c>
      <c r="M300" s="9">
        <v>11.6745</v>
      </c>
      <c r="N300" s="9">
        <v>4.7850000000000001</v>
      </c>
      <c r="O300" s="9">
        <v>0.36199999999999999</v>
      </c>
      <c r="P300" s="9">
        <v>1.2509999999999999</v>
      </c>
      <c r="Q300" s="9">
        <v>29.530799999999999</v>
      </c>
      <c r="R300" s="9"/>
      <c r="S300" s="11"/>
    </row>
    <row r="301" spans="1:19" ht="15" customHeight="1">
      <c r="A301" s="14">
        <v>50314</v>
      </c>
      <c r="B301" s="8">
        <f>CHOOSE( CONTROL!$C$33, 9.1526, 9.1515) * CHOOSE(CONTROL!$C$16, $D$10, 100%, $F$10)</f>
        <v>9.1525999999999996</v>
      </c>
      <c r="C301" s="8">
        <f>CHOOSE( CONTROL!$C$33, 9.1579, 9.1568) * CHOOSE(CONTROL!$C$16, $D$10, 100%, $F$10)</f>
        <v>9.1578999999999997</v>
      </c>
      <c r="D301" s="8">
        <f>CHOOSE( CONTROL!$C$33, 9.1867, 9.1856) * CHOOSE( CONTROL!$C$16, $D$10, 100%, $F$10)</f>
        <v>9.1867000000000001</v>
      </c>
      <c r="E301" s="12">
        <f>CHOOSE( CONTROL!$C$33, 9.1766, 9.1755) * CHOOSE( CONTROL!$C$16, $D$10, 100%, $F$10)</f>
        <v>9.1766000000000005</v>
      </c>
      <c r="F301" s="4">
        <f>CHOOSE( CONTROL!$C$33, 9.9312, 9.9301) * CHOOSE(CONTROL!$C$16, $D$10, 100%, $F$10)</f>
        <v>9.9312000000000005</v>
      </c>
      <c r="G301" s="8">
        <f>CHOOSE( CONTROL!$C$33, 9.0879, 9.0868) * CHOOSE( CONTROL!$C$16, $D$10, 100%, $F$10)</f>
        <v>9.0878999999999994</v>
      </c>
      <c r="H301" s="4">
        <f>CHOOSE( CONTROL!$C$33, 10.0665, 10.0654) * CHOOSE(CONTROL!$C$16, $D$10, 100%, $F$10)</f>
        <v>10.0665</v>
      </c>
      <c r="I301" s="8">
        <f>CHOOSE( CONTROL!$C$33, 9.0005, 8.9994) * CHOOSE(CONTROL!$C$16, $D$10, 100%, $F$10)</f>
        <v>9.0005000000000006</v>
      </c>
      <c r="J301" s="4">
        <f>CHOOSE( CONTROL!$C$33, 8.8787, 8.8776) * CHOOSE(CONTROL!$C$16, $D$10, 100%, $F$10)</f>
        <v>8.8787000000000003</v>
      </c>
      <c r="K301" s="4"/>
      <c r="L301" s="9">
        <v>31.095300000000002</v>
      </c>
      <c r="M301" s="9">
        <v>12.063700000000001</v>
      </c>
      <c r="N301" s="9">
        <v>4.9444999999999997</v>
      </c>
      <c r="O301" s="9">
        <v>0.37409999999999999</v>
      </c>
      <c r="P301" s="9">
        <v>1.2927</v>
      </c>
      <c r="Q301" s="9">
        <v>30.5152</v>
      </c>
      <c r="R301" s="9"/>
      <c r="S301" s="11"/>
    </row>
    <row r="302" spans="1:19" ht="15" customHeight="1">
      <c r="A302" s="14">
        <v>50345</v>
      </c>
      <c r="B302" s="8">
        <f>CHOOSE( CONTROL!$C$33, 9.872, 9.8708) * CHOOSE(CONTROL!$C$16, $D$10, 100%, $F$10)</f>
        <v>9.8719999999999999</v>
      </c>
      <c r="C302" s="8">
        <f>CHOOSE( CONTROL!$C$33, 9.8771, 9.8759) * CHOOSE(CONTROL!$C$16, $D$10, 100%, $F$10)</f>
        <v>9.8771000000000004</v>
      </c>
      <c r="D302" s="8">
        <f>CHOOSE( CONTROL!$C$33, 9.8567, 9.8556) * CHOOSE( CONTROL!$C$16, $D$10, 100%, $F$10)</f>
        <v>9.8567</v>
      </c>
      <c r="E302" s="12">
        <f>CHOOSE( CONTROL!$C$33, 9.8636, 9.8625) * CHOOSE( CONTROL!$C$16, $D$10, 100%, $F$10)</f>
        <v>9.8635999999999999</v>
      </c>
      <c r="F302" s="4">
        <f>CHOOSE( CONTROL!$C$33, 10.5348, 10.5337) * CHOOSE(CONTROL!$C$16, $D$10, 100%, $F$10)</f>
        <v>10.534800000000001</v>
      </c>
      <c r="G302" s="8">
        <f>CHOOSE( CONTROL!$C$33, 9.7702, 9.7691) * CHOOSE( CONTROL!$C$16, $D$10, 100%, $F$10)</f>
        <v>9.7702000000000009</v>
      </c>
      <c r="H302" s="4">
        <f>CHOOSE( CONTROL!$C$33, 10.6617, 10.6606) * CHOOSE(CONTROL!$C$16, $D$10, 100%, $F$10)</f>
        <v>10.6617</v>
      </c>
      <c r="I302" s="8">
        <f>CHOOSE( CONTROL!$C$33, 9.7456, 9.7446) * CHOOSE(CONTROL!$C$16, $D$10, 100%, $F$10)</f>
        <v>9.7455999999999996</v>
      </c>
      <c r="J302" s="4">
        <f>CHOOSE( CONTROL!$C$33, 9.5757, 9.5746) * CHOOSE(CONTROL!$C$16, $D$10, 100%, $F$10)</f>
        <v>9.5756999999999994</v>
      </c>
      <c r="K302" s="4"/>
      <c r="L302" s="9">
        <v>28.360600000000002</v>
      </c>
      <c r="M302" s="9">
        <v>11.6745</v>
      </c>
      <c r="N302" s="9">
        <v>4.7850000000000001</v>
      </c>
      <c r="O302" s="9">
        <v>0.36199999999999999</v>
      </c>
      <c r="P302" s="9">
        <v>1.2509999999999999</v>
      </c>
      <c r="Q302" s="9">
        <v>29.530799999999999</v>
      </c>
      <c r="R302" s="9"/>
      <c r="S302" s="11"/>
    </row>
    <row r="303" spans="1:19" ht="15" customHeight="1">
      <c r="A303" s="14">
        <v>50375</v>
      </c>
      <c r="B303" s="8">
        <f>CHOOSE( CONTROL!$C$33, 9.854, 9.8529) * CHOOSE(CONTROL!$C$16, $D$10, 100%, $F$10)</f>
        <v>9.8539999999999992</v>
      </c>
      <c r="C303" s="8">
        <f>CHOOSE( CONTROL!$C$33, 9.8591, 9.858) * CHOOSE(CONTROL!$C$16, $D$10, 100%, $F$10)</f>
        <v>9.8590999999999998</v>
      </c>
      <c r="D303" s="8">
        <f>CHOOSE( CONTROL!$C$33, 9.8402, 9.8391) * CHOOSE( CONTROL!$C$16, $D$10, 100%, $F$10)</f>
        <v>9.8401999999999994</v>
      </c>
      <c r="E303" s="12">
        <f>CHOOSE( CONTROL!$C$33, 9.8466, 9.8455) * CHOOSE( CONTROL!$C$16, $D$10, 100%, $F$10)</f>
        <v>9.8466000000000005</v>
      </c>
      <c r="F303" s="4">
        <f>CHOOSE( CONTROL!$C$33, 10.5169, 10.5157) * CHOOSE(CONTROL!$C$16, $D$10, 100%, $F$10)</f>
        <v>10.5169</v>
      </c>
      <c r="G303" s="8">
        <f>CHOOSE( CONTROL!$C$33, 9.7535, 9.7524) * CHOOSE( CONTROL!$C$16, $D$10, 100%, $F$10)</f>
        <v>9.7535000000000007</v>
      </c>
      <c r="H303" s="4">
        <f>CHOOSE( CONTROL!$C$33, 10.644, 10.6429) * CHOOSE(CONTROL!$C$16, $D$10, 100%, $F$10)</f>
        <v>10.644</v>
      </c>
      <c r="I303" s="8">
        <f>CHOOSE( CONTROL!$C$33, 9.7327, 9.7317) * CHOOSE(CONTROL!$C$16, $D$10, 100%, $F$10)</f>
        <v>9.7326999999999995</v>
      </c>
      <c r="J303" s="4">
        <f>CHOOSE( CONTROL!$C$33, 9.5583, 9.5572) * CHOOSE(CONTROL!$C$16, $D$10, 100%, $F$10)</f>
        <v>9.5582999999999991</v>
      </c>
      <c r="K303" s="4"/>
      <c r="L303" s="9">
        <v>29.306000000000001</v>
      </c>
      <c r="M303" s="9">
        <v>12.063700000000001</v>
      </c>
      <c r="N303" s="9">
        <v>4.9444999999999997</v>
      </c>
      <c r="O303" s="9">
        <v>0.37409999999999999</v>
      </c>
      <c r="P303" s="9">
        <v>1.2927</v>
      </c>
      <c r="Q303" s="9">
        <v>30.5152</v>
      </c>
      <c r="R303" s="9"/>
      <c r="S303" s="11"/>
    </row>
    <row r="304" spans="1:19" ht="15" customHeight="1">
      <c r="A304" s="13">
        <v>50436</v>
      </c>
      <c r="B304" s="8">
        <f>CHOOSE( CONTROL!$C$33, 10.1451, 10.144) * CHOOSE(CONTROL!$C$16, $D$10, 100%, $F$10)</f>
        <v>10.145099999999999</v>
      </c>
      <c r="C304" s="8">
        <f>CHOOSE( CONTROL!$C$33, 10.1502, 10.1491) * CHOOSE(CONTROL!$C$16, $D$10, 100%, $F$10)</f>
        <v>10.1502</v>
      </c>
      <c r="D304" s="8">
        <f>CHOOSE( CONTROL!$C$33, 10.1426, 10.1415) * CHOOSE( CONTROL!$C$16, $D$10, 100%, $F$10)</f>
        <v>10.1426</v>
      </c>
      <c r="E304" s="12">
        <f>CHOOSE( CONTROL!$C$33, 10.1448, 10.1437) * CHOOSE( CONTROL!$C$16, $D$10, 100%, $F$10)</f>
        <v>10.1448</v>
      </c>
      <c r="F304" s="4">
        <f>CHOOSE( CONTROL!$C$33, 10.808, 10.8069) * CHOOSE(CONTROL!$C$16, $D$10, 100%, $F$10)</f>
        <v>10.808</v>
      </c>
      <c r="G304" s="8">
        <f>CHOOSE( CONTROL!$C$33, 10.0464, 10.0453) * CHOOSE( CONTROL!$C$16, $D$10, 100%, $F$10)</f>
        <v>10.0464</v>
      </c>
      <c r="H304" s="4">
        <f>CHOOSE( CONTROL!$C$33, 10.931, 10.9299) * CHOOSE(CONTROL!$C$16, $D$10, 100%, $F$10)</f>
        <v>10.930999999999999</v>
      </c>
      <c r="I304" s="8">
        <f>CHOOSE( CONTROL!$C$33, 10.006, 10.005) * CHOOSE(CONTROL!$C$16, $D$10, 100%, $F$10)</f>
        <v>10.006</v>
      </c>
      <c r="J304" s="4">
        <f>CHOOSE( CONTROL!$C$33, 9.8402, 9.8391) * CHOOSE(CONTROL!$C$16, $D$10, 100%, $F$10)</f>
        <v>9.8401999999999994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30.451899999999998</v>
      </c>
      <c r="R304" s="9"/>
      <c r="S304" s="11"/>
    </row>
    <row r="305" spans="1:19" ht="15" customHeight="1">
      <c r="A305" s="13">
        <v>50464</v>
      </c>
      <c r="B305" s="8">
        <f>CHOOSE( CONTROL!$C$33, 9.4882, 9.4871) * CHOOSE(CONTROL!$C$16, $D$10, 100%, $F$10)</f>
        <v>9.4882000000000009</v>
      </c>
      <c r="C305" s="8">
        <f>CHOOSE( CONTROL!$C$33, 9.4933, 9.4922) * CHOOSE(CONTROL!$C$16, $D$10, 100%, $F$10)</f>
        <v>9.4932999999999996</v>
      </c>
      <c r="D305" s="8">
        <f>CHOOSE( CONTROL!$C$33, 9.4855, 9.4844) * CHOOSE( CONTROL!$C$16, $D$10, 100%, $F$10)</f>
        <v>9.4855</v>
      </c>
      <c r="E305" s="12">
        <f>CHOOSE( CONTROL!$C$33, 9.4878, 9.4867) * CHOOSE( CONTROL!$C$16, $D$10, 100%, $F$10)</f>
        <v>9.4878</v>
      </c>
      <c r="F305" s="4">
        <f>CHOOSE( CONTROL!$C$33, 10.1511, 10.15) * CHOOSE(CONTROL!$C$16, $D$10, 100%, $F$10)</f>
        <v>10.1511</v>
      </c>
      <c r="G305" s="8">
        <f>CHOOSE( CONTROL!$C$33, 9.3986, 9.3975) * CHOOSE( CONTROL!$C$16, $D$10, 100%, $F$10)</f>
        <v>9.3986000000000001</v>
      </c>
      <c r="H305" s="4">
        <f>CHOOSE( CONTROL!$C$33, 10.2833, 10.2822) * CHOOSE(CONTROL!$C$16, $D$10, 100%, $F$10)</f>
        <v>10.283300000000001</v>
      </c>
      <c r="I305" s="8">
        <f>CHOOSE( CONTROL!$C$33, 9.3691, 9.368) * CHOOSE(CONTROL!$C$16, $D$10, 100%, $F$10)</f>
        <v>9.3690999999999995</v>
      </c>
      <c r="J305" s="4">
        <f>CHOOSE( CONTROL!$C$33, 9.2041, 9.203) * CHOOSE(CONTROL!$C$16, $D$10, 100%, $F$10)</f>
        <v>9.2041000000000004</v>
      </c>
      <c r="K305" s="4"/>
      <c r="L305" s="9">
        <v>26.469899999999999</v>
      </c>
      <c r="M305" s="9">
        <v>10.8962</v>
      </c>
      <c r="N305" s="9">
        <v>4.4660000000000002</v>
      </c>
      <c r="O305" s="9">
        <v>0.33789999999999998</v>
      </c>
      <c r="P305" s="9">
        <v>1.1676</v>
      </c>
      <c r="Q305" s="9">
        <v>27.504999999999999</v>
      </c>
      <c r="R305" s="9"/>
      <c r="S305" s="11"/>
    </row>
    <row r="306" spans="1:19" ht="15" customHeight="1">
      <c r="A306" s="13">
        <v>50495</v>
      </c>
      <c r="B306" s="8">
        <f>CHOOSE( CONTROL!$C$33, 9.2859, 9.2848) * CHOOSE(CONTROL!$C$16, $D$10, 100%, $F$10)</f>
        <v>9.2858999999999998</v>
      </c>
      <c r="C306" s="8">
        <f>CHOOSE( CONTROL!$C$33, 9.291, 9.2899) * CHOOSE(CONTROL!$C$16, $D$10, 100%, $F$10)</f>
        <v>9.2910000000000004</v>
      </c>
      <c r="D306" s="8">
        <f>CHOOSE( CONTROL!$C$33, 9.2824, 9.2813) * CHOOSE( CONTROL!$C$16, $D$10, 100%, $F$10)</f>
        <v>9.2824000000000009</v>
      </c>
      <c r="E306" s="12">
        <f>CHOOSE( CONTROL!$C$33, 9.285, 9.2839) * CHOOSE( CONTROL!$C$16, $D$10, 100%, $F$10)</f>
        <v>9.2850000000000001</v>
      </c>
      <c r="F306" s="4">
        <f>CHOOSE( CONTROL!$C$33, 9.9488, 9.9476) * CHOOSE(CONTROL!$C$16, $D$10, 100%, $F$10)</f>
        <v>9.9488000000000003</v>
      </c>
      <c r="G306" s="8">
        <f>CHOOSE( CONTROL!$C$33, 9.1985, 9.1974) * CHOOSE( CONTROL!$C$16, $D$10, 100%, $F$10)</f>
        <v>9.1984999999999992</v>
      </c>
      <c r="H306" s="4">
        <f>CHOOSE( CONTROL!$C$33, 10.0838, 10.0827) * CHOOSE(CONTROL!$C$16, $D$10, 100%, $F$10)</f>
        <v>10.0838</v>
      </c>
      <c r="I306" s="8">
        <f>CHOOSE( CONTROL!$C$33, 9.1708, 9.1697) * CHOOSE(CONTROL!$C$16, $D$10, 100%, $F$10)</f>
        <v>9.1707999999999998</v>
      </c>
      <c r="J306" s="4">
        <f>CHOOSE( CONTROL!$C$33, 9.0082, 9.0071) * CHOOSE(CONTROL!$C$16, $D$10, 100%, $F$10)</f>
        <v>9.0082000000000004</v>
      </c>
      <c r="K306" s="4"/>
      <c r="L306" s="9">
        <v>29.306000000000001</v>
      </c>
      <c r="M306" s="9">
        <v>12.063700000000001</v>
      </c>
      <c r="N306" s="9">
        <v>4.9444999999999997</v>
      </c>
      <c r="O306" s="9">
        <v>0.37409999999999999</v>
      </c>
      <c r="P306" s="9">
        <v>1.2927</v>
      </c>
      <c r="Q306" s="9">
        <v>30.451899999999998</v>
      </c>
      <c r="R306" s="9"/>
      <c r="S306" s="11"/>
    </row>
    <row r="307" spans="1:19" ht="15" customHeight="1">
      <c r="A307" s="13">
        <v>50525</v>
      </c>
      <c r="B307" s="8">
        <f>CHOOSE( CONTROL!$C$33, 9.428, 9.4269) * CHOOSE(CONTROL!$C$16, $D$10, 100%, $F$10)</f>
        <v>9.4280000000000008</v>
      </c>
      <c r="C307" s="8">
        <f>CHOOSE( CONTROL!$C$33, 9.4326, 9.4314) * CHOOSE(CONTROL!$C$16, $D$10, 100%, $F$10)</f>
        <v>9.4326000000000008</v>
      </c>
      <c r="D307" s="8">
        <f>CHOOSE( CONTROL!$C$33, 9.4614, 9.4603) * CHOOSE( CONTROL!$C$16, $D$10, 100%, $F$10)</f>
        <v>9.4613999999999994</v>
      </c>
      <c r="E307" s="12">
        <f>CHOOSE( CONTROL!$C$33, 9.4514, 9.4502) * CHOOSE( CONTROL!$C$16, $D$10, 100%, $F$10)</f>
        <v>9.4513999999999996</v>
      </c>
      <c r="F307" s="4">
        <f>CHOOSE( CONTROL!$C$33, 10.2063, 10.2052) * CHOOSE(CONTROL!$C$16, $D$10, 100%, $F$10)</f>
        <v>10.206300000000001</v>
      </c>
      <c r="G307" s="8">
        <f>CHOOSE( CONTROL!$C$33, 9.3589, 9.3578) * CHOOSE( CONTROL!$C$16, $D$10, 100%, $F$10)</f>
        <v>9.3589000000000002</v>
      </c>
      <c r="H307" s="4">
        <f>CHOOSE( CONTROL!$C$33, 10.3378, 10.3367) * CHOOSE(CONTROL!$C$16, $D$10, 100%, $F$10)</f>
        <v>10.3378</v>
      </c>
      <c r="I307" s="8">
        <f>CHOOSE( CONTROL!$C$33, 9.2657, 9.2646) * CHOOSE(CONTROL!$C$16, $D$10, 100%, $F$10)</f>
        <v>9.2657000000000007</v>
      </c>
      <c r="J307" s="4">
        <f>CHOOSE( CONTROL!$C$33, 9.1451, 9.144) * CHOOSE(CONTROL!$C$16, $D$10, 100%, $F$10)</f>
        <v>9.1450999999999993</v>
      </c>
      <c r="K307" s="4"/>
      <c r="L307" s="9">
        <v>30.092199999999998</v>
      </c>
      <c r="M307" s="9">
        <v>11.6745</v>
      </c>
      <c r="N307" s="9">
        <v>4.7850000000000001</v>
      </c>
      <c r="O307" s="9">
        <v>0.36199999999999999</v>
      </c>
      <c r="P307" s="9">
        <v>1.2509999999999999</v>
      </c>
      <c r="Q307" s="9">
        <v>29.4696</v>
      </c>
      <c r="R307" s="9"/>
      <c r="S307" s="11"/>
    </row>
    <row r="308" spans="1:19" ht="15" customHeight="1">
      <c r="A308" s="13">
        <v>50556</v>
      </c>
      <c r="B308" s="8">
        <f>CHOOSE( CONTROL!$C$33, 9.6815, 9.6799) * CHOOSE(CONTROL!$C$16, $D$10, 100%, $F$10)</f>
        <v>9.6814999999999998</v>
      </c>
      <c r="C308" s="8">
        <f>CHOOSE( CONTROL!$C$33, 9.6895, 9.6879) * CHOOSE(CONTROL!$C$16, $D$10, 100%, $F$10)</f>
        <v>9.6895000000000007</v>
      </c>
      <c r="D308" s="8">
        <f>CHOOSE( CONTROL!$C$33, 9.7117, 9.7101) * CHOOSE( CONTROL!$C$16, $D$10, 100%, $F$10)</f>
        <v>9.7117000000000004</v>
      </c>
      <c r="E308" s="12">
        <f>CHOOSE( CONTROL!$C$33, 9.7024, 9.7008) * CHOOSE( CONTROL!$C$16, $D$10, 100%, $F$10)</f>
        <v>9.7024000000000008</v>
      </c>
      <c r="F308" s="4">
        <f>CHOOSE( CONTROL!$C$33, 10.4584, 10.4568) * CHOOSE(CONTROL!$C$16, $D$10, 100%, $F$10)</f>
        <v>10.458399999999999</v>
      </c>
      <c r="G308" s="8">
        <f>CHOOSE( CONTROL!$C$33, 9.6074, 9.6058) * CHOOSE( CONTROL!$C$16, $D$10, 100%, $F$10)</f>
        <v>9.6074000000000002</v>
      </c>
      <c r="H308" s="4">
        <f>CHOOSE( CONTROL!$C$33, 10.5863, 10.5848) * CHOOSE(CONTROL!$C$16, $D$10, 100%, $F$10)</f>
        <v>10.5863</v>
      </c>
      <c r="I308" s="8">
        <f>CHOOSE( CONTROL!$C$33, 9.5096, 9.508) * CHOOSE(CONTROL!$C$16, $D$10, 100%, $F$10)</f>
        <v>9.5096000000000007</v>
      </c>
      <c r="J308" s="4">
        <f>CHOOSE( CONTROL!$C$33, 9.3892, 9.3876) * CHOOSE(CONTROL!$C$16, $D$10, 100%, $F$10)</f>
        <v>9.3892000000000007</v>
      </c>
      <c r="K308" s="4"/>
      <c r="L308" s="9">
        <v>30.7165</v>
      </c>
      <c r="M308" s="9">
        <v>12.063700000000001</v>
      </c>
      <c r="N308" s="9">
        <v>4.9444999999999997</v>
      </c>
      <c r="O308" s="9">
        <v>0.37409999999999999</v>
      </c>
      <c r="P308" s="9">
        <v>1.2927</v>
      </c>
      <c r="Q308" s="9">
        <v>30.451899999999998</v>
      </c>
      <c r="R308" s="9"/>
      <c r="S308" s="11"/>
    </row>
    <row r="309" spans="1:19" ht="15" customHeight="1">
      <c r="A309" s="13">
        <v>50586</v>
      </c>
      <c r="B309" s="8">
        <f>CHOOSE( CONTROL!$C$33, 9.5256, 9.524) * CHOOSE(CONTROL!$C$16, $D$10, 100%, $F$10)</f>
        <v>9.5256000000000007</v>
      </c>
      <c r="C309" s="8">
        <f>CHOOSE( CONTROL!$C$33, 9.5336, 9.532) * CHOOSE(CONTROL!$C$16, $D$10, 100%, $F$10)</f>
        <v>9.5335999999999999</v>
      </c>
      <c r="D309" s="8">
        <f>CHOOSE( CONTROL!$C$33, 9.556, 9.5544) * CHOOSE( CONTROL!$C$16, $D$10, 100%, $F$10)</f>
        <v>9.5559999999999992</v>
      </c>
      <c r="E309" s="12">
        <f>CHOOSE( CONTROL!$C$33, 9.5467, 9.5451) * CHOOSE( CONTROL!$C$16, $D$10, 100%, $F$10)</f>
        <v>9.5466999999999995</v>
      </c>
      <c r="F309" s="4">
        <f>CHOOSE( CONTROL!$C$33, 10.3025, 10.301) * CHOOSE(CONTROL!$C$16, $D$10, 100%, $F$10)</f>
        <v>10.3025</v>
      </c>
      <c r="G309" s="8">
        <f>CHOOSE( CONTROL!$C$33, 9.4538, 9.4523) * CHOOSE( CONTROL!$C$16, $D$10, 100%, $F$10)</f>
        <v>9.4537999999999993</v>
      </c>
      <c r="H309" s="4">
        <f>CHOOSE( CONTROL!$C$33, 10.4326, 10.4311) * CHOOSE(CONTROL!$C$16, $D$10, 100%, $F$10)</f>
        <v>10.432600000000001</v>
      </c>
      <c r="I309" s="8">
        <f>CHOOSE( CONTROL!$C$33, 9.3591, 9.3576) * CHOOSE(CONTROL!$C$16, $D$10, 100%, $F$10)</f>
        <v>9.3590999999999998</v>
      </c>
      <c r="J309" s="4">
        <f>CHOOSE( CONTROL!$C$33, 9.2382, 9.2367) * CHOOSE(CONTROL!$C$16, $D$10, 100%, $F$10)</f>
        <v>9.2382000000000009</v>
      </c>
      <c r="K309" s="4"/>
      <c r="L309" s="9">
        <v>29.7257</v>
      </c>
      <c r="M309" s="9">
        <v>11.6745</v>
      </c>
      <c r="N309" s="9">
        <v>4.7850000000000001</v>
      </c>
      <c r="O309" s="9">
        <v>0.36199999999999999</v>
      </c>
      <c r="P309" s="9">
        <v>1.2509999999999999</v>
      </c>
      <c r="Q309" s="9">
        <v>29.4696</v>
      </c>
      <c r="R309" s="9"/>
      <c r="S309" s="11"/>
    </row>
    <row r="310" spans="1:19" ht="15" customHeight="1">
      <c r="A310" s="13">
        <v>50617</v>
      </c>
      <c r="B310" s="8">
        <f>CHOOSE( CONTROL!$C$33, 9.9361, 9.9345) * CHOOSE(CONTROL!$C$16, $D$10, 100%, $F$10)</f>
        <v>9.9360999999999997</v>
      </c>
      <c r="C310" s="8">
        <f>CHOOSE( CONTROL!$C$33, 9.9441, 9.9425) * CHOOSE(CONTROL!$C$16, $D$10, 100%, $F$10)</f>
        <v>9.9441000000000006</v>
      </c>
      <c r="D310" s="8">
        <f>CHOOSE( CONTROL!$C$33, 9.9667, 9.9651) * CHOOSE( CONTROL!$C$16, $D$10, 100%, $F$10)</f>
        <v>9.9666999999999994</v>
      </c>
      <c r="E310" s="12">
        <f>CHOOSE( CONTROL!$C$33, 9.9573, 9.9557) * CHOOSE( CONTROL!$C$16, $D$10, 100%, $F$10)</f>
        <v>9.9573</v>
      </c>
      <c r="F310" s="4">
        <f>CHOOSE( CONTROL!$C$33, 10.713, 10.7114) * CHOOSE(CONTROL!$C$16, $D$10, 100%, $F$10)</f>
        <v>10.712999999999999</v>
      </c>
      <c r="G310" s="8">
        <f>CHOOSE( CONTROL!$C$33, 9.8587, 9.8572) * CHOOSE( CONTROL!$C$16, $D$10, 100%, $F$10)</f>
        <v>9.8587000000000007</v>
      </c>
      <c r="H310" s="4">
        <f>CHOOSE( CONTROL!$C$33, 10.8374, 10.8358) * CHOOSE(CONTROL!$C$16, $D$10, 100%, $F$10)</f>
        <v>10.837400000000001</v>
      </c>
      <c r="I310" s="8">
        <f>CHOOSE( CONTROL!$C$33, 9.7576, 9.756) * CHOOSE(CONTROL!$C$16, $D$10, 100%, $F$10)</f>
        <v>9.7576000000000001</v>
      </c>
      <c r="J310" s="4">
        <f>CHOOSE( CONTROL!$C$33, 9.6357, 9.6342) * CHOOSE(CONTROL!$C$16, $D$10, 100%, $F$10)</f>
        <v>9.6356999999999999</v>
      </c>
      <c r="K310" s="4"/>
      <c r="L310" s="9">
        <v>30.7165</v>
      </c>
      <c r="M310" s="9">
        <v>12.063700000000001</v>
      </c>
      <c r="N310" s="9">
        <v>4.9444999999999997</v>
      </c>
      <c r="O310" s="9">
        <v>0.37409999999999999</v>
      </c>
      <c r="P310" s="9">
        <v>1.2927</v>
      </c>
      <c r="Q310" s="9">
        <v>30.451899999999998</v>
      </c>
      <c r="R310" s="9"/>
      <c r="S310" s="11"/>
    </row>
    <row r="311" spans="1:19" ht="15" customHeight="1">
      <c r="A311" s="13">
        <v>50648</v>
      </c>
      <c r="B311" s="8">
        <f>CHOOSE( CONTROL!$C$33, 9.168, 9.1665) * CHOOSE(CONTROL!$C$16, $D$10, 100%, $F$10)</f>
        <v>9.1679999999999993</v>
      </c>
      <c r="C311" s="8">
        <f>CHOOSE( CONTROL!$C$33, 9.176, 9.1745) * CHOOSE(CONTROL!$C$16, $D$10, 100%, $F$10)</f>
        <v>9.1760000000000002</v>
      </c>
      <c r="D311" s="8">
        <f>CHOOSE( CONTROL!$C$33, 9.1987, 9.1971) * CHOOSE( CONTROL!$C$16, $D$10, 100%, $F$10)</f>
        <v>9.1987000000000005</v>
      </c>
      <c r="E311" s="12">
        <f>CHOOSE( CONTROL!$C$33, 9.1893, 9.1877) * CHOOSE( CONTROL!$C$16, $D$10, 100%, $F$10)</f>
        <v>9.1892999999999994</v>
      </c>
      <c r="F311" s="4">
        <f>CHOOSE( CONTROL!$C$33, 9.945, 9.9434) * CHOOSE(CONTROL!$C$16, $D$10, 100%, $F$10)</f>
        <v>9.9450000000000003</v>
      </c>
      <c r="G311" s="8">
        <f>CHOOSE( CONTROL!$C$33, 9.1015, 9.0999) * CHOOSE( CONTROL!$C$16, $D$10, 100%, $F$10)</f>
        <v>9.1014999999999997</v>
      </c>
      <c r="H311" s="4">
        <f>CHOOSE( CONTROL!$C$33, 10.0801, 10.0785) * CHOOSE(CONTROL!$C$16, $D$10, 100%, $F$10)</f>
        <v>10.0801</v>
      </c>
      <c r="I311" s="8">
        <f>CHOOSE( CONTROL!$C$33, 9.0137, 9.0122) * CHOOSE(CONTROL!$C$16, $D$10, 100%, $F$10)</f>
        <v>9.0137</v>
      </c>
      <c r="J311" s="4">
        <f>CHOOSE( CONTROL!$C$33, 8.892, 8.8905) * CHOOSE(CONTROL!$C$16, $D$10, 100%, $F$10)</f>
        <v>8.8919999999999995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1.2927</v>
      </c>
      <c r="Q311" s="9">
        <v>30.451899999999998</v>
      </c>
      <c r="R311" s="9"/>
      <c r="S311" s="11"/>
    </row>
    <row r="312" spans="1:19" ht="15" customHeight="1">
      <c r="A312" s="13">
        <v>50678</v>
      </c>
      <c r="B312" s="8">
        <f>CHOOSE( CONTROL!$C$33, 8.9757, 8.9741) * CHOOSE(CONTROL!$C$16, $D$10, 100%, $F$10)</f>
        <v>8.9756999999999998</v>
      </c>
      <c r="C312" s="8">
        <f>CHOOSE( CONTROL!$C$33, 8.9837, 8.9821) * CHOOSE(CONTROL!$C$16, $D$10, 100%, $F$10)</f>
        <v>8.9837000000000007</v>
      </c>
      <c r="D312" s="8">
        <f>CHOOSE( CONTROL!$C$33, 9.0063, 9.0047) * CHOOSE( CONTROL!$C$16, $D$10, 100%, $F$10)</f>
        <v>9.0062999999999995</v>
      </c>
      <c r="E312" s="12">
        <f>CHOOSE( CONTROL!$C$33, 8.9969, 8.9953) * CHOOSE( CONTROL!$C$16, $D$10, 100%, $F$10)</f>
        <v>8.9969000000000001</v>
      </c>
      <c r="F312" s="4">
        <f>CHOOSE( CONTROL!$C$33, 9.7526, 9.7511) * CHOOSE(CONTROL!$C$16, $D$10, 100%, $F$10)</f>
        <v>9.7525999999999993</v>
      </c>
      <c r="G312" s="8">
        <f>CHOOSE( CONTROL!$C$33, 8.9117, 8.9102) * CHOOSE( CONTROL!$C$16, $D$10, 100%, $F$10)</f>
        <v>8.9116999999999997</v>
      </c>
      <c r="H312" s="4">
        <f>CHOOSE( CONTROL!$C$33, 9.8904, 9.8889) * CHOOSE(CONTROL!$C$16, $D$10, 100%, $F$10)</f>
        <v>9.8903999999999996</v>
      </c>
      <c r="I312" s="8">
        <f>CHOOSE( CONTROL!$C$33, 8.8269, 8.8254) * CHOOSE(CONTROL!$C$16, $D$10, 100%, $F$10)</f>
        <v>8.8269000000000002</v>
      </c>
      <c r="J312" s="4">
        <f>CHOOSE( CONTROL!$C$33, 8.7058, 8.7043) * CHOOSE(CONTROL!$C$16, $D$10, 100%, $F$10)</f>
        <v>8.7058</v>
      </c>
      <c r="K312" s="4"/>
      <c r="L312" s="9">
        <v>29.7257</v>
      </c>
      <c r="M312" s="9">
        <v>11.6745</v>
      </c>
      <c r="N312" s="9">
        <v>4.7850000000000001</v>
      </c>
      <c r="O312" s="9">
        <v>0.36199999999999999</v>
      </c>
      <c r="P312" s="9">
        <v>1.2509999999999999</v>
      </c>
      <c r="Q312" s="9">
        <v>29.4696</v>
      </c>
      <c r="R312" s="9"/>
      <c r="S312" s="11"/>
    </row>
    <row r="313" spans="1:19" ht="15" customHeight="1">
      <c r="A313" s="13">
        <v>50709</v>
      </c>
      <c r="B313" s="8">
        <f>CHOOSE( CONTROL!$C$33, 9.3729, 9.3718) * CHOOSE(CONTROL!$C$16, $D$10, 100%, $F$10)</f>
        <v>9.3728999999999996</v>
      </c>
      <c r="C313" s="8">
        <f>CHOOSE( CONTROL!$C$33, 9.3782, 9.3771) * CHOOSE(CONTROL!$C$16, $D$10, 100%, $F$10)</f>
        <v>9.3781999999999996</v>
      </c>
      <c r="D313" s="8">
        <f>CHOOSE( CONTROL!$C$33, 9.407, 9.4059) * CHOOSE( CONTROL!$C$16, $D$10, 100%, $F$10)</f>
        <v>9.407</v>
      </c>
      <c r="E313" s="12">
        <f>CHOOSE( CONTROL!$C$33, 9.3969, 9.3958) * CHOOSE( CONTROL!$C$16, $D$10, 100%, $F$10)</f>
        <v>9.3969000000000005</v>
      </c>
      <c r="F313" s="4">
        <f>CHOOSE( CONTROL!$C$33, 10.1515, 10.1504) * CHOOSE(CONTROL!$C$16, $D$10, 100%, $F$10)</f>
        <v>10.1515</v>
      </c>
      <c r="G313" s="8">
        <f>CHOOSE( CONTROL!$C$33, 9.3051, 9.304) * CHOOSE( CONTROL!$C$16, $D$10, 100%, $F$10)</f>
        <v>9.3050999999999995</v>
      </c>
      <c r="H313" s="4">
        <f>CHOOSE( CONTROL!$C$33, 10.2837, 10.2826) * CHOOSE(CONTROL!$C$16, $D$10, 100%, $F$10)</f>
        <v>10.2837</v>
      </c>
      <c r="I313" s="8">
        <f>CHOOSE( CONTROL!$C$33, 9.2139, 9.2129) * CHOOSE(CONTROL!$C$16, $D$10, 100%, $F$10)</f>
        <v>9.2139000000000006</v>
      </c>
      <c r="J313" s="4">
        <f>CHOOSE( CONTROL!$C$33, 9.092, 9.0909) * CHOOSE(CONTROL!$C$16, $D$10, 100%, $F$10)</f>
        <v>9.0920000000000005</v>
      </c>
      <c r="K313" s="4"/>
      <c r="L313" s="9">
        <v>31.095300000000002</v>
      </c>
      <c r="M313" s="9">
        <v>12.063700000000001</v>
      </c>
      <c r="N313" s="9">
        <v>4.9444999999999997</v>
      </c>
      <c r="O313" s="9">
        <v>0.37409999999999999</v>
      </c>
      <c r="P313" s="9">
        <v>1.2927</v>
      </c>
      <c r="Q313" s="9">
        <v>30.451899999999998</v>
      </c>
      <c r="R313" s="9"/>
      <c r="S313" s="11"/>
    </row>
    <row r="314" spans="1:19" ht="15" customHeight="1">
      <c r="A314" s="13">
        <v>50739</v>
      </c>
      <c r="B314" s="8">
        <f>CHOOSE( CONTROL!$C$33, 10.1096, 10.1084) * CHOOSE(CONTROL!$C$16, $D$10, 100%, $F$10)</f>
        <v>10.1096</v>
      </c>
      <c r="C314" s="8">
        <f>CHOOSE( CONTROL!$C$33, 10.1147, 10.1135) * CHOOSE(CONTROL!$C$16, $D$10, 100%, $F$10)</f>
        <v>10.114699999999999</v>
      </c>
      <c r="D314" s="8">
        <f>CHOOSE( CONTROL!$C$33, 10.0943, 10.0932) * CHOOSE( CONTROL!$C$16, $D$10, 100%, $F$10)</f>
        <v>10.0943</v>
      </c>
      <c r="E314" s="12">
        <f>CHOOSE( CONTROL!$C$33, 10.1012, 10.1001) * CHOOSE( CONTROL!$C$16, $D$10, 100%, $F$10)</f>
        <v>10.1012</v>
      </c>
      <c r="F314" s="4">
        <f>CHOOSE( CONTROL!$C$33, 10.7724, 10.7713) * CHOOSE(CONTROL!$C$16, $D$10, 100%, $F$10)</f>
        <v>10.772399999999999</v>
      </c>
      <c r="G314" s="8">
        <f>CHOOSE( CONTROL!$C$33, 10.0045, 10.0034) * CHOOSE( CONTROL!$C$16, $D$10, 100%, $F$10)</f>
        <v>10.0045</v>
      </c>
      <c r="H314" s="4">
        <f>CHOOSE( CONTROL!$C$33, 10.896, 10.8949) * CHOOSE(CONTROL!$C$16, $D$10, 100%, $F$10)</f>
        <v>10.896000000000001</v>
      </c>
      <c r="I314" s="8">
        <f>CHOOSE( CONTROL!$C$33, 9.9758, 9.9747) * CHOOSE(CONTROL!$C$16, $D$10, 100%, $F$10)</f>
        <v>9.9757999999999996</v>
      </c>
      <c r="J314" s="4">
        <f>CHOOSE( CONTROL!$C$33, 9.8057, 9.8047) * CHOOSE(CONTROL!$C$16, $D$10, 100%, $F$10)</f>
        <v>9.8056999999999999</v>
      </c>
      <c r="K314" s="4"/>
      <c r="L314" s="9">
        <v>28.360600000000002</v>
      </c>
      <c r="M314" s="9">
        <v>11.6745</v>
      </c>
      <c r="N314" s="9">
        <v>4.7850000000000001</v>
      </c>
      <c r="O314" s="9">
        <v>0.36199999999999999</v>
      </c>
      <c r="P314" s="9">
        <v>1.2509999999999999</v>
      </c>
      <c r="Q314" s="9">
        <v>29.4696</v>
      </c>
      <c r="R314" s="9"/>
      <c r="S314" s="11"/>
    </row>
    <row r="315" spans="1:19" ht="15" customHeight="1">
      <c r="A315" s="13">
        <v>50770</v>
      </c>
      <c r="B315" s="8">
        <f>CHOOSE( CONTROL!$C$33, 10.0911, 10.09) * CHOOSE(CONTROL!$C$16, $D$10, 100%, $F$10)</f>
        <v>10.091100000000001</v>
      </c>
      <c r="C315" s="8">
        <f>CHOOSE( CONTROL!$C$33, 10.0962, 10.0951) * CHOOSE(CONTROL!$C$16, $D$10, 100%, $F$10)</f>
        <v>10.0962</v>
      </c>
      <c r="D315" s="8">
        <f>CHOOSE( CONTROL!$C$33, 10.0774, 10.0762) * CHOOSE( CONTROL!$C$16, $D$10, 100%, $F$10)</f>
        <v>10.077400000000001</v>
      </c>
      <c r="E315" s="12">
        <f>CHOOSE( CONTROL!$C$33, 10.0837, 10.0826) * CHOOSE( CONTROL!$C$16, $D$10, 100%, $F$10)</f>
        <v>10.0837</v>
      </c>
      <c r="F315" s="4">
        <f>CHOOSE( CONTROL!$C$33, 10.754, 10.7529) * CHOOSE(CONTROL!$C$16, $D$10, 100%, $F$10)</f>
        <v>10.754</v>
      </c>
      <c r="G315" s="8">
        <f>CHOOSE( CONTROL!$C$33, 9.9874, 9.9862) * CHOOSE( CONTROL!$C$16, $D$10, 100%, $F$10)</f>
        <v>9.9873999999999992</v>
      </c>
      <c r="H315" s="4">
        <f>CHOOSE( CONTROL!$C$33, 10.8778, 10.8767) * CHOOSE(CONTROL!$C$16, $D$10, 100%, $F$10)</f>
        <v>10.877800000000001</v>
      </c>
      <c r="I315" s="8">
        <f>CHOOSE( CONTROL!$C$33, 9.9625, 9.9614) * CHOOSE(CONTROL!$C$16, $D$10, 100%, $F$10)</f>
        <v>9.9625000000000004</v>
      </c>
      <c r="J315" s="4">
        <f>CHOOSE( CONTROL!$C$33, 9.7879, 9.7868) * CHOOSE(CONTROL!$C$16, $D$10, 100%, $F$10)</f>
        <v>9.7879000000000005</v>
      </c>
      <c r="K315" s="4"/>
      <c r="L315" s="9">
        <v>29.306000000000001</v>
      </c>
      <c r="M315" s="9">
        <v>12.063700000000001</v>
      </c>
      <c r="N315" s="9">
        <v>4.9444999999999997</v>
      </c>
      <c r="O315" s="9">
        <v>0.37409999999999999</v>
      </c>
      <c r="P315" s="9">
        <v>1.2927</v>
      </c>
      <c r="Q315" s="9">
        <v>30.451899999999998</v>
      </c>
      <c r="R315" s="9"/>
      <c r="S315" s="11"/>
    </row>
    <row r="316" spans="1:19" ht="15" customHeight="1">
      <c r="A316" s="13">
        <v>50801</v>
      </c>
      <c r="B316" s="8">
        <f>CHOOSE( CONTROL!$C$33, 10.3893, 10.3881) * CHOOSE(CONTROL!$C$16, $D$10, 100%, $F$10)</f>
        <v>10.3893</v>
      </c>
      <c r="C316" s="8">
        <f>CHOOSE( CONTROL!$C$33, 10.3944, 10.3932) * CHOOSE(CONTROL!$C$16, $D$10, 100%, $F$10)</f>
        <v>10.394399999999999</v>
      </c>
      <c r="D316" s="8">
        <f>CHOOSE( CONTROL!$C$33, 10.3867, 10.3856) * CHOOSE( CONTROL!$C$16, $D$10, 100%, $F$10)</f>
        <v>10.386699999999999</v>
      </c>
      <c r="E316" s="12">
        <f>CHOOSE( CONTROL!$C$33, 10.389, 10.3878) * CHOOSE( CONTROL!$C$16, $D$10, 100%, $F$10)</f>
        <v>10.388999999999999</v>
      </c>
      <c r="F316" s="4">
        <f>CHOOSE( CONTROL!$C$33, 11.0521, 11.051) * CHOOSE(CONTROL!$C$16, $D$10, 100%, $F$10)</f>
        <v>11.052099999999999</v>
      </c>
      <c r="G316" s="8">
        <f>CHOOSE( CONTROL!$C$33, 10.2872, 10.2861) * CHOOSE( CONTROL!$C$16, $D$10, 100%, $F$10)</f>
        <v>10.2872</v>
      </c>
      <c r="H316" s="4">
        <f>CHOOSE( CONTROL!$C$33, 11.1718, 11.1707) * CHOOSE(CONTROL!$C$16, $D$10, 100%, $F$10)</f>
        <v>11.171799999999999</v>
      </c>
      <c r="I316" s="8">
        <f>CHOOSE( CONTROL!$C$33, 10.2426, 10.2415) * CHOOSE(CONTROL!$C$16, $D$10, 100%, $F$10)</f>
        <v>10.242599999999999</v>
      </c>
      <c r="J316" s="4">
        <f>CHOOSE( CONTROL!$C$33, 10.0766, 10.0755) * CHOOSE(CONTROL!$C$16, $D$10, 100%, $F$10)</f>
        <v>10.076599999999999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30.386800000000001</v>
      </c>
      <c r="R316" s="9"/>
      <c r="S316" s="11"/>
    </row>
    <row r="317" spans="1:19" ht="15" customHeight="1">
      <c r="A317" s="13">
        <v>50829</v>
      </c>
      <c r="B317" s="8">
        <f>CHOOSE( CONTROL!$C$33, 9.7166, 9.7155) * CHOOSE(CONTROL!$C$16, $D$10, 100%, $F$10)</f>
        <v>9.7165999999999997</v>
      </c>
      <c r="C317" s="8">
        <f>CHOOSE( CONTROL!$C$33, 9.7217, 9.7206) * CHOOSE(CONTROL!$C$16, $D$10, 100%, $F$10)</f>
        <v>9.7217000000000002</v>
      </c>
      <c r="D317" s="8">
        <f>CHOOSE( CONTROL!$C$33, 9.7139, 9.7127) * CHOOSE( CONTROL!$C$16, $D$10, 100%, $F$10)</f>
        <v>9.7139000000000006</v>
      </c>
      <c r="E317" s="12">
        <f>CHOOSE( CONTROL!$C$33, 9.7162, 9.715) * CHOOSE( CONTROL!$C$16, $D$10, 100%, $F$10)</f>
        <v>9.7162000000000006</v>
      </c>
      <c r="F317" s="4">
        <f>CHOOSE( CONTROL!$C$33, 10.3794, 10.3783) * CHOOSE(CONTROL!$C$16, $D$10, 100%, $F$10)</f>
        <v>10.3794</v>
      </c>
      <c r="G317" s="8">
        <f>CHOOSE( CONTROL!$C$33, 9.6237, 9.6226) * CHOOSE( CONTROL!$C$16, $D$10, 100%, $F$10)</f>
        <v>9.6236999999999995</v>
      </c>
      <c r="H317" s="4">
        <f>CHOOSE( CONTROL!$C$33, 10.5085, 10.5074) * CHOOSE(CONTROL!$C$16, $D$10, 100%, $F$10)</f>
        <v>10.5085</v>
      </c>
      <c r="I317" s="8">
        <f>CHOOSE( CONTROL!$C$33, 9.5903, 9.5892) * CHOOSE(CONTROL!$C$16, $D$10, 100%, $F$10)</f>
        <v>9.5902999999999992</v>
      </c>
      <c r="J317" s="4">
        <f>CHOOSE( CONTROL!$C$33, 9.4252, 9.4241) * CHOOSE(CONTROL!$C$16, $D$10, 100%, $F$10)</f>
        <v>9.4252000000000002</v>
      </c>
      <c r="K317" s="4"/>
      <c r="L317" s="9">
        <v>26.469899999999999</v>
      </c>
      <c r="M317" s="9">
        <v>10.8962</v>
      </c>
      <c r="N317" s="9">
        <v>4.4660000000000002</v>
      </c>
      <c r="O317" s="9">
        <v>0.33789999999999998</v>
      </c>
      <c r="P317" s="9">
        <v>1.1676</v>
      </c>
      <c r="Q317" s="9">
        <v>27.446200000000001</v>
      </c>
      <c r="R317" s="9"/>
      <c r="S317" s="11"/>
    </row>
    <row r="318" spans="1:19" ht="15" customHeight="1">
      <c r="A318" s="13">
        <v>50860</v>
      </c>
      <c r="B318" s="8">
        <f>CHOOSE( CONTROL!$C$33, 9.5094, 9.5083) * CHOOSE(CONTROL!$C$16, $D$10, 100%, $F$10)</f>
        <v>9.5093999999999994</v>
      </c>
      <c r="C318" s="8">
        <f>CHOOSE( CONTROL!$C$33, 9.5145, 9.5134) * CHOOSE(CONTROL!$C$16, $D$10, 100%, $F$10)</f>
        <v>9.5145</v>
      </c>
      <c r="D318" s="8">
        <f>CHOOSE( CONTROL!$C$33, 9.5059, 9.5048) * CHOOSE( CONTROL!$C$16, $D$10, 100%, $F$10)</f>
        <v>9.5059000000000005</v>
      </c>
      <c r="E318" s="12">
        <f>CHOOSE( CONTROL!$C$33, 9.5085, 9.5074) * CHOOSE( CONTROL!$C$16, $D$10, 100%, $F$10)</f>
        <v>9.5084999999999997</v>
      </c>
      <c r="F318" s="4">
        <f>CHOOSE( CONTROL!$C$33, 10.1723, 10.1711) * CHOOSE(CONTROL!$C$16, $D$10, 100%, $F$10)</f>
        <v>10.1723</v>
      </c>
      <c r="G318" s="8">
        <f>CHOOSE( CONTROL!$C$33, 9.4189, 9.4178) * CHOOSE( CONTROL!$C$16, $D$10, 100%, $F$10)</f>
        <v>9.4189000000000007</v>
      </c>
      <c r="H318" s="4">
        <f>CHOOSE( CONTROL!$C$33, 10.3042, 10.3031) * CHOOSE(CONTROL!$C$16, $D$10, 100%, $F$10)</f>
        <v>10.3042</v>
      </c>
      <c r="I318" s="8">
        <f>CHOOSE( CONTROL!$C$33, 9.3873, 9.3862) * CHOOSE(CONTROL!$C$16, $D$10, 100%, $F$10)</f>
        <v>9.3872999999999998</v>
      </c>
      <c r="J318" s="4">
        <f>CHOOSE( CONTROL!$C$33, 9.2246, 9.2235) * CHOOSE(CONTROL!$C$16, $D$10, 100%, $F$10)</f>
        <v>9.2246000000000006</v>
      </c>
      <c r="K318" s="4"/>
      <c r="L318" s="9">
        <v>29.306000000000001</v>
      </c>
      <c r="M318" s="9">
        <v>12.063700000000001</v>
      </c>
      <c r="N318" s="9">
        <v>4.9444999999999997</v>
      </c>
      <c r="O318" s="9">
        <v>0.37409999999999999</v>
      </c>
      <c r="P318" s="9">
        <v>1.2927</v>
      </c>
      <c r="Q318" s="9">
        <v>30.386800000000001</v>
      </c>
      <c r="R318" s="9"/>
      <c r="S318" s="11"/>
    </row>
    <row r="319" spans="1:19" ht="15" customHeight="1">
      <c r="A319" s="13">
        <v>50890</v>
      </c>
      <c r="B319" s="8">
        <f>CHOOSE( CONTROL!$C$33, 9.6549, 9.6538) * CHOOSE(CONTROL!$C$16, $D$10, 100%, $F$10)</f>
        <v>9.6548999999999996</v>
      </c>
      <c r="C319" s="8">
        <f>CHOOSE( CONTROL!$C$33, 9.6595, 9.6583) * CHOOSE(CONTROL!$C$16, $D$10, 100%, $F$10)</f>
        <v>9.6594999999999995</v>
      </c>
      <c r="D319" s="8">
        <f>CHOOSE( CONTROL!$C$33, 9.6883, 9.6872) * CHOOSE( CONTROL!$C$16, $D$10, 100%, $F$10)</f>
        <v>9.6882999999999999</v>
      </c>
      <c r="E319" s="12">
        <f>CHOOSE( CONTROL!$C$33, 9.6783, 9.6771) * CHOOSE( CONTROL!$C$16, $D$10, 100%, $F$10)</f>
        <v>9.6783000000000001</v>
      </c>
      <c r="F319" s="4">
        <f>CHOOSE( CONTROL!$C$33, 10.4332, 10.4321) * CHOOSE(CONTROL!$C$16, $D$10, 100%, $F$10)</f>
        <v>10.433199999999999</v>
      </c>
      <c r="G319" s="8">
        <f>CHOOSE( CONTROL!$C$33, 9.5826, 9.5815) * CHOOSE( CONTROL!$C$16, $D$10, 100%, $F$10)</f>
        <v>9.5825999999999993</v>
      </c>
      <c r="H319" s="4">
        <f>CHOOSE( CONTROL!$C$33, 10.5615, 10.5604) * CHOOSE(CONTROL!$C$16, $D$10, 100%, $F$10)</f>
        <v>10.561500000000001</v>
      </c>
      <c r="I319" s="8">
        <f>CHOOSE( CONTROL!$C$33, 9.4856, 9.4845) * CHOOSE(CONTROL!$C$16, $D$10, 100%, $F$10)</f>
        <v>9.4855999999999998</v>
      </c>
      <c r="J319" s="4">
        <f>CHOOSE( CONTROL!$C$33, 9.3648, 9.3637) * CHOOSE(CONTROL!$C$16, $D$10, 100%, $F$10)</f>
        <v>9.3648000000000007</v>
      </c>
      <c r="K319" s="4"/>
      <c r="L319" s="9">
        <v>30.092199999999998</v>
      </c>
      <c r="M319" s="9">
        <v>11.6745</v>
      </c>
      <c r="N319" s="9">
        <v>4.7850000000000001</v>
      </c>
      <c r="O319" s="9">
        <v>0.36199999999999999</v>
      </c>
      <c r="P319" s="9">
        <v>1.2509999999999999</v>
      </c>
      <c r="Q319" s="9">
        <v>29.406600000000001</v>
      </c>
      <c r="R319" s="9"/>
      <c r="S319" s="11"/>
    </row>
    <row r="320" spans="1:19" ht="15" customHeight="1">
      <c r="A320" s="13">
        <v>50921</v>
      </c>
      <c r="B320" s="8">
        <f>CHOOSE( CONTROL!$C$33, 9.9144, 9.9128) * CHOOSE(CONTROL!$C$16, $D$10, 100%, $F$10)</f>
        <v>9.9144000000000005</v>
      </c>
      <c r="C320" s="8">
        <f>CHOOSE( CONTROL!$C$33, 9.9224, 9.9208) * CHOOSE(CONTROL!$C$16, $D$10, 100%, $F$10)</f>
        <v>9.9223999999999997</v>
      </c>
      <c r="D320" s="8">
        <f>CHOOSE( CONTROL!$C$33, 9.9446, 9.9431) * CHOOSE( CONTROL!$C$16, $D$10, 100%, $F$10)</f>
        <v>9.9445999999999994</v>
      </c>
      <c r="E320" s="12">
        <f>CHOOSE( CONTROL!$C$33, 9.9353, 9.9338) * CHOOSE( CONTROL!$C$16, $D$10, 100%, $F$10)</f>
        <v>9.9352999999999998</v>
      </c>
      <c r="F320" s="4">
        <f>CHOOSE( CONTROL!$C$33, 10.6913, 10.6898) * CHOOSE(CONTROL!$C$16, $D$10, 100%, $F$10)</f>
        <v>10.6913</v>
      </c>
      <c r="G320" s="8">
        <f>CHOOSE( CONTROL!$C$33, 9.8371, 9.8355) * CHOOSE( CONTROL!$C$16, $D$10, 100%, $F$10)</f>
        <v>9.8370999999999995</v>
      </c>
      <c r="H320" s="4">
        <f>CHOOSE( CONTROL!$C$33, 10.816, 10.8145) * CHOOSE(CONTROL!$C$16, $D$10, 100%, $F$10)</f>
        <v>10.816000000000001</v>
      </c>
      <c r="I320" s="8">
        <f>CHOOSE( CONTROL!$C$33, 9.7352, 9.7337) * CHOOSE(CONTROL!$C$16, $D$10, 100%, $F$10)</f>
        <v>9.7352000000000007</v>
      </c>
      <c r="J320" s="4">
        <f>CHOOSE( CONTROL!$C$33, 9.6147, 9.6132) * CHOOSE(CONTROL!$C$16, $D$10, 100%, $F$10)</f>
        <v>9.6146999999999991</v>
      </c>
      <c r="K320" s="4"/>
      <c r="L320" s="9">
        <v>30.7165</v>
      </c>
      <c r="M320" s="9">
        <v>12.063700000000001</v>
      </c>
      <c r="N320" s="9">
        <v>4.9444999999999997</v>
      </c>
      <c r="O320" s="9">
        <v>0.37409999999999999</v>
      </c>
      <c r="P320" s="9">
        <v>1.2927</v>
      </c>
      <c r="Q320" s="9">
        <v>30.386800000000001</v>
      </c>
      <c r="R320" s="9"/>
      <c r="S320" s="11"/>
    </row>
    <row r="321" spans="1:19" ht="15" customHeight="1">
      <c r="A321" s="13">
        <v>50951</v>
      </c>
      <c r="B321" s="8">
        <f>CHOOSE( CONTROL!$C$33, 9.7548, 9.7532) * CHOOSE(CONTROL!$C$16, $D$10, 100%, $F$10)</f>
        <v>9.7547999999999995</v>
      </c>
      <c r="C321" s="8">
        <f>CHOOSE( CONTROL!$C$33, 9.7628, 9.7612) * CHOOSE(CONTROL!$C$16, $D$10, 100%, $F$10)</f>
        <v>9.7628000000000004</v>
      </c>
      <c r="D321" s="8">
        <f>CHOOSE( CONTROL!$C$33, 9.7852, 9.7836) * CHOOSE( CONTROL!$C$16, $D$10, 100%, $F$10)</f>
        <v>9.7851999999999997</v>
      </c>
      <c r="E321" s="12">
        <f>CHOOSE( CONTROL!$C$33, 9.7759, 9.7743) * CHOOSE( CONTROL!$C$16, $D$10, 100%, $F$10)</f>
        <v>9.7759</v>
      </c>
      <c r="F321" s="4">
        <f>CHOOSE( CONTROL!$C$33, 10.5317, 10.5302) * CHOOSE(CONTROL!$C$16, $D$10, 100%, $F$10)</f>
        <v>10.531700000000001</v>
      </c>
      <c r="G321" s="8">
        <f>CHOOSE( CONTROL!$C$33, 9.6798, 9.6783) * CHOOSE( CONTROL!$C$16, $D$10, 100%, $F$10)</f>
        <v>9.6798000000000002</v>
      </c>
      <c r="H321" s="4">
        <f>CHOOSE( CONTROL!$C$33, 10.6586, 10.6571) * CHOOSE(CONTROL!$C$16, $D$10, 100%, $F$10)</f>
        <v>10.6586</v>
      </c>
      <c r="I321" s="8">
        <f>CHOOSE( CONTROL!$C$33, 9.5812, 9.5797) * CHOOSE(CONTROL!$C$16, $D$10, 100%, $F$10)</f>
        <v>9.5812000000000008</v>
      </c>
      <c r="J321" s="4">
        <f>CHOOSE( CONTROL!$C$33, 9.4602, 9.4586) * CHOOSE(CONTROL!$C$16, $D$10, 100%, $F$10)</f>
        <v>9.4602000000000004</v>
      </c>
      <c r="K321" s="4"/>
      <c r="L321" s="9">
        <v>29.7257</v>
      </c>
      <c r="M321" s="9">
        <v>11.6745</v>
      </c>
      <c r="N321" s="9">
        <v>4.7850000000000001</v>
      </c>
      <c r="O321" s="9">
        <v>0.36199999999999999</v>
      </c>
      <c r="P321" s="9">
        <v>1.2509999999999999</v>
      </c>
      <c r="Q321" s="9">
        <v>29.406600000000001</v>
      </c>
      <c r="R321" s="9"/>
      <c r="S321" s="11"/>
    </row>
    <row r="322" spans="1:19" ht="15" customHeight="1">
      <c r="A322" s="13">
        <v>50982</v>
      </c>
      <c r="B322" s="8">
        <f>CHOOSE( CONTROL!$C$33, 10.1751, 10.1736) * CHOOSE(CONTROL!$C$16, $D$10, 100%, $F$10)</f>
        <v>10.1751</v>
      </c>
      <c r="C322" s="8">
        <f>CHOOSE( CONTROL!$C$33, 10.1831, 10.1816) * CHOOSE(CONTROL!$C$16, $D$10, 100%, $F$10)</f>
        <v>10.1831</v>
      </c>
      <c r="D322" s="8">
        <f>CHOOSE( CONTROL!$C$33, 10.2058, 10.2042) * CHOOSE( CONTROL!$C$16, $D$10, 100%, $F$10)</f>
        <v>10.2058</v>
      </c>
      <c r="E322" s="12">
        <f>CHOOSE( CONTROL!$C$33, 10.1964, 10.1948) * CHOOSE( CONTROL!$C$16, $D$10, 100%, $F$10)</f>
        <v>10.196400000000001</v>
      </c>
      <c r="F322" s="4">
        <f>CHOOSE( CONTROL!$C$33, 10.9521, 10.9505) * CHOOSE(CONTROL!$C$16, $D$10, 100%, $F$10)</f>
        <v>10.9521</v>
      </c>
      <c r="G322" s="8">
        <f>CHOOSE( CONTROL!$C$33, 10.0945, 10.0929) * CHOOSE( CONTROL!$C$16, $D$10, 100%, $F$10)</f>
        <v>10.0945</v>
      </c>
      <c r="H322" s="4">
        <f>CHOOSE( CONTROL!$C$33, 11.0731, 11.0716) * CHOOSE(CONTROL!$C$16, $D$10, 100%, $F$10)</f>
        <v>11.0731</v>
      </c>
      <c r="I322" s="8">
        <f>CHOOSE( CONTROL!$C$33, 9.9892, 9.9876) * CHOOSE(CONTROL!$C$16, $D$10, 100%, $F$10)</f>
        <v>9.9892000000000003</v>
      </c>
      <c r="J322" s="4">
        <f>CHOOSE( CONTROL!$C$33, 9.8672, 9.8657) * CHOOSE(CONTROL!$C$16, $D$10, 100%, $F$10)</f>
        <v>9.8672000000000004</v>
      </c>
      <c r="K322" s="4"/>
      <c r="L322" s="9">
        <v>30.7165</v>
      </c>
      <c r="M322" s="9">
        <v>12.063700000000001</v>
      </c>
      <c r="N322" s="9">
        <v>4.9444999999999997</v>
      </c>
      <c r="O322" s="9">
        <v>0.37409999999999999</v>
      </c>
      <c r="P322" s="9">
        <v>1.2927</v>
      </c>
      <c r="Q322" s="9">
        <v>30.386800000000001</v>
      </c>
      <c r="R322" s="9"/>
      <c r="S322" s="11"/>
    </row>
    <row r="323" spans="1:19" ht="15" customHeight="1">
      <c r="A323" s="13">
        <v>51013</v>
      </c>
      <c r="B323" s="8">
        <f>CHOOSE( CONTROL!$C$33, 9.3886, 9.3871) * CHOOSE(CONTROL!$C$16, $D$10, 100%, $F$10)</f>
        <v>9.3886000000000003</v>
      </c>
      <c r="C323" s="8">
        <f>CHOOSE( CONTROL!$C$33, 9.3966, 9.3951) * CHOOSE(CONTROL!$C$16, $D$10, 100%, $F$10)</f>
        <v>9.3965999999999994</v>
      </c>
      <c r="D323" s="8">
        <f>CHOOSE( CONTROL!$C$33, 9.4193, 9.4177) * CHOOSE( CONTROL!$C$16, $D$10, 100%, $F$10)</f>
        <v>9.4192999999999998</v>
      </c>
      <c r="E323" s="12">
        <f>CHOOSE( CONTROL!$C$33, 9.4099, 9.4083) * CHOOSE( CONTROL!$C$16, $D$10, 100%, $F$10)</f>
        <v>9.4099000000000004</v>
      </c>
      <c r="F323" s="4">
        <f>CHOOSE( CONTROL!$C$33, 10.1656, 10.164) * CHOOSE(CONTROL!$C$16, $D$10, 100%, $F$10)</f>
        <v>10.1656</v>
      </c>
      <c r="G323" s="8">
        <f>CHOOSE( CONTROL!$C$33, 9.319, 9.3174) * CHOOSE( CONTROL!$C$16, $D$10, 100%, $F$10)</f>
        <v>9.3190000000000008</v>
      </c>
      <c r="H323" s="4">
        <f>CHOOSE( CONTROL!$C$33, 10.2976, 10.296) * CHOOSE(CONTROL!$C$16, $D$10, 100%, $F$10)</f>
        <v>10.297599999999999</v>
      </c>
      <c r="I323" s="8">
        <f>CHOOSE( CONTROL!$C$33, 9.2274, 9.2259) * CHOOSE(CONTROL!$C$16, $D$10, 100%, $F$10)</f>
        <v>9.2273999999999994</v>
      </c>
      <c r="J323" s="4">
        <f>CHOOSE( CONTROL!$C$33, 9.1056, 9.1041) * CHOOSE(CONTROL!$C$16, $D$10, 100%, $F$10)</f>
        <v>9.1056000000000008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1.2927</v>
      </c>
      <c r="Q323" s="9">
        <v>30.386800000000001</v>
      </c>
      <c r="R323" s="9"/>
      <c r="S323" s="11"/>
    </row>
    <row r="324" spans="1:19" ht="15" customHeight="1">
      <c r="A324" s="13">
        <v>51043</v>
      </c>
      <c r="B324" s="8">
        <f>CHOOSE( CONTROL!$C$33, 9.1917, 9.1901) * CHOOSE(CONTROL!$C$16, $D$10, 100%, $F$10)</f>
        <v>9.1917000000000009</v>
      </c>
      <c r="C324" s="8">
        <f>CHOOSE( CONTROL!$C$33, 9.1997, 9.1981) * CHOOSE(CONTROL!$C$16, $D$10, 100%, $F$10)</f>
        <v>9.1997</v>
      </c>
      <c r="D324" s="8">
        <f>CHOOSE( CONTROL!$C$33, 9.2222, 9.2207) * CHOOSE( CONTROL!$C$16, $D$10, 100%, $F$10)</f>
        <v>9.2222000000000008</v>
      </c>
      <c r="E324" s="12">
        <f>CHOOSE( CONTROL!$C$33, 9.2128, 9.2113) * CHOOSE( CONTROL!$C$16, $D$10, 100%, $F$10)</f>
        <v>9.2127999999999997</v>
      </c>
      <c r="F324" s="4">
        <f>CHOOSE( CONTROL!$C$33, 9.9686, 9.9671) * CHOOSE(CONTROL!$C$16, $D$10, 100%, $F$10)</f>
        <v>9.9686000000000003</v>
      </c>
      <c r="G324" s="8">
        <f>CHOOSE( CONTROL!$C$33, 9.1247, 9.1231) * CHOOSE( CONTROL!$C$16, $D$10, 100%, $F$10)</f>
        <v>9.1247000000000007</v>
      </c>
      <c r="H324" s="4">
        <f>CHOOSE( CONTROL!$C$33, 10.1034, 10.1018) * CHOOSE(CONTROL!$C$16, $D$10, 100%, $F$10)</f>
        <v>10.103400000000001</v>
      </c>
      <c r="I324" s="8">
        <f>CHOOSE( CONTROL!$C$33, 9.0362, 9.0347) * CHOOSE(CONTROL!$C$16, $D$10, 100%, $F$10)</f>
        <v>9.0361999999999991</v>
      </c>
      <c r="J324" s="4">
        <f>CHOOSE( CONTROL!$C$33, 8.9149, 8.9134) * CHOOSE(CONTROL!$C$16, $D$10, 100%, $F$10)</f>
        <v>8.9148999999999994</v>
      </c>
      <c r="K324" s="4"/>
      <c r="L324" s="9">
        <v>29.7257</v>
      </c>
      <c r="M324" s="9">
        <v>11.6745</v>
      </c>
      <c r="N324" s="9">
        <v>4.7850000000000001</v>
      </c>
      <c r="O324" s="9">
        <v>0.36199999999999999</v>
      </c>
      <c r="P324" s="9">
        <v>1.2509999999999999</v>
      </c>
      <c r="Q324" s="9">
        <v>29.406600000000001</v>
      </c>
      <c r="R324" s="9"/>
      <c r="S324" s="11"/>
    </row>
    <row r="325" spans="1:19" ht="15" customHeight="1">
      <c r="A325" s="13">
        <v>51074</v>
      </c>
      <c r="B325" s="8">
        <f>CHOOSE( CONTROL!$C$33, 9.5985, 9.5973) * CHOOSE(CONTROL!$C$16, $D$10, 100%, $F$10)</f>
        <v>9.5984999999999996</v>
      </c>
      <c r="C325" s="8">
        <f>CHOOSE( CONTROL!$C$33, 9.6038, 9.6027) * CHOOSE(CONTROL!$C$16, $D$10, 100%, $F$10)</f>
        <v>9.6037999999999997</v>
      </c>
      <c r="D325" s="8">
        <f>CHOOSE( CONTROL!$C$33, 9.6326, 9.6315) * CHOOSE( CONTROL!$C$16, $D$10, 100%, $F$10)</f>
        <v>9.6326000000000001</v>
      </c>
      <c r="E325" s="12">
        <f>CHOOSE( CONTROL!$C$33, 9.6225, 9.6214) * CHOOSE( CONTROL!$C$16, $D$10, 100%, $F$10)</f>
        <v>9.6225000000000005</v>
      </c>
      <c r="F325" s="4">
        <f>CHOOSE( CONTROL!$C$33, 10.3771, 10.376) * CHOOSE(CONTROL!$C$16, $D$10, 100%, $F$10)</f>
        <v>10.3771</v>
      </c>
      <c r="G325" s="8">
        <f>CHOOSE( CONTROL!$C$33, 9.5276, 9.5265) * CHOOSE( CONTROL!$C$16, $D$10, 100%, $F$10)</f>
        <v>9.5275999999999996</v>
      </c>
      <c r="H325" s="4">
        <f>CHOOSE( CONTROL!$C$33, 10.5062, 10.5051) * CHOOSE(CONTROL!$C$16, $D$10, 100%, $F$10)</f>
        <v>10.5062</v>
      </c>
      <c r="I325" s="8">
        <f>CHOOSE( CONTROL!$C$33, 9.4325, 9.4314) * CHOOSE(CONTROL!$C$16, $D$10, 100%, $F$10)</f>
        <v>9.4324999999999992</v>
      </c>
      <c r="J325" s="4">
        <f>CHOOSE( CONTROL!$C$33, 9.3105, 9.3094) * CHOOSE(CONTROL!$C$16, $D$10, 100%, $F$10)</f>
        <v>9.3104999999999993</v>
      </c>
      <c r="K325" s="4"/>
      <c r="L325" s="9">
        <v>31.095300000000002</v>
      </c>
      <c r="M325" s="9">
        <v>12.063700000000001</v>
      </c>
      <c r="N325" s="9">
        <v>4.9444999999999997</v>
      </c>
      <c r="O325" s="9">
        <v>0.37409999999999999</v>
      </c>
      <c r="P325" s="9">
        <v>1.2927</v>
      </c>
      <c r="Q325" s="9">
        <v>30.386800000000001</v>
      </c>
      <c r="R325" s="9"/>
      <c r="S325" s="11"/>
    </row>
    <row r="326" spans="1:19" ht="15" customHeight="1">
      <c r="A326" s="13">
        <v>51104</v>
      </c>
      <c r="B326" s="8">
        <f>CHOOSE( CONTROL!$C$33, 10.3528, 10.3517) * CHOOSE(CONTROL!$C$16, $D$10, 100%, $F$10)</f>
        <v>10.3528</v>
      </c>
      <c r="C326" s="8">
        <f>CHOOSE( CONTROL!$C$33, 10.3579, 10.3568) * CHOOSE(CONTROL!$C$16, $D$10, 100%, $F$10)</f>
        <v>10.357900000000001</v>
      </c>
      <c r="D326" s="8">
        <f>CHOOSE( CONTROL!$C$33, 10.3376, 10.3365) * CHOOSE( CONTROL!$C$16, $D$10, 100%, $F$10)</f>
        <v>10.3376</v>
      </c>
      <c r="E326" s="12">
        <f>CHOOSE( CONTROL!$C$33, 10.3445, 10.3434) * CHOOSE( CONTROL!$C$16, $D$10, 100%, $F$10)</f>
        <v>10.3445</v>
      </c>
      <c r="F326" s="4">
        <f>CHOOSE( CONTROL!$C$33, 11.0157, 11.0146) * CHOOSE(CONTROL!$C$16, $D$10, 100%, $F$10)</f>
        <v>11.015700000000001</v>
      </c>
      <c r="G326" s="8">
        <f>CHOOSE( CONTROL!$C$33, 10.2444, 10.2433) * CHOOSE( CONTROL!$C$16, $D$10, 100%, $F$10)</f>
        <v>10.244400000000001</v>
      </c>
      <c r="H326" s="4">
        <f>CHOOSE( CONTROL!$C$33, 11.1359, 11.1348) * CHOOSE(CONTROL!$C$16, $D$10, 100%, $F$10)</f>
        <v>11.135899999999999</v>
      </c>
      <c r="I326" s="8">
        <f>CHOOSE( CONTROL!$C$33, 10.2115, 10.2104) * CHOOSE(CONTROL!$C$16, $D$10, 100%, $F$10)</f>
        <v>10.211499999999999</v>
      </c>
      <c r="J326" s="4">
        <f>CHOOSE( CONTROL!$C$33, 10.0413, 10.0402) * CHOOSE(CONTROL!$C$16, $D$10, 100%, $F$10)</f>
        <v>10.0413</v>
      </c>
      <c r="K326" s="4"/>
      <c r="L326" s="9">
        <v>28.360600000000002</v>
      </c>
      <c r="M326" s="9">
        <v>11.6745</v>
      </c>
      <c r="N326" s="9">
        <v>4.7850000000000001</v>
      </c>
      <c r="O326" s="9">
        <v>0.36199999999999999</v>
      </c>
      <c r="P326" s="9">
        <v>1.2509999999999999</v>
      </c>
      <c r="Q326" s="9">
        <v>29.406600000000001</v>
      </c>
      <c r="R326" s="9"/>
      <c r="S326" s="11"/>
    </row>
    <row r="327" spans="1:19" ht="15" customHeight="1">
      <c r="A327" s="13">
        <v>51135</v>
      </c>
      <c r="B327" s="8">
        <f>CHOOSE( CONTROL!$C$33, 10.334, 10.3329) * CHOOSE(CONTROL!$C$16, $D$10, 100%, $F$10)</f>
        <v>10.334</v>
      </c>
      <c r="C327" s="8">
        <f>CHOOSE( CONTROL!$C$33, 10.3391, 10.338) * CHOOSE(CONTROL!$C$16, $D$10, 100%, $F$10)</f>
        <v>10.3391</v>
      </c>
      <c r="D327" s="8">
        <f>CHOOSE( CONTROL!$C$33, 10.3202, 10.3191) * CHOOSE( CONTROL!$C$16, $D$10, 100%, $F$10)</f>
        <v>10.3202</v>
      </c>
      <c r="E327" s="12">
        <f>CHOOSE( CONTROL!$C$33, 10.3266, 10.3255) * CHOOSE( CONTROL!$C$16, $D$10, 100%, $F$10)</f>
        <v>10.326599999999999</v>
      </c>
      <c r="F327" s="4">
        <f>CHOOSE( CONTROL!$C$33, 10.9969, 10.9957) * CHOOSE(CONTROL!$C$16, $D$10, 100%, $F$10)</f>
        <v>10.9969</v>
      </c>
      <c r="G327" s="8">
        <f>CHOOSE( CONTROL!$C$33, 10.2268, 10.2257) * CHOOSE( CONTROL!$C$16, $D$10, 100%, $F$10)</f>
        <v>10.226800000000001</v>
      </c>
      <c r="H327" s="4">
        <f>CHOOSE( CONTROL!$C$33, 11.1173, 11.1162) * CHOOSE(CONTROL!$C$16, $D$10, 100%, $F$10)</f>
        <v>11.1173</v>
      </c>
      <c r="I327" s="8">
        <f>CHOOSE( CONTROL!$C$33, 10.1978, 10.1967) * CHOOSE(CONTROL!$C$16, $D$10, 100%, $F$10)</f>
        <v>10.197800000000001</v>
      </c>
      <c r="J327" s="4">
        <f>CHOOSE( CONTROL!$C$33, 10.0231, 10.022) * CHOOSE(CONTROL!$C$16, $D$10, 100%, $F$10)</f>
        <v>10.023099999999999</v>
      </c>
      <c r="K327" s="4"/>
      <c r="L327" s="9">
        <v>29.306000000000001</v>
      </c>
      <c r="M327" s="9">
        <v>12.063700000000001</v>
      </c>
      <c r="N327" s="9">
        <v>4.9444999999999997</v>
      </c>
      <c r="O327" s="9">
        <v>0.37409999999999999</v>
      </c>
      <c r="P327" s="9">
        <v>1.2927</v>
      </c>
      <c r="Q327" s="9">
        <v>30.386800000000001</v>
      </c>
      <c r="R327" s="9"/>
      <c r="S327" s="11"/>
    </row>
    <row r="328" spans="1:19" ht="15" customHeight="1">
      <c r="A328" s="13">
        <v>51166</v>
      </c>
      <c r="B328" s="8">
        <f>CHOOSE( CONTROL!$C$33, 10.6393, 10.6382) * CHOOSE(CONTROL!$C$16, $D$10, 100%, $F$10)</f>
        <v>10.6393</v>
      </c>
      <c r="C328" s="8">
        <f>CHOOSE( CONTROL!$C$33, 10.6444, 10.6433) * CHOOSE(CONTROL!$C$16, $D$10, 100%, $F$10)</f>
        <v>10.644399999999999</v>
      </c>
      <c r="D328" s="8">
        <f>CHOOSE( CONTROL!$C$33, 10.6367, 10.6356) * CHOOSE( CONTROL!$C$16, $D$10, 100%, $F$10)</f>
        <v>10.636699999999999</v>
      </c>
      <c r="E328" s="12">
        <f>CHOOSE( CONTROL!$C$33, 10.639, 10.6379) * CHOOSE( CONTROL!$C$16, $D$10, 100%, $F$10)</f>
        <v>10.638999999999999</v>
      </c>
      <c r="F328" s="4">
        <f>CHOOSE( CONTROL!$C$33, 11.3022, 11.301) * CHOOSE(CONTROL!$C$16, $D$10, 100%, $F$10)</f>
        <v>11.302199999999999</v>
      </c>
      <c r="G328" s="8">
        <f>CHOOSE( CONTROL!$C$33, 10.5337, 10.5326) * CHOOSE( CONTROL!$C$16, $D$10, 100%, $F$10)</f>
        <v>10.5337</v>
      </c>
      <c r="H328" s="4">
        <f>CHOOSE( CONTROL!$C$33, 11.4183, 11.4172) * CHOOSE(CONTROL!$C$16, $D$10, 100%, $F$10)</f>
        <v>11.4183</v>
      </c>
      <c r="I328" s="8">
        <f>CHOOSE( CONTROL!$C$33, 10.4848, 10.4837) * CHOOSE(CONTROL!$C$16, $D$10, 100%, $F$10)</f>
        <v>10.4848</v>
      </c>
      <c r="J328" s="4">
        <f>CHOOSE( CONTROL!$C$33, 10.3187, 10.3176) * CHOOSE(CONTROL!$C$16, $D$10, 100%, $F$10)</f>
        <v>10.3187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30.3217</v>
      </c>
      <c r="R328" s="9"/>
      <c r="S328" s="11"/>
    </row>
    <row r="329" spans="1:19" ht="15" customHeight="1">
      <c r="A329" s="13">
        <v>51194</v>
      </c>
      <c r="B329" s="8">
        <f>CHOOSE( CONTROL!$C$33, 9.9504, 9.9493) * CHOOSE(CONTROL!$C$16, $D$10, 100%, $F$10)</f>
        <v>9.9504000000000001</v>
      </c>
      <c r="C329" s="8">
        <f>CHOOSE( CONTROL!$C$33, 9.9555, 9.9544) * CHOOSE(CONTROL!$C$16, $D$10, 100%, $F$10)</f>
        <v>9.9555000000000007</v>
      </c>
      <c r="D329" s="8">
        <f>CHOOSE( CONTROL!$C$33, 9.9477, 9.9466) * CHOOSE( CONTROL!$C$16, $D$10, 100%, $F$10)</f>
        <v>9.9476999999999993</v>
      </c>
      <c r="E329" s="12">
        <f>CHOOSE( CONTROL!$C$33, 9.95, 9.9489) * CHOOSE( CONTROL!$C$16, $D$10, 100%, $F$10)</f>
        <v>9.9499999999999993</v>
      </c>
      <c r="F329" s="4">
        <f>CHOOSE( CONTROL!$C$33, 10.6133, 10.6122) * CHOOSE(CONTROL!$C$16, $D$10, 100%, $F$10)</f>
        <v>10.613300000000001</v>
      </c>
      <c r="G329" s="8">
        <f>CHOOSE( CONTROL!$C$33, 9.8543, 9.8532) * CHOOSE( CONTROL!$C$16, $D$10, 100%, $F$10)</f>
        <v>9.8543000000000003</v>
      </c>
      <c r="H329" s="4">
        <f>CHOOSE( CONTROL!$C$33, 10.7391, 10.738) * CHOOSE(CONTROL!$C$16, $D$10, 100%, $F$10)</f>
        <v>10.739100000000001</v>
      </c>
      <c r="I329" s="8">
        <f>CHOOSE( CONTROL!$C$33, 9.8169, 9.8158) * CHOOSE(CONTROL!$C$16, $D$10, 100%, $F$10)</f>
        <v>9.8169000000000004</v>
      </c>
      <c r="J329" s="4">
        <f>CHOOSE( CONTROL!$C$33, 9.6517, 9.6506) * CHOOSE(CONTROL!$C$16, $D$10, 100%, $F$10)</f>
        <v>9.6516999999999999</v>
      </c>
      <c r="K329" s="4"/>
      <c r="L329" s="9">
        <v>27.415299999999998</v>
      </c>
      <c r="M329" s="9">
        <v>11.285299999999999</v>
      </c>
      <c r="N329" s="9">
        <v>4.6254999999999997</v>
      </c>
      <c r="O329" s="9">
        <v>0.34989999999999999</v>
      </c>
      <c r="P329" s="9">
        <v>1.2093</v>
      </c>
      <c r="Q329" s="9">
        <v>28.365500000000001</v>
      </c>
      <c r="R329" s="9"/>
      <c r="S329" s="11"/>
    </row>
    <row r="330" spans="1:19" ht="15" customHeight="1">
      <c r="A330" s="13">
        <v>51226</v>
      </c>
      <c r="B330" s="8">
        <f>CHOOSE( CONTROL!$C$33, 9.7383, 9.7371) * CHOOSE(CONTROL!$C$16, $D$10, 100%, $F$10)</f>
        <v>9.7383000000000006</v>
      </c>
      <c r="C330" s="8">
        <f>CHOOSE( CONTROL!$C$33, 9.7434, 9.7422) * CHOOSE(CONTROL!$C$16, $D$10, 100%, $F$10)</f>
        <v>9.7433999999999994</v>
      </c>
      <c r="D330" s="8">
        <f>CHOOSE( CONTROL!$C$33, 9.7348, 9.7337) * CHOOSE( CONTROL!$C$16, $D$10, 100%, $F$10)</f>
        <v>9.7347999999999999</v>
      </c>
      <c r="E330" s="12">
        <f>CHOOSE( CONTROL!$C$33, 9.7374, 9.7363) * CHOOSE( CONTROL!$C$16, $D$10, 100%, $F$10)</f>
        <v>9.7373999999999992</v>
      </c>
      <c r="F330" s="4">
        <f>CHOOSE( CONTROL!$C$33, 10.4011, 10.4) * CHOOSE(CONTROL!$C$16, $D$10, 100%, $F$10)</f>
        <v>10.4011</v>
      </c>
      <c r="G330" s="8">
        <f>CHOOSE( CONTROL!$C$33, 9.6446, 9.6435) * CHOOSE( CONTROL!$C$16, $D$10, 100%, $F$10)</f>
        <v>9.6446000000000005</v>
      </c>
      <c r="H330" s="4">
        <f>CHOOSE( CONTROL!$C$33, 10.5299, 10.5288) * CHOOSE(CONTROL!$C$16, $D$10, 100%, $F$10)</f>
        <v>10.5299</v>
      </c>
      <c r="I330" s="8">
        <f>CHOOSE( CONTROL!$C$33, 9.609, 9.6079) * CHOOSE(CONTROL!$C$16, $D$10, 100%, $F$10)</f>
        <v>9.609</v>
      </c>
      <c r="J330" s="4">
        <f>CHOOSE( CONTROL!$C$33, 9.4462, 9.4451) * CHOOSE(CONTROL!$C$16, $D$10, 100%, $F$10)</f>
        <v>9.4461999999999993</v>
      </c>
      <c r="K330" s="4"/>
      <c r="L330" s="9">
        <v>29.306000000000001</v>
      </c>
      <c r="M330" s="9">
        <v>12.063700000000001</v>
      </c>
      <c r="N330" s="9">
        <v>4.9444999999999997</v>
      </c>
      <c r="O330" s="9">
        <v>0.37409999999999999</v>
      </c>
      <c r="P330" s="9">
        <v>1.2927</v>
      </c>
      <c r="Q330" s="9">
        <v>30.3217</v>
      </c>
      <c r="R330" s="9"/>
      <c r="S330" s="11"/>
    </row>
    <row r="331" spans="1:19" ht="15" customHeight="1">
      <c r="A331" s="13">
        <v>51256</v>
      </c>
      <c r="B331" s="8">
        <f>CHOOSE( CONTROL!$C$33, 9.8873, 9.8862) * CHOOSE(CONTROL!$C$16, $D$10, 100%, $F$10)</f>
        <v>9.8872999999999998</v>
      </c>
      <c r="C331" s="8">
        <f>CHOOSE( CONTROL!$C$33, 9.8918, 9.8907) * CHOOSE(CONTROL!$C$16, $D$10, 100%, $F$10)</f>
        <v>9.8917999999999999</v>
      </c>
      <c r="D331" s="8">
        <f>CHOOSE( CONTROL!$C$33, 9.9207, 9.9196) * CHOOSE( CONTROL!$C$16, $D$10, 100%, $F$10)</f>
        <v>9.9207000000000001</v>
      </c>
      <c r="E331" s="12">
        <f>CHOOSE( CONTROL!$C$33, 9.9106, 9.9095) * CHOOSE( CONTROL!$C$16, $D$10, 100%, $F$10)</f>
        <v>9.9106000000000005</v>
      </c>
      <c r="F331" s="4">
        <f>CHOOSE( CONTROL!$C$33, 10.6656, 10.6645) * CHOOSE(CONTROL!$C$16, $D$10, 100%, $F$10)</f>
        <v>10.6656</v>
      </c>
      <c r="G331" s="8">
        <f>CHOOSE( CONTROL!$C$33, 9.8117, 9.8106) * CHOOSE( CONTROL!$C$16, $D$10, 100%, $F$10)</f>
        <v>9.8117000000000001</v>
      </c>
      <c r="H331" s="4">
        <f>CHOOSE( CONTROL!$C$33, 10.7906, 10.7895) * CHOOSE(CONTROL!$C$16, $D$10, 100%, $F$10)</f>
        <v>10.7906</v>
      </c>
      <c r="I331" s="8">
        <f>CHOOSE( CONTROL!$C$33, 9.7107, 9.7096) * CHOOSE(CONTROL!$C$16, $D$10, 100%, $F$10)</f>
        <v>9.7106999999999992</v>
      </c>
      <c r="J331" s="4">
        <f>CHOOSE( CONTROL!$C$33, 9.5898, 9.5887) * CHOOSE(CONTROL!$C$16, $D$10, 100%, $F$10)</f>
        <v>9.5898000000000003</v>
      </c>
      <c r="K331" s="4"/>
      <c r="L331" s="9">
        <v>30.092199999999998</v>
      </c>
      <c r="M331" s="9">
        <v>11.6745</v>
      </c>
      <c r="N331" s="9">
        <v>4.7850000000000001</v>
      </c>
      <c r="O331" s="9">
        <v>0.36199999999999999</v>
      </c>
      <c r="P331" s="9">
        <v>1.2509999999999999</v>
      </c>
      <c r="Q331" s="9">
        <v>29.343599999999999</v>
      </c>
      <c r="R331" s="9"/>
      <c r="S331" s="11"/>
    </row>
    <row r="332" spans="1:19" ht="15" customHeight="1">
      <c r="A332" s="13">
        <v>51287</v>
      </c>
      <c r="B332" s="8">
        <f>CHOOSE( CONTROL!$C$33, 10.153, 10.1514) * CHOOSE(CONTROL!$C$16, $D$10, 100%, $F$10)</f>
        <v>10.153</v>
      </c>
      <c r="C332" s="8">
        <f>CHOOSE( CONTROL!$C$33, 10.161, 10.1594) * CHOOSE(CONTROL!$C$16, $D$10, 100%, $F$10)</f>
        <v>10.161</v>
      </c>
      <c r="D332" s="8">
        <f>CHOOSE( CONTROL!$C$33, 10.1832, 10.1816) * CHOOSE( CONTROL!$C$16, $D$10, 100%, $F$10)</f>
        <v>10.183199999999999</v>
      </c>
      <c r="E332" s="12">
        <f>CHOOSE( CONTROL!$C$33, 10.1739, 10.1723) * CHOOSE( CONTROL!$C$16, $D$10, 100%, $F$10)</f>
        <v>10.1739</v>
      </c>
      <c r="F332" s="4">
        <f>CHOOSE( CONTROL!$C$33, 10.9299, 10.9283) * CHOOSE(CONTROL!$C$16, $D$10, 100%, $F$10)</f>
        <v>10.9299</v>
      </c>
      <c r="G332" s="8">
        <f>CHOOSE( CONTROL!$C$33, 10.0723, 10.0707) * CHOOSE( CONTROL!$C$16, $D$10, 100%, $F$10)</f>
        <v>10.0723</v>
      </c>
      <c r="H332" s="4">
        <f>CHOOSE( CONTROL!$C$33, 11.0512, 11.0497) * CHOOSE(CONTROL!$C$16, $D$10, 100%, $F$10)</f>
        <v>11.0512</v>
      </c>
      <c r="I332" s="8">
        <f>CHOOSE( CONTROL!$C$33, 9.9663, 9.9648) * CHOOSE(CONTROL!$C$16, $D$10, 100%, $F$10)</f>
        <v>9.9663000000000004</v>
      </c>
      <c r="J332" s="4">
        <f>CHOOSE( CONTROL!$C$33, 9.8457, 9.8442) * CHOOSE(CONTROL!$C$16, $D$10, 100%, $F$10)</f>
        <v>9.8457000000000008</v>
      </c>
      <c r="K332" s="4"/>
      <c r="L332" s="9">
        <v>30.7165</v>
      </c>
      <c r="M332" s="9">
        <v>12.063700000000001</v>
      </c>
      <c r="N332" s="9">
        <v>4.9444999999999997</v>
      </c>
      <c r="O332" s="9">
        <v>0.37409999999999999</v>
      </c>
      <c r="P332" s="9">
        <v>1.2927</v>
      </c>
      <c r="Q332" s="9">
        <v>30.3217</v>
      </c>
      <c r="R332" s="9"/>
      <c r="S332" s="11"/>
    </row>
    <row r="333" spans="1:19" ht="15" customHeight="1">
      <c r="A333" s="13">
        <v>51317</v>
      </c>
      <c r="B333" s="8">
        <f>CHOOSE( CONTROL!$C$33, 9.9895, 9.9879) * CHOOSE(CONTROL!$C$16, $D$10, 100%, $F$10)</f>
        <v>9.9894999999999996</v>
      </c>
      <c r="C333" s="8">
        <f>CHOOSE( CONTROL!$C$33, 9.9975, 9.9959) * CHOOSE(CONTROL!$C$16, $D$10, 100%, $F$10)</f>
        <v>9.9975000000000005</v>
      </c>
      <c r="D333" s="8">
        <f>CHOOSE( CONTROL!$C$33, 10.0199, 10.0183) * CHOOSE( CONTROL!$C$16, $D$10, 100%, $F$10)</f>
        <v>10.0199</v>
      </c>
      <c r="E333" s="12">
        <f>CHOOSE( CONTROL!$C$33, 10.0106, 10.009) * CHOOSE( CONTROL!$C$16, $D$10, 100%, $F$10)</f>
        <v>10.0106</v>
      </c>
      <c r="F333" s="4">
        <f>CHOOSE( CONTROL!$C$33, 10.7664, 10.7649) * CHOOSE(CONTROL!$C$16, $D$10, 100%, $F$10)</f>
        <v>10.766400000000001</v>
      </c>
      <c r="G333" s="8">
        <f>CHOOSE( CONTROL!$C$33, 9.9112, 9.9097) * CHOOSE( CONTROL!$C$16, $D$10, 100%, $F$10)</f>
        <v>9.9111999999999991</v>
      </c>
      <c r="H333" s="4">
        <f>CHOOSE( CONTROL!$C$33, 10.8901, 10.8885) * CHOOSE(CONTROL!$C$16, $D$10, 100%, $F$10)</f>
        <v>10.8901</v>
      </c>
      <c r="I333" s="8">
        <f>CHOOSE( CONTROL!$C$33, 9.8086, 9.807) * CHOOSE(CONTROL!$C$16, $D$10, 100%, $F$10)</f>
        <v>9.8086000000000002</v>
      </c>
      <c r="J333" s="4">
        <f>CHOOSE( CONTROL!$C$33, 9.6874, 9.6859) * CHOOSE(CONTROL!$C$16, $D$10, 100%, $F$10)</f>
        <v>9.6874000000000002</v>
      </c>
      <c r="K333" s="4"/>
      <c r="L333" s="9">
        <v>29.7257</v>
      </c>
      <c r="M333" s="9">
        <v>11.6745</v>
      </c>
      <c r="N333" s="9">
        <v>4.7850000000000001</v>
      </c>
      <c r="O333" s="9">
        <v>0.36199999999999999</v>
      </c>
      <c r="P333" s="9">
        <v>1.2509999999999999</v>
      </c>
      <c r="Q333" s="9">
        <v>29.343599999999999</v>
      </c>
      <c r="R333" s="9"/>
      <c r="S333" s="11"/>
    </row>
    <row r="334" spans="1:19" ht="15" customHeight="1">
      <c r="A334" s="13">
        <v>51348</v>
      </c>
      <c r="B334" s="8">
        <f>CHOOSE( CONTROL!$C$33, 10.4199, 10.4184) * CHOOSE(CONTROL!$C$16, $D$10, 100%, $F$10)</f>
        <v>10.4199</v>
      </c>
      <c r="C334" s="8">
        <f>CHOOSE( CONTROL!$C$33, 10.4279, 10.4264) * CHOOSE(CONTROL!$C$16, $D$10, 100%, $F$10)</f>
        <v>10.427899999999999</v>
      </c>
      <c r="D334" s="8">
        <f>CHOOSE( CONTROL!$C$33, 10.4506, 10.449) * CHOOSE( CONTROL!$C$16, $D$10, 100%, $F$10)</f>
        <v>10.4506</v>
      </c>
      <c r="E334" s="12">
        <f>CHOOSE( CONTROL!$C$33, 10.4412, 10.4396) * CHOOSE( CONTROL!$C$16, $D$10, 100%, $F$10)</f>
        <v>10.4412</v>
      </c>
      <c r="F334" s="4">
        <f>CHOOSE( CONTROL!$C$33, 11.1969, 11.1953) * CHOOSE(CONTROL!$C$16, $D$10, 100%, $F$10)</f>
        <v>11.196899999999999</v>
      </c>
      <c r="G334" s="8">
        <f>CHOOSE( CONTROL!$C$33, 10.3359, 10.3343) * CHOOSE( CONTROL!$C$16, $D$10, 100%, $F$10)</f>
        <v>10.335900000000001</v>
      </c>
      <c r="H334" s="4">
        <f>CHOOSE( CONTROL!$C$33, 11.3145, 11.3129) * CHOOSE(CONTROL!$C$16, $D$10, 100%, $F$10)</f>
        <v>11.314500000000001</v>
      </c>
      <c r="I334" s="8">
        <f>CHOOSE( CONTROL!$C$33, 10.2263, 10.2248) * CHOOSE(CONTROL!$C$16, $D$10, 100%, $F$10)</f>
        <v>10.2263</v>
      </c>
      <c r="J334" s="4">
        <f>CHOOSE( CONTROL!$C$33, 10.1042, 10.1027) * CHOOSE(CONTROL!$C$16, $D$10, 100%, $F$10)</f>
        <v>10.104200000000001</v>
      </c>
      <c r="K334" s="4"/>
      <c r="L334" s="9">
        <v>30.7165</v>
      </c>
      <c r="M334" s="9">
        <v>12.063700000000001</v>
      </c>
      <c r="N334" s="9">
        <v>4.9444999999999997</v>
      </c>
      <c r="O334" s="9">
        <v>0.37409999999999999</v>
      </c>
      <c r="P334" s="9">
        <v>1.2927</v>
      </c>
      <c r="Q334" s="9">
        <v>30.3217</v>
      </c>
      <c r="R334" s="9"/>
      <c r="S334" s="11"/>
    </row>
    <row r="335" spans="1:19" ht="15" customHeight="1">
      <c r="A335" s="13">
        <v>51379</v>
      </c>
      <c r="B335" s="8">
        <f>CHOOSE( CONTROL!$C$33, 9.6146, 9.613) * CHOOSE(CONTROL!$C$16, $D$10, 100%, $F$10)</f>
        <v>9.6145999999999994</v>
      </c>
      <c r="C335" s="8">
        <f>CHOOSE( CONTROL!$C$33, 9.6226, 9.621) * CHOOSE(CONTROL!$C$16, $D$10, 100%, $F$10)</f>
        <v>9.6226000000000003</v>
      </c>
      <c r="D335" s="8">
        <f>CHOOSE( CONTROL!$C$33, 9.6452, 9.6437) * CHOOSE( CONTROL!$C$16, $D$10, 100%, $F$10)</f>
        <v>9.6452000000000009</v>
      </c>
      <c r="E335" s="12">
        <f>CHOOSE( CONTROL!$C$33, 9.6358, 9.6343) * CHOOSE( CONTROL!$C$16, $D$10, 100%, $F$10)</f>
        <v>9.6357999999999997</v>
      </c>
      <c r="F335" s="4">
        <f>CHOOSE( CONTROL!$C$33, 10.3915, 10.3899) * CHOOSE(CONTROL!$C$16, $D$10, 100%, $F$10)</f>
        <v>10.391500000000001</v>
      </c>
      <c r="G335" s="8">
        <f>CHOOSE( CONTROL!$C$33, 9.5417, 9.5402) * CHOOSE( CONTROL!$C$16, $D$10, 100%, $F$10)</f>
        <v>9.5417000000000005</v>
      </c>
      <c r="H335" s="4">
        <f>CHOOSE( CONTROL!$C$33, 10.5203, 10.5188) * CHOOSE(CONTROL!$C$16, $D$10, 100%, $F$10)</f>
        <v>10.520300000000001</v>
      </c>
      <c r="I335" s="8">
        <f>CHOOSE( CONTROL!$C$33, 9.4463, 9.4447) * CHOOSE(CONTROL!$C$16, $D$10, 100%, $F$10)</f>
        <v>9.4463000000000008</v>
      </c>
      <c r="J335" s="4">
        <f>CHOOSE( CONTROL!$C$33, 9.3244, 9.3229) * CHOOSE(CONTROL!$C$16, $D$10, 100%, $F$10)</f>
        <v>9.3244000000000007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1.2927</v>
      </c>
      <c r="Q335" s="9">
        <v>30.3217</v>
      </c>
      <c r="R335" s="9"/>
      <c r="S335" s="11"/>
    </row>
    <row r="336" spans="1:19" ht="15" customHeight="1">
      <c r="A336" s="13">
        <v>51409</v>
      </c>
      <c r="B336" s="8">
        <f>CHOOSE( CONTROL!$C$33, 9.4129, 9.4113) * CHOOSE(CONTROL!$C$16, $D$10, 100%, $F$10)</f>
        <v>9.4129000000000005</v>
      </c>
      <c r="C336" s="8">
        <f>CHOOSE( CONTROL!$C$33, 9.4209, 9.4193) * CHOOSE(CONTROL!$C$16, $D$10, 100%, $F$10)</f>
        <v>9.4208999999999996</v>
      </c>
      <c r="D336" s="8">
        <f>CHOOSE( CONTROL!$C$33, 9.4434, 9.4419) * CHOOSE( CONTROL!$C$16, $D$10, 100%, $F$10)</f>
        <v>9.4434000000000005</v>
      </c>
      <c r="E336" s="12">
        <f>CHOOSE( CONTROL!$C$33, 9.434, 9.4325) * CHOOSE( CONTROL!$C$16, $D$10, 100%, $F$10)</f>
        <v>9.4339999999999993</v>
      </c>
      <c r="F336" s="4">
        <f>CHOOSE( CONTROL!$C$33, 10.1898, 10.1882) * CHOOSE(CONTROL!$C$16, $D$10, 100%, $F$10)</f>
        <v>10.1898</v>
      </c>
      <c r="G336" s="8">
        <f>CHOOSE( CONTROL!$C$33, 9.3428, 9.3412) * CHOOSE( CONTROL!$C$16, $D$10, 100%, $F$10)</f>
        <v>9.3428000000000004</v>
      </c>
      <c r="H336" s="4">
        <f>CHOOSE( CONTROL!$C$33, 10.3215, 10.3199) * CHOOSE(CONTROL!$C$16, $D$10, 100%, $F$10)</f>
        <v>10.3215</v>
      </c>
      <c r="I336" s="8">
        <f>CHOOSE( CONTROL!$C$33, 9.2504, 9.2489) * CHOOSE(CONTROL!$C$16, $D$10, 100%, $F$10)</f>
        <v>9.2504000000000008</v>
      </c>
      <c r="J336" s="4">
        <f>CHOOSE( CONTROL!$C$33, 9.1291, 9.1276) * CHOOSE(CONTROL!$C$16, $D$10, 100%, $F$10)</f>
        <v>9.1290999999999993</v>
      </c>
      <c r="K336" s="4"/>
      <c r="L336" s="9">
        <v>29.7257</v>
      </c>
      <c r="M336" s="9">
        <v>11.6745</v>
      </c>
      <c r="N336" s="9">
        <v>4.7850000000000001</v>
      </c>
      <c r="O336" s="9">
        <v>0.36199999999999999</v>
      </c>
      <c r="P336" s="9">
        <v>1.2509999999999999</v>
      </c>
      <c r="Q336" s="9">
        <v>29.343599999999999</v>
      </c>
      <c r="R336" s="9"/>
      <c r="S336" s="11"/>
    </row>
    <row r="337" spans="1:19" ht="15" customHeight="1">
      <c r="A337" s="13">
        <v>51440</v>
      </c>
      <c r="B337" s="8">
        <f>CHOOSE( CONTROL!$C$33, 9.8295, 9.8283) * CHOOSE(CONTROL!$C$16, $D$10, 100%, $F$10)</f>
        <v>9.8294999999999995</v>
      </c>
      <c r="C337" s="8">
        <f>CHOOSE( CONTROL!$C$33, 9.8348, 9.8337) * CHOOSE(CONTROL!$C$16, $D$10, 100%, $F$10)</f>
        <v>9.8347999999999995</v>
      </c>
      <c r="D337" s="8">
        <f>CHOOSE( CONTROL!$C$33, 9.8636, 9.8625) * CHOOSE( CONTROL!$C$16, $D$10, 100%, $F$10)</f>
        <v>9.8635999999999999</v>
      </c>
      <c r="E337" s="12">
        <f>CHOOSE( CONTROL!$C$33, 9.8535, 9.8524) * CHOOSE( CONTROL!$C$16, $D$10, 100%, $F$10)</f>
        <v>9.8535000000000004</v>
      </c>
      <c r="F337" s="4">
        <f>CHOOSE( CONTROL!$C$33, 10.6081, 10.607) * CHOOSE(CONTROL!$C$16, $D$10, 100%, $F$10)</f>
        <v>10.6081</v>
      </c>
      <c r="G337" s="8">
        <f>CHOOSE( CONTROL!$C$33, 9.7554, 9.7543) * CHOOSE( CONTROL!$C$16, $D$10, 100%, $F$10)</f>
        <v>9.7553999999999998</v>
      </c>
      <c r="H337" s="4">
        <f>CHOOSE( CONTROL!$C$33, 10.734, 10.7328) * CHOOSE(CONTROL!$C$16, $D$10, 100%, $F$10)</f>
        <v>10.734</v>
      </c>
      <c r="I337" s="8">
        <f>CHOOSE( CONTROL!$C$33, 9.6563, 9.6552) * CHOOSE(CONTROL!$C$16, $D$10, 100%, $F$10)</f>
        <v>9.6562999999999999</v>
      </c>
      <c r="J337" s="4">
        <f>CHOOSE( CONTROL!$C$33, 9.5341, 9.533) * CHOOSE(CONTROL!$C$16, $D$10, 100%, $F$10)</f>
        <v>9.5341000000000005</v>
      </c>
      <c r="K337" s="4"/>
      <c r="L337" s="9">
        <v>31.095300000000002</v>
      </c>
      <c r="M337" s="9">
        <v>12.063700000000001</v>
      </c>
      <c r="N337" s="9">
        <v>4.9444999999999997</v>
      </c>
      <c r="O337" s="9">
        <v>0.37409999999999999</v>
      </c>
      <c r="P337" s="9">
        <v>1.2927</v>
      </c>
      <c r="Q337" s="9">
        <v>30.3217</v>
      </c>
      <c r="R337" s="9"/>
      <c r="S337" s="11"/>
    </row>
    <row r="338" spans="1:19" ht="15" customHeight="1">
      <c r="A338" s="13">
        <v>51470</v>
      </c>
      <c r="B338" s="8">
        <f>CHOOSE( CONTROL!$C$33, 10.602, 10.6009) * CHOOSE(CONTROL!$C$16, $D$10, 100%, $F$10)</f>
        <v>10.602</v>
      </c>
      <c r="C338" s="8">
        <f>CHOOSE( CONTROL!$C$33, 10.6071, 10.606) * CHOOSE(CONTROL!$C$16, $D$10, 100%, $F$10)</f>
        <v>10.607100000000001</v>
      </c>
      <c r="D338" s="8">
        <f>CHOOSE( CONTROL!$C$33, 10.5868, 10.5856) * CHOOSE( CONTROL!$C$16, $D$10, 100%, $F$10)</f>
        <v>10.5868</v>
      </c>
      <c r="E338" s="12">
        <f>CHOOSE( CONTROL!$C$33, 10.5937, 10.5925) * CHOOSE( CONTROL!$C$16, $D$10, 100%, $F$10)</f>
        <v>10.5937</v>
      </c>
      <c r="F338" s="4">
        <f>CHOOSE( CONTROL!$C$33, 11.2649, 11.2637) * CHOOSE(CONTROL!$C$16, $D$10, 100%, $F$10)</f>
        <v>11.264900000000001</v>
      </c>
      <c r="G338" s="8">
        <f>CHOOSE( CONTROL!$C$33, 10.49, 10.4889) * CHOOSE( CONTROL!$C$16, $D$10, 100%, $F$10)</f>
        <v>10.49</v>
      </c>
      <c r="H338" s="4">
        <f>CHOOSE( CONTROL!$C$33, 11.3815, 11.3804) * CHOOSE(CONTROL!$C$16, $D$10, 100%, $F$10)</f>
        <v>11.381500000000001</v>
      </c>
      <c r="I338" s="8">
        <f>CHOOSE( CONTROL!$C$33, 10.4529, 10.4518) * CHOOSE(CONTROL!$C$16, $D$10, 100%, $F$10)</f>
        <v>10.4529</v>
      </c>
      <c r="J338" s="4">
        <f>CHOOSE( CONTROL!$C$33, 10.2826, 10.2815) * CHOOSE(CONTROL!$C$16, $D$10, 100%, $F$10)</f>
        <v>10.2826</v>
      </c>
      <c r="K338" s="4"/>
      <c r="L338" s="9">
        <v>28.360600000000002</v>
      </c>
      <c r="M338" s="9">
        <v>11.6745</v>
      </c>
      <c r="N338" s="9">
        <v>4.7850000000000001</v>
      </c>
      <c r="O338" s="9">
        <v>0.36199999999999999</v>
      </c>
      <c r="P338" s="9">
        <v>1.2509999999999999</v>
      </c>
      <c r="Q338" s="9">
        <v>29.343599999999999</v>
      </c>
      <c r="R338" s="9"/>
      <c r="S338" s="11"/>
    </row>
    <row r="339" spans="1:19" ht="15" customHeight="1">
      <c r="A339" s="13">
        <v>51501</v>
      </c>
      <c r="B339" s="8">
        <f>CHOOSE( CONTROL!$C$33, 10.5827, 10.5816) * CHOOSE(CONTROL!$C$16, $D$10, 100%, $F$10)</f>
        <v>10.582700000000001</v>
      </c>
      <c r="C339" s="8">
        <f>CHOOSE( CONTROL!$C$33, 10.5878, 10.5867) * CHOOSE(CONTROL!$C$16, $D$10, 100%, $F$10)</f>
        <v>10.5878</v>
      </c>
      <c r="D339" s="8">
        <f>CHOOSE( CONTROL!$C$33, 10.5689, 10.5678) * CHOOSE( CONTROL!$C$16, $D$10, 100%, $F$10)</f>
        <v>10.568899999999999</v>
      </c>
      <c r="E339" s="12">
        <f>CHOOSE( CONTROL!$C$33, 10.5753, 10.5742) * CHOOSE( CONTROL!$C$16, $D$10, 100%, $F$10)</f>
        <v>10.5753</v>
      </c>
      <c r="F339" s="4">
        <f>CHOOSE( CONTROL!$C$33, 11.2455, 11.2444) * CHOOSE(CONTROL!$C$16, $D$10, 100%, $F$10)</f>
        <v>11.2455</v>
      </c>
      <c r="G339" s="8">
        <f>CHOOSE( CONTROL!$C$33, 10.472, 10.4709) * CHOOSE( CONTROL!$C$16, $D$10, 100%, $F$10)</f>
        <v>10.472</v>
      </c>
      <c r="H339" s="4">
        <f>CHOOSE( CONTROL!$C$33, 11.3625, 11.3614) * CHOOSE(CONTROL!$C$16, $D$10, 100%, $F$10)</f>
        <v>11.362500000000001</v>
      </c>
      <c r="I339" s="8">
        <f>CHOOSE( CONTROL!$C$33, 10.4387, 10.4376) * CHOOSE(CONTROL!$C$16, $D$10, 100%, $F$10)</f>
        <v>10.438700000000001</v>
      </c>
      <c r="J339" s="4">
        <f>CHOOSE( CONTROL!$C$33, 10.2639, 10.2628) * CHOOSE(CONTROL!$C$16, $D$10, 100%, $F$10)</f>
        <v>10.2639</v>
      </c>
      <c r="K339" s="4"/>
      <c r="L339" s="9">
        <v>29.306000000000001</v>
      </c>
      <c r="M339" s="9">
        <v>12.063700000000001</v>
      </c>
      <c r="N339" s="9">
        <v>4.9444999999999997</v>
      </c>
      <c r="O339" s="9">
        <v>0.37409999999999999</v>
      </c>
      <c r="P339" s="9">
        <v>1.2927</v>
      </c>
      <c r="Q339" s="9">
        <v>30.3217</v>
      </c>
      <c r="R339" s="9"/>
      <c r="S339" s="11"/>
    </row>
    <row r="340" spans="1:19" ht="15" customHeight="1">
      <c r="A340" s="13">
        <v>51532</v>
      </c>
      <c r="B340" s="8">
        <f>CHOOSE( CONTROL!$C$33, 10.8953, 10.8942) * CHOOSE(CONTROL!$C$16, $D$10, 100%, $F$10)</f>
        <v>10.895300000000001</v>
      </c>
      <c r="C340" s="8">
        <f>CHOOSE( CONTROL!$C$33, 10.9004, 10.8993) * CHOOSE(CONTROL!$C$16, $D$10, 100%, $F$10)</f>
        <v>10.900399999999999</v>
      </c>
      <c r="D340" s="8">
        <f>CHOOSE( CONTROL!$C$33, 10.8928, 10.8916) * CHOOSE( CONTROL!$C$16, $D$10, 100%, $F$10)</f>
        <v>10.892799999999999</v>
      </c>
      <c r="E340" s="12">
        <f>CHOOSE( CONTROL!$C$33, 10.895, 10.8939) * CHOOSE( CONTROL!$C$16, $D$10, 100%, $F$10)</f>
        <v>10.895</v>
      </c>
      <c r="F340" s="4">
        <f>CHOOSE( CONTROL!$C$33, 11.5582, 11.5571) * CHOOSE(CONTROL!$C$16, $D$10, 100%, $F$10)</f>
        <v>11.558199999999999</v>
      </c>
      <c r="G340" s="8">
        <f>CHOOSE( CONTROL!$C$33, 10.7862, 10.785) * CHOOSE( CONTROL!$C$16, $D$10, 100%, $F$10)</f>
        <v>10.786199999999999</v>
      </c>
      <c r="H340" s="4">
        <f>CHOOSE( CONTROL!$C$33, 11.6708, 11.6697) * CHOOSE(CONTROL!$C$16, $D$10, 100%, $F$10)</f>
        <v>11.6708</v>
      </c>
      <c r="I340" s="8">
        <f>CHOOSE( CONTROL!$C$33, 10.7328, 10.7317) * CHOOSE(CONTROL!$C$16, $D$10, 100%, $F$10)</f>
        <v>10.732799999999999</v>
      </c>
      <c r="J340" s="4">
        <f>CHOOSE( CONTROL!$C$33, 10.5666, 10.5655) * CHOOSE(CONTROL!$C$16, $D$10, 100%, $F$10)</f>
        <v>10.566599999999999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30.258500000000002</v>
      </c>
      <c r="R340" s="9"/>
      <c r="S340" s="11"/>
    </row>
    <row r="341" spans="1:19" ht="15" customHeight="1">
      <c r="A341" s="13">
        <v>51560</v>
      </c>
      <c r="B341" s="8">
        <f>CHOOSE( CONTROL!$C$33, 10.1899, 10.1888) * CHOOSE(CONTROL!$C$16, $D$10, 100%, $F$10)</f>
        <v>10.1899</v>
      </c>
      <c r="C341" s="8">
        <f>CHOOSE( CONTROL!$C$33, 10.195, 10.1939) * CHOOSE(CONTROL!$C$16, $D$10, 100%, $F$10)</f>
        <v>10.195</v>
      </c>
      <c r="D341" s="8">
        <f>CHOOSE( CONTROL!$C$33, 10.1872, 10.1861) * CHOOSE( CONTROL!$C$16, $D$10, 100%, $F$10)</f>
        <v>10.187200000000001</v>
      </c>
      <c r="E341" s="12">
        <f>CHOOSE( CONTROL!$C$33, 10.1895, 10.1884) * CHOOSE( CONTROL!$C$16, $D$10, 100%, $F$10)</f>
        <v>10.189500000000001</v>
      </c>
      <c r="F341" s="4">
        <f>CHOOSE( CONTROL!$C$33, 10.8528, 10.8516) * CHOOSE(CONTROL!$C$16, $D$10, 100%, $F$10)</f>
        <v>10.8528</v>
      </c>
      <c r="G341" s="8">
        <f>CHOOSE( CONTROL!$C$33, 10.0905, 10.0894) * CHOOSE( CONTROL!$C$16, $D$10, 100%, $F$10)</f>
        <v>10.0905</v>
      </c>
      <c r="H341" s="4">
        <f>CHOOSE( CONTROL!$C$33, 10.9752, 10.9741) * CHOOSE(CONTROL!$C$16, $D$10, 100%, $F$10)</f>
        <v>10.975199999999999</v>
      </c>
      <c r="I341" s="8">
        <f>CHOOSE( CONTROL!$C$33, 10.0488, 10.0478) * CHOOSE(CONTROL!$C$16, $D$10, 100%, $F$10)</f>
        <v>10.0488</v>
      </c>
      <c r="J341" s="4">
        <f>CHOOSE( CONTROL!$C$33, 9.8835, 9.8825) * CHOOSE(CONTROL!$C$16, $D$10, 100%, $F$10)</f>
        <v>9.8834999999999997</v>
      </c>
      <c r="K341" s="4"/>
      <c r="L341" s="9">
        <v>26.469899999999999</v>
      </c>
      <c r="M341" s="9">
        <v>10.8962</v>
      </c>
      <c r="N341" s="9">
        <v>4.4660000000000002</v>
      </c>
      <c r="O341" s="9">
        <v>0.33789999999999998</v>
      </c>
      <c r="P341" s="9">
        <v>1.1676</v>
      </c>
      <c r="Q341" s="9">
        <v>27.330200000000001</v>
      </c>
      <c r="R341" s="9"/>
      <c r="S341" s="11"/>
    </row>
    <row r="342" spans="1:19" ht="15" customHeight="1">
      <c r="A342" s="13">
        <v>51591</v>
      </c>
      <c r="B342" s="8">
        <f>CHOOSE( CONTROL!$C$33, 9.9726, 9.9715) * CHOOSE(CONTROL!$C$16, $D$10, 100%, $F$10)</f>
        <v>9.9725999999999999</v>
      </c>
      <c r="C342" s="8">
        <f>CHOOSE( CONTROL!$C$33, 9.9777, 9.9766) * CHOOSE(CONTROL!$C$16, $D$10, 100%, $F$10)</f>
        <v>9.9777000000000005</v>
      </c>
      <c r="D342" s="8">
        <f>CHOOSE( CONTROL!$C$33, 9.9692, 9.9681) * CHOOSE( CONTROL!$C$16, $D$10, 100%, $F$10)</f>
        <v>9.9692000000000007</v>
      </c>
      <c r="E342" s="12">
        <f>CHOOSE( CONTROL!$C$33, 9.9718, 9.9707) * CHOOSE( CONTROL!$C$16, $D$10, 100%, $F$10)</f>
        <v>9.9718</v>
      </c>
      <c r="F342" s="4">
        <f>CHOOSE( CONTROL!$C$33, 10.6355, 10.6344) * CHOOSE(CONTROL!$C$16, $D$10, 100%, $F$10)</f>
        <v>10.6355</v>
      </c>
      <c r="G342" s="8">
        <f>CHOOSE( CONTROL!$C$33, 9.8757, 9.8746) * CHOOSE( CONTROL!$C$16, $D$10, 100%, $F$10)</f>
        <v>9.8757000000000001</v>
      </c>
      <c r="H342" s="4">
        <f>CHOOSE( CONTROL!$C$33, 10.761, 10.7599) * CHOOSE(CONTROL!$C$16, $D$10, 100%, $F$10)</f>
        <v>10.760999999999999</v>
      </c>
      <c r="I342" s="8">
        <f>CHOOSE( CONTROL!$C$33, 9.8361, 9.835) * CHOOSE(CONTROL!$C$16, $D$10, 100%, $F$10)</f>
        <v>9.8361000000000001</v>
      </c>
      <c r="J342" s="4">
        <f>CHOOSE( CONTROL!$C$33, 9.6732, 9.6721) * CHOOSE(CONTROL!$C$16, $D$10, 100%, $F$10)</f>
        <v>9.6731999999999996</v>
      </c>
      <c r="K342" s="4"/>
      <c r="L342" s="9">
        <v>29.306000000000001</v>
      </c>
      <c r="M342" s="9">
        <v>12.063700000000001</v>
      </c>
      <c r="N342" s="9">
        <v>4.9444999999999997</v>
      </c>
      <c r="O342" s="9">
        <v>0.37409999999999999</v>
      </c>
      <c r="P342" s="9">
        <v>1.2927</v>
      </c>
      <c r="Q342" s="9">
        <v>30.258500000000002</v>
      </c>
      <c r="R342" s="9"/>
      <c r="S342" s="11"/>
    </row>
    <row r="343" spans="1:19" ht="15" customHeight="1">
      <c r="A343" s="13">
        <v>51621</v>
      </c>
      <c r="B343" s="8">
        <f>CHOOSE( CONTROL!$C$33, 10.1252, 10.1241) * CHOOSE(CONTROL!$C$16, $D$10, 100%, $F$10)</f>
        <v>10.1252</v>
      </c>
      <c r="C343" s="8">
        <f>CHOOSE( CONTROL!$C$33, 10.1298, 10.1286) * CHOOSE(CONTROL!$C$16, $D$10, 100%, $F$10)</f>
        <v>10.129799999999999</v>
      </c>
      <c r="D343" s="8">
        <f>CHOOSE( CONTROL!$C$33, 10.1586, 10.1575) * CHOOSE( CONTROL!$C$16, $D$10, 100%, $F$10)</f>
        <v>10.1586</v>
      </c>
      <c r="E343" s="12">
        <f>CHOOSE( CONTROL!$C$33, 10.1486, 10.1474) * CHOOSE( CONTROL!$C$16, $D$10, 100%, $F$10)</f>
        <v>10.1486</v>
      </c>
      <c r="F343" s="4">
        <f>CHOOSE( CONTROL!$C$33, 10.9035, 10.9024) * CHOOSE(CONTROL!$C$16, $D$10, 100%, $F$10)</f>
        <v>10.903499999999999</v>
      </c>
      <c r="G343" s="8">
        <f>CHOOSE( CONTROL!$C$33, 10.0463, 10.0452) * CHOOSE( CONTROL!$C$16, $D$10, 100%, $F$10)</f>
        <v>10.0463</v>
      </c>
      <c r="H343" s="4">
        <f>CHOOSE( CONTROL!$C$33, 11.0252, 11.0241) * CHOOSE(CONTROL!$C$16, $D$10, 100%, $F$10)</f>
        <v>11.0252</v>
      </c>
      <c r="I343" s="8">
        <f>CHOOSE( CONTROL!$C$33, 9.9412, 9.9401) * CHOOSE(CONTROL!$C$16, $D$10, 100%, $F$10)</f>
        <v>9.9412000000000003</v>
      </c>
      <c r="J343" s="4">
        <f>CHOOSE( CONTROL!$C$33, 9.8202, 9.8191) * CHOOSE(CONTROL!$C$16, $D$10, 100%, $F$10)</f>
        <v>9.8201999999999998</v>
      </c>
      <c r="K343" s="4"/>
      <c r="L343" s="9">
        <v>30.092199999999998</v>
      </c>
      <c r="M343" s="9">
        <v>11.6745</v>
      </c>
      <c r="N343" s="9">
        <v>4.7850000000000001</v>
      </c>
      <c r="O343" s="9">
        <v>0.36199999999999999</v>
      </c>
      <c r="P343" s="9">
        <v>1.2509999999999999</v>
      </c>
      <c r="Q343" s="9">
        <v>29.282399999999999</v>
      </c>
      <c r="R343" s="9"/>
      <c r="S343" s="11"/>
    </row>
    <row r="344" spans="1:19" ht="15" customHeight="1">
      <c r="A344" s="13">
        <v>51652</v>
      </c>
      <c r="B344" s="8">
        <f>CHOOSE( CONTROL!$C$33, 10.3972, 10.3957) * CHOOSE(CONTROL!$C$16, $D$10, 100%, $F$10)</f>
        <v>10.3972</v>
      </c>
      <c r="C344" s="8">
        <f>CHOOSE( CONTROL!$C$33, 10.4052, 10.4037) * CHOOSE(CONTROL!$C$16, $D$10, 100%, $F$10)</f>
        <v>10.405200000000001</v>
      </c>
      <c r="D344" s="8">
        <f>CHOOSE( CONTROL!$C$33, 10.4275, 10.4259) * CHOOSE( CONTROL!$C$16, $D$10, 100%, $F$10)</f>
        <v>10.4275</v>
      </c>
      <c r="E344" s="12">
        <f>CHOOSE( CONTROL!$C$33, 10.4182, 10.4166) * CHOOSE( CONTROL!$C$16, $D$10, 100%, $F$10)</f>
        <v>10.418200000000001</v>
      </c>
      <c r="F344" s="4">
        <f>CHOOSE( CONTROL!$C$33, 11.1742, 11.1726) * CHOOSE(CONTROL!$C$16, $D$10, 100%, $F$10)</f>
        <v>11.174200000000001</v>
      </c>
      <c r="G344" s="8">
        <f>CHOOSE( CONTROL!$C$33, 10.3132, 10.3116) * CHOOSE( CONTROL!$C$16, $D$10, 100%, $F$10)</f>
        <v>10.3132</v>
      </c>
      <c r="H344" s="4">
        <f>CHOOSE( CONTROL!$C$33, 11.2921, 11.2906) * CHOOSE(CONTROL!$C$16, $D$10, 100%, $F$10)</f>
        <v>11.2921</v>
      </c>
      <c r="I344" s="8">
        <f>CHOOSE( CONTROL!$C$33, 10.203, 10.2015) * CHOOSE(CONTROL!$C$16, $D$10, 100%, $F$10)</f>
        <v>10.202999999999999</v>
      </c>
      <c r="J344" s="4">
        <f>CHOOSE( CONTROL!$C$33, 10.0822, 10.0807) * CHOOSE(CONTROL!$C$16, $D$10, 100%, $F$10)</f>
        <v>10.0822</v>
      </c>
      <c r="K344" s="4"/>
      <c r="L344" s="9">
        <v>30.7165</v>
      </c>
      <c r="M344" s="9">
        <v>12.063700000000001</v>
      </c>
      <c r="N344" s="9">
        <v>4.9444999999999997</v>
      </c>
      <c r="O344" s="9">
        <v>0.37409999999999999</v>
      </c>
      <c r="P344" s="9">
        <v>1.2927</v>
      </c>
      <c r="Q344" s="9">
        <v>30.258500000000002</v>
      </c>
      <c r="R344" s="9"/>
      <c r="S344" s="11"/>
    </row>
    <row r="345" spans="1:19" ht="15" customHeight="1">
      <c r="A345" s="13">
        <v>51682</v>
      </c>
      <c r="B345" s="8">
        <f>CHOOSE( CONTROL!$C$33, 10.2299, 10.2283) * CHOOSE(CONTROL!$C$16, $D$10, 100%, $F$10)</f>
        <v>10.229900000000001</v>
      </c>
      <c r="C345" s="8">
        <f>CHOOSE( CONTROL!$C$33, 10.2379, 10.2363) * CHOOSE(CONTROL!$C$16, $D$10, 100%, $F$10)</f>
        <v>10.2379</v>
      </c>
      <c r="D345" s="8">
        <f>CHOOSE( CONTROL!$C$33, 10.2603, 10.2587) * CHOOSE( CONTROL!$C$16, $D$10, 100%, $F$10)</f>
        <v>10.260300000000001</v>
      </c>
      <c r="E345" s="12">
        <f>CHOOSE( CONTROL!$C$33, 10.251, 10.2494) * CHOOSE( CONTROL!$C$16, $D$10, 100%, $F$10)</f>
        <v>10.250999999999999</v>
      </c>
      <c r="F345" s="4">
        <f>CHOOSE( CONTROL!$C$33, 11.0068, 11.0052) * CHOOSE(CONTROL!$C$16, $D$10, 100%, $F$10)</f>
        <v>11.0068</v>
      </c>
      <c r="G345" s="8">
        <f>CHOOSE( CONTROL!$C$33, 10.1482, 10.1467) * CHOOSE( CONTROL!$C$16, $D$10, 100%, $F$10)</f>
        <v>10.148199999999999</v>
      </c>
      <c r="H345" s="4">
        <f>CHOOSE( CONTROL!$C$33, 11.1271, 11.1255) * CHOOSE(CONTROL!$C$16, $D$10, 100%, $F$10)</f>
        <v>11.1271</v>
      </c>
      <c r="I345" s="8">
        <f>CHOOSE( CONTROL!$C$33, 10.0414, 10.0399) * CHOOSE(CONTROL!$C$16, $D$10, 100%, $F$10)</f>
        <v>10.041399999999999</v>
      </c>
      <c r="J345" s="4">
        <f>CHOOSE( CONTROL!$C$33, 9.9202, 9.9186) * CHOOSE(CONTROL!$C$16, $D$10, 100%, $F$10)</f>
        <v>9.9201999999999995</v>
      </c>
      <c r="K345" s="4"/>
      <c r="L345" s="9">
        <v>29.7257</v>
      </c>
      <c r="M345" s="9">
        <v>11.6745</v>
      </c>
      <c r="N345" s="9">
        <v>4.7850000000000001</v>
      </c>
      <c r="O345" s="9">
        <v>0.36199999999999999</v>
      </c>
      <c r="P345" s="9">
        <v>1.2509999999999999</v>
      </c>
      <c r="Q345" s="9">
        <v>29.282399999999999</v>
      </c>
      <c r="R345" s="9"/>
      <c r="S345" s="11"/>
    </row>
    <row r="346" spans="1:19" ht="15" customHeight="1">
      <c r="A346" s="13">
        <v>51713</v>
      </c>
      <c r="B346" s="8">
        <f>CHOOSE( CONTROL!$C$33, 10.6706, 10.6691) * CHOOSE(CONTROL!$C$16, $D$10, 100%, $F$10)</f>
        <v>10.6706</v>
      </c>
      <c r="C346" s="8">
        <f>CHOOSE( CONTROL!$C$33, 10.6786, 10.6771) * CHOOSE(CONTROL!$C$16, $D$10, 100%, $F$10)</f>
        <v>10.678599999999999</v>
      </c>
      <c r="D346" s="8">
        <f>CHOOSE( CONTROL!$C$33, 10.7013, 10.6997) * CHOOSE( CONTROL!$C$16, $D$10, 100%, $F$10)</f>
        <v>10.7013</v>
      </c>
      <c r="E346" s="12">
        <f>CHOOSE( CONTROL!$C$33, 10.6919, 10.6903) * CHOOSE( CONTROL!$C$16, $D$10, 100%, $F$10)</f>
        <v>10.6919</v>
      </c>
      <c r="F346" s="4">
        <f>CHOOSE( CONTROL!$C$33, 11.4476, 11.446) * CHOOSE(CONTROL!$C$16, $D$10, 100%, $F$10)</f>
        <v>11.4476</v>
      </c>
      <c r="G346" s="8">
        <f>CHOOSE( CONTROL!$C$33, 10.583, 10.5815) * CHOOSE( CONTROL!$C$16, $D$10, 100%, $F$10)</f>
        <v>10.583</v>
      </c>
      <c r="H346" s="4">
        <f>CHOOSE( CONTROL!$C$33, 11.5617, 11.5601) * CHOOSE(CONTROL!$C$16, $D$10, 100%, $F$10)</f>
        <v>11.5617</v>
      </c>
      <c r="I346" s="8">
        <f>CHOOSE( CONTROL!$C$33, 10.4692, 10.4677) * CHOOSE(CONTROL!$C$16, $D$10, 100%, $F$10)</f>
        <v>10.469200000000001</v>
      </c>
      <c r="J346" s="4">
        <f>CHOOSE( CONTROL!$C$33, 10.347, 10.3454) * CHOOSE(CONTROL!$C$16, $D$10, 100%, $F$10)</f>
        <v>10.347</v>
      </c>
      <c r="K346" s="4"/>
      <c r="L346" s="9">
        <v>30.7165</v>
      </c>
      <c r="M346" s="9">
        <v>12.063700000000001</v>
      </c>
      <c r="N346" s="9">
        <v>4.9444999999999997</v>
      </c>
      <c r="O346" s="9">
        <v>0.37409999999999999</v>
      </c>
      <c r="P346" s="9">
        <v>1.2927</v>
      </c>
      <c r="Q346" s="9">
        <v>30.258500000000002</v>
      </c>
      <c r="R346" s="9"/>
      <c r="S346" s="11"/>
    </row>
    <row r="347" spans="1:19" ht="15" customHeight="1">
      <c r="A347" s="13">
        <v>51744</v>
      </c>
      <c r="B347" s="8">
        <f>CHOOSE( CONTROL!$C$33, 9.8459, 9.8443) * CHOOSE(CONTROL!$C$16, $D$10, 100%, $F$10)</f>
        <v>9.8459000000000003</v>
      </c>
      <c r="C347" s="8">
        <f>CHOOSE( CONTROL!$C$33, 9.8539, 9.8523) * CHOOSE(CONTROL!$C$16, $D$10, 100%, $F$10)</f>
        <v>9.8538999999999994</v>
      </c>
      <c r="D347" s="8">
        <f>CHOOSE( CONTROL!$C$33, 9.8766, 9.875) * CHOOSE( CONTROL!$C$16, $D$10, 100%, $F$10)</f>
        <v>9.8765999999999998</v>
      </c>
      <c r="E347" s="12">
        <f>CHOOSE( CONTROL!$C$33, 9.8672, 9.8656) * CHOOSE( CONTROL!$C$16, $D$10, 100%, $F$10)</f>
        <v>9.8672000000000004</v>
      </c>
      <c r="F347" s="4">
        <f>CHOOSE( CONTROL!$C$33, 10.6228, 10.6212) * CHOOSE(CONTROL!$C$16, $D$10, 100%, $F$10)</f>
        <v>10.6228</v>
      </c>
      <c r="G347" s="8">
        <f>CHOOSE( CONTROL!$C$33, 9.7699, 9.7683) * CHOOSE( CONTROL!$C$16, $D$10, 100%, $F$10)</f>
        <v>9.7698999999999998</v>
      </c>
      <c r="H347" s="4">
        <f>CHOOSE( CONTROL!$C$33, 10.7485, 10.7469) * CHOOSE(CONTROL!$C$16, $D$10, 100%, $F$10)</f>
        <v>10.7485</v>
      </c>
      <c r="I347" s="8">
        <f>CHOOSE( CONTROL!$C$33, 9.6704, 9.6689) * CHOOSE(CONTROL!$C$16, $D$10, 100%, $F$10)</f>
        <v>9.6704000000000008</v>
      </c>
      <c r="J347" s="4">
        <f>CHOOSE( CONTROL!$C$33, 9.5484, 9.5469) * CHOOSE(CONTROL!$C$16, $D$10, 100%, $F$10)</f>
        <v>9.5484000000000009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1.2927</v>
      </c>
      <c r="Q347" s="9">
        <v>30.258500000000002</v>
      </c>
      <c r="R347" s="9"/>
      <c r="S347" s="11"/>
    </row>
    <row r="348" spans="1:19" ht="15" customHeight="1">
      <c r="A348" s="13">
        <v>51774</v>
      </c>
      <c r="B348" s="8">
        <f>CHOOSE( CONTROL!$C$33, 9.6394, 9.6378) * CHOOSE(CONTROL!$C$16, $D$10, 100%, $F$10)</f>
        <v>9.6394000000000002</v>
      </c>
      <c r="C348" s="8">
        <f>CHOOSE( CONTROL!$C$33, 9.6474, 9.6458) * CHOOSE(CONTROL!$C$16, $D$10, 100%, $F$10)</f>
        <v>9.6473999999999993</v>
      </c>
      <c r="D348" s="8">
        <f>CHOOSE( CONTROL!$C$33, 9.6699, 9.6683) * CHOOSE( CONTROL!$C$16, $D$10, 100%, $F$10)</f>
        <v>9.6699000000000002</v>
      </c>
      <c r="E348" s="12">
        <f>CHOOSE( CONTROL!$C$33, 9.6605, 9.6589) * CHOOSE( CONTROL!$C$16, $D$10, 100%, $F$10)</f>
        <v>9.6605000000000008</v>
      </c>
      <c r="F348" s="4">
        <f>CHOOSE( CONTROL!$C$33, 10.4163, 10.4147) * CHOOSE(CONTROL!$C$16, $D$10, 100%, $F$10)</f>
        <v>10.4163</v>
      </c>
      <c r="G348" s="8">
        <f>CHOOSE( CONTROL!$C$33, 9.5661, 9.5646) * CHOOSE( CONTROL!$C$16, $D$10, 100%, $F$10)</f>
        <v>9.5661000000000005</v>
      </c>
      <c r="H348" s="4">
        <f>CHOOSE( CONTROL!$C$33, 10.5448, 10.5433) * CHOOSE(CONTROL!$C$16, $D$10, 100%, $F$10)</f>
        <v>10.5448</v>
      </c>
      <c r="I348" s="8">
        <f>CHOOSE( CONTROL!$C$33, 9.4699, 9.4683) * CHOOSE(CONTROL!$C$16, $D$10, 100%, $F$10)</f>
        <v>9.4699000000000009</v>
      </c>
      <c r="J348" s="4">
        <f>CHOOSE( CONTROL!$C$33, 9.3484, 9.3469) * CHOOSE(CONTROL!$C$16, $D$10, 100%, $F$10)</f>
        <v>9.3483999999999998</v>
      </c>
      <c r="K348" s="4"/>
      <c r="L348" s="9">
        <v>29.7257</v>
      </c>
      <c r="M348" s="9">
        <v>11.6745</v>
      </c>
      <c r="N348" s="9">
        <v>4.7850000000000001</v>
      </c>
      <c r="O348" s="9">
        <v>0.36199999999999999</v>
      </c>
      <c r="P348" s="9">
        <v>1.2509999999999999</v>
      </c>
      <c r="Q348" s="9">
        <v>29.282399999999999</v>
      </c>
      <c r="R348" s="9"/>
      <c r="S348" s="11"/>
    </row>
    <row r="349" spans="1:19" ht="15" customHeight="1">
      <c r="A349" s="13">
        <v>51805</v>
      </c>
      <c r="B349" s="8">
        <f>CHOOSE( CONTROL!$C$33, 10.066, 10.0649) * CHOOSE(CONTROL!$C$16, $D$10, 100%, $F$10)</f>
        <v>10.066000000000001</v>
      </c>
      <c r="C349" s="8">
        <f>CHOOSE( CONTROL!$C$33, 10.0714, 10.0702) * CHOOSE(CONTROL!$C$16, $D$10, 100%, $F$10)</f>
        <v>10.071400000000001</v>
      </c>
      <c r="D349" s="8">
        <f>CHOOSE( CONTROL!$C$33, 10.1001, 10.099) * CHOOSE( CONTROL!$C$16, $D$10, 100%, $F$10)</f>
        <v>10.100099999999999</v>
      </c>
      <c r="E349" s="12">
        <f>CHOOSE( CONTROL!$C$33, 10.0901, 10.0889) * CHOOSE( CONTROL!$C$16, $D$10, 100%, $F$10)</f>
        <v>10.0901</v>
      </c>
      <c r="F349" s="4">
        <f>CHOOSE( CONTROL!$C$33, 10.8447, 10.8435) * CHOOSE(CONTROL!$C$16, $D$10, 100%, $F$10)</f>
        <v>10.8447</v>
      </c>
      <c r="G349" s="8">
        <f>CHOOSE( CONTROL!$C$33, 9.9886, 9.9875) * CHOOSE( CONTROL!$C$16, $D$10, 100%, $F$10)</f>
        <v>9.9885999999999999</v>
      </c>
      <c r="H349" s="4">
        <f>CHOOSE( CONTROL!$C$33, 10.9672, 10.9661) * CHOOSE(CONTROL!$C$16, $D$10, 100%, $F$10)</f>
        <v>10.9672</v>
      </c>
      <c r="I349" s="8">
        <f>CHOOSE( CONTROL!$C$33, 9.8854, 9.8844) * CHOOSE(CONTROL!$C$16, $D$10, 100%, $F$10)</f>
        <v>9.8854000000000006</v>
      </c>
      <c r="J349" s="4">
        <f>CHOOSE( CONTROL!$C$33, 9.7632, 9.7621) * CHOOSE(CONTROL!$C$16, $D$10, 100%, $F$10)</f>
        <v>9.7631999999999994</v>
      </c>
      <c r="K349" s="4"/>
      <c r="L349" s="9">
        <v>31.095300000000002</v>
      </c>
      <c r="M349" s="9">
        <v>12.063700000000001</v>
      </c>
      <c r="N349" s="9">
        <v>4.9444999999999997</v>
      </c>
      <c r="O349" s="9">
        <v>0.37409999999999999</v>
      </c>
      <c r="P349" s="9">
        <v>1.2927</v>
      </c>
      <c r="Q349" s="9">
        <v>30.258500000000002</v>
      </c>
      <c r="R349" s="9"/>
      <c r="S349" s="11"/>
    </row>
    <row r="350" spans="1:19" ht="15" customHeight="1">
      <c r="A350" s="13">
        <v>51835</v>
      </c>
      <c r="B350" s="8">
        <f>CHOOSE( CONTROL!$C$33, 10.8571, 10.856) * CHOOSE(CONTROL!$C$16, $D$10, 100%, $F$10)</f>
        <v>10.857100000000001</v>
      </c>
      <c r="C350" s="8">
        <f>CHOOSE( CONTROL!$C$33, 10.8622, 10.8611) * CHOOSE(CONTROL!$C$16, $D$10, 100%, $F$10)</f>
        <v>10.8622</v>
      </c>
      <c r="D350" s="8">
        <f>CHOOSE( CONTROL!$C$33, 10.8419, 10.8408) * CHOOSE( CONTROL!$C$16, $D$10, 100%, $F$10)</f>
        <v>10.841900000000001</v>
      </c>
      <c r="E350" s="12">
        <f>CHOOSE( CONTROL!$C$33, 10.8488, 10.8477) * CHOOSE( CONTROL!$C$16, $D$10, 100%, $F$10)</f>
        <v>10.848800000000001</v>
      </c>
      <c r="F350" s="4">
        <f>CHOOSE( CONTROL!$C$33, 11.52, 11.5189) * CHOOSE(CONTROL!$C$16, $D$10, 100%, $F$10)</f>
        <v>11.52</v>
      </c>
      <c r="G350" s="8">
        <f>CHOOSE( CONTROL!$C$33, 10.7416, 10.7405) * CHOOSE( CONTROL!$C$16, $D$10, 100%, $F$10)</f>
        <v>10.7416</v>
      </c>
      <c r="H350" s="4">
        <f>CHOOSE( CONTROL!$C$33, 11.6331, 11.632) * CHOOSE(CONTROL!$C$16, $D$10, 100%, $F$10)</f>
        <v>11.633100000000001</v>
      </c>
      <c r="I350" s="8">
        <f>CHOOSE( CONTROL!$C$33, 10.7, 10.6989) * CHOOSE(CONTROL!$C$16, $D$10, 100%, $F$10)</f>
        <v>10.7</v>
      </c>
      <c r="J350" s="4">
        <f>CHOOSE( CONTROL!$C$33, 10.5296, 10.5285) * CHOOSE(CONTROL!$C$16, $D$10, 100%, $F$10)</f>
        <v>10.5296</v>
      </c>
      <c r="K350" s="4"/>
      <c r="L350" s="9">
        <v>28.360600000000002</v>
      </c>
      <c r="M350" s="9">
        <v>11.6745</v>
      </c>
      <c r="N350" s="9">
        <v>4.7850000000000001</v>
      </c>
      <c r="O350" s="9">
        <v>0.36199999999999999</v>
      </c>
      <c r="P350" s="9">
        <v>1.2509999999999999</v>
      </c>
      <c r="Q350" s="9">
        <v>29.282399999999999</v>
      </c>
      <c r="R350" s="9"/>
      <c r="S350" s="11"/>
    </row>
    <row r="351" spans="1:19" ht="15" customHeight="1">
      <c r="A351" s="13">
        <v>51866</v>
      </c>
      <c r="B351" s="8">
        <f>CHOOSE( CONTROL!$C$33, 10.8373, 10.8362) * CHOOSE(CONTROL!$C$16, $D$10, 100%, $F$10)</f>
        <v>10.837300000000001</v>
      </c>
      <c r="C351" s="8">
        <f>CHOOSE( CONTROL!$C$33, 10.8424, 10.8413) * CHOOSE(CONTROL!$C$16, $D$10, 100%, $F$10)</f>
        <v>10.8424</v>
      </c>
      <c r="D351" s="8">
        <f>CHOOSE( CONTROL!$C$33, 10.8236, 10.8224) * CHOOSE( CONTROL!$C$16, $D$10, 100%, $F$10)</f>
        <v>10.823600000000001</v>
      </c>
      <c r="E351" s="12">
        <f>CHOOSE( CONTROL!$C$33, 10.8299, 10.8288) * CHOOSE( CONTROL!$C$16, $D$10, 100%, $F$10)</f>
        <v>10.8299</v>
      </c>
      <c r="F351" s="4">
        <f>CHOOSE( CONTROL!$C$33, 11.5002, 11.4991) * CHOOSE(CONTROL!$C$16, $D$10, 100%, $F$10)</f>
        <v>11.5002</v>
      </c>
      <c r="G351" s="8">
        <f>CHOOSE( CONTROL!$C$33, 10.7231, 10.722) * CHOOSE( CONTROL!$C$16, $D$10, 100%, $F$10)</f>
        <v>10.723100000000001</v>
      </c>
      <c r="H351" s="4">
        <f>CHOOSE( CONTROL!$C$33, 11.6136, 11.6125) * CHOOSE(CONTROL!$C$16, $D$10, 100%, $F$10)</f>
        <v>11.6136</v>
      </c>
      <c r="I351" s="8">
        <f>CHOOSE( CONTROL!$C$33, 10.6854, 10.6843) * CHOOSE(CONTROL!$C$16, $D$10, 100%, $F$10)</f>
        <v>10.6854</v>
      </c>
      <c r="J351" s="4">
        <f>CHOOSE( CONTROL!$C$33, 10.5105, 10.5094) * CHOOSE(CONTROL!$C$16, $D$10, 100%, $F$10)</f>
        <v>10.5105</v>
      </c>
      <c r="K351" s="4"/>
      <c r="L351" s="9">
        <v>29.306000000000001</v>
      </c>
      <c r="M351" s="9">
        <v>12.063700000000001</v>
      </c>
      <c r="N351" s="9">
        <v>4.9444999999999997</v>
      </c>
      <c r="O351" s="9">
        <v>0.37409999999999999</v>
      </c>
      <c r="P351" s="9">
        <v>1.2927</v>
      </c>
      <c r="Q351" s="9">
        <v>30.258500000000002</v>
      </c>
      <c r="R351" s="9"/>
      <c r="S351" s="11"/>
    </row>
    <row r="352" spans="1:19" ht="15" customHeight="1">
      <c r="A352" s="13">
        <v>51897</v>
      </c>
      <c r="B352" s="8">
        <f>CHOOSE( CONTROL!$C$33, 11.1575, 11.1564) * CHOOSE(CONTROL!$C$16, $D$10, 100%, $F$10)</f>
        <v>11.157500000000001</v>
      </c>
      <c r="C352" s="8">
        <f>CHOOSE( CONTROL!$C$33, 11.1626, 11.1615) * CHOOSE(CONTROL!$C$16, $D$10, 100%, $F$10)</f>
        <v>11.162599999999999</v>
      </c>
      <c r="D352" s="8">
        <f>CHOOSE( CONTROL!$C$33, 11.1549, 11.1538) * CHOOSE( CONTROL!$C$16, $D$10, 100%, $F$10)</f>
        <v>11.1549</v>
      </c>
      <c r="E352" s="12">
        <f>CHOOSE( CONTROL!$C$33, 11.1572, 11.1561) * CHOOSE( CONTROL!$C$16, $D$10, 100%, $F$10)</f>
        <v>11.1572</v>
      </c>
      <c r="F352" s="4">
        <f>CHOOSE( CONTROL!$C$33, 11.8203, 11.8192) * CHOOSE(CONTROL!$C$16, $D$10, 100%, $F$10)</f>
        <v>11.8203</v>
      </c>
      <c r="G352" s="8">
        <f>CHOOSE( CONTROL!$C$33, 11.0447, 11.0436) * CHOOSE( CONTROL!$C$16, $D$10, 100%, $F$10)</f>
        <v>11.044700000000001</v>
      </c>
      <c r="H352" s="4">
        <f>CHOOSE( CONTROL!$C$33, 11.9293, 11.9282) * CHOOSE(CONTROL!$C$16, $D$10, 100%, $F$10)</f>
        <v>11.9293</v>
      </c>
      <c r="I352" s="8">
        <f>CHOOSE( CONTROL!$C$33, 10.9868, 10.9857) * CHOOSE(CONTROL!$C$16, $D$10, 100%, $F$10)</f>
        <v>10.986800000000001</v>
      </c>
      <c r="J352" s="4">
        <f>CHOOSE( CONTROL!$C$33, 10.8204, 10.8194) * CHOOSE(CONTROL!$C$16, $D$10, 100%, $F$10)</f>
        <v>10.820399999999999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20.593900000000001</v>
      </c>
      <c r="R352" s="9"/>
      <c r="S352" s="11"/>
    </row>
    <row r="353" spans="1:19" ht="15" customHeight="1">
      <c r="A353" s="13">
        <v>51925</v>
      </c>
      <c r="B353" s="8">
        <f>CHOOSE( CONTROL!$C$33, 10.4351, 10.434) * CHOOSE(CONTROL!$C$16, $D$10, 100%, $F$10)</f>
        <v>10.4351</v>
      </c>
      <c r="C353" s="8">
        <f>CHOOSE( CONTROL!$C$33, 10.4402, 10.4391) * CHOOSE(CONTROL!$C$16, $D$10, 100%, $F$10)</f>
        <v>10.440200000000001</v>
      </c>
      <c r="D353" s="8">
        <f>CHOOSE( CONTROL!$C$33, 10.4324, 10.4313) * CHOOSE( CONTROL!$C$16, $D$10, 100%, $F$10)</f>
        <v>10.432399999999999</v>
      </c>
      <c r="E353" s="12">
        <f>CHOOSE( CONTROL!$C$33, 10.4347, 10.4336) * CHOOSE( CONTROL!$C$16, $D$10, 100%, $F$10)</f>
        <v>10.434699999999999</v>
      </c>
      <c r="F353" s="4">
        <f>CHOOSE( CONTROL!$C$33, 11.098, 11.0969) * CHOOSE(CONTROL!$C$16, $D$10, 100%, $F$10)</f>
        <v>11.098000000000001</v>
      </c>
      <c r="G353" s="8">
        <f>CHOOSE( CONTROL!$C$33, 10.3323, 10.3312) * CHOOSE( CONTROL!$C$16, $D$10, 100%, $F$10)</f>
        <v>10.3323</v>
      </c>
      <c r="H353" s="4">
        <f>CHOOSE( CONTROL!$C$33, 11.217, 11.2159) * CHOOSE(CONTROL!$C$16, $D$10, 100%, $F$10)</f>
        <v>11.217000000000001</v>
      </c>
      <c r="I353" s="8">
        <f>CHOOSE( CONTROL!$C$33, 10.2864, 10.2853) * CHOOSE(CONTROL!$C$16, $D$10, 100%, $F$10)</f>
        <v>10.2864</v>
      </c>
      <c r="J353" s="4">
        <f>CHOOSE( CONTROL!$C$33, 10.121, 10.1199) * CHOOSE(CONTROL!$C$16, $D$10, 100%, $F$10)</f>
        <v>10.121</v>
      </c>
      <c r="K353" s="4"/>
      <c r="L353" s="9">
        <v>26.469899999999999</v>
      </c>
      <c r="M353" s="9">
        <v>10.8962</v>
      </c>
      <c r="N353" s="9">
        <v>4.4660000000000002</v>
      </c>
      <c r="O353" s="9">
        <v>0.33789999999999998</v>
      </c>
      <c r="P353" s="9">
        <v>1.1676</v>
      </c>
      <c r="Q353" s="9">
        <v>18.600999999999999</v>
      </c>
      <c r="R353" s="9"/>
      <c r="S353" s="11"/>
    </row>
    <row r="354" spans="1:19" ht="15" customHeight="1">
      <c r="A354" s="13">
        <v>51956</v>
      </c>
      <c r="B354" s="8">
        <f>CHOOSE( CONTROL!$C$33, 10.2126, 10.2115) * CHOOSE(CONTROL!$C$16, $D$10, 100%, $F$10)</f>
        <v>10.2126</v>
      </c>
      <c r="C354" s="8">
        <f>CHOOSE( CONTROL!$C$33, 10.2177, 10.2166) * CHOOSE(CONTROL!$C$16, $D$10, 100%, $F$10)</f>
        <v>10.217700000000001</v>
      </c>
      <c r="D354" s="8">
        <f>CHOOSE( CONTROL!$C$33, 10.2092, 10.2081) * CHOOSE( CONTROL!$C$16, $D$10, 100%, $F$10)</f>
        <v>10.209199999999999</v>
      </c>
      <c r="E354" s="12">
        <f>CHOOSE( CONTROL!$C$33, 10.2118, 10.2107) * CHOOSE( CONTROL!$C$16, $D$10, 100%, $F$10)</f>
        <v>10.2118</v>
      </c>
      <c r="F354" s="4">
        <f>CHOOSE( CONTROL!$C$33, 10.8755, 10.8744) * CHOOSE(CONTROL!$C$16, $D$10, 100%, $F$10)</f>
        <v>10.875500000000001</v>
      </c>
      <c r="G354" s="8">
        <f>CHOOSE( CONTROL!$C$33, 10.1124, 10.1112) * CHOOSE( CONTROL!$C$16, $D$10, 100%, $F$10)</f>
        <v>10.112399999999999</v>
      </c>
      <c r="H354" s="4">
        <f>CHOOSE( CONTROL!$C$33, 10.9976, 10.9965) * CHOOSE(CONTROL!$C$16, $D$10, 100%, $F$10)</f>
        <v>10.9976</v>
      </c>
      <c r="I354" s="8">
        <f>CHOOSE( CONTROL!$C$33, 10.0686, 10.0675) * CHOOSE(CONTROL!$C$16, $D$10, 100%, $F$10)</f>
        <v>10.0686</v>
      </c>
      <c r="J354" s="4">
        <f>CHOOSE( CONTROL!$C$33, 9.9056, 9.9045) * CHOOSE(CONTROL!$C$16, $D$10, 100%, $F$10)</f>
        <v>9.9055999999999997</v>
      </c>
      <c r="K354" s="4"/>
      <c r="L354" s="9">
        <v>29.306000000000001</v>
      </c>
      <c r="M354" s="9">
        <v>12.063700000000001</v>
      </c>
      <c r="N354" s="9">
        <v>4.9444999999999997</v>
      </c>
      <c r="O354" s="9">
        <v>0.37409999999999999</v>
      </c>
      <c r="P354" s="9">
        <v>1.2927</v>
      </c>
      <c r="Q354" s="9">
        <v>20.593900000000001</v>
      </c>
      <c r="R354" s="9"/>
      <c r="S354" s="11"/>
    </row>
    <row r="355" spans="1:19" ht="15" customHeight="1">
      <c r="A355" s="13">
        <v>51986</v>
      </c>
      <c r="B355" s="8">
        <f>CHOOSE( CONTROL!$C$33, 10.3689, 10.3678) * CHOOSE(CONTROL!$C$16, $D$10, 100%, $F$10)</f>
        <v>10.3689</v>
      </c>
      <c r="C355" s="8">
        <f>CHOOSE( CONTROL!$C$33, 10.3734, 10.3723) * CHOOSE(CONTROL!$C$16, $D$10, 100%, $F$10)</f>
        <v>10.3734</v>
      </c>
      <c r="D355" s="8">
        <f>CHOOSE( CONTROL!$C$33, 10.4023, 10.4012) * CHOOSE( CONTROL!$C$16, $D$10, 100%, $F$10)</f>
        <v>10.4023</v>
      </c>
      <c r="E355" s="12">
        <f>CHOOSE( CONTROL!$C$33, 10.3922, 10.3911) * CHOOSE( CONTROL!$C$16, $D$10, 100%, $F$10)</f>
        <v>10.392200000000001</v>
      </c>
      <c r="F355" s="4">
        <f>CHOOSE( CONTROL!$C$33, 11.1472, 11.146) * CHOOSE(CONTROL!$C$16, $D$10, 100%, $F$10)</f>
        <v>11.1472</v>
      </c>
      <c r="G355" s="8">
        <f>CHOOSE( CONTROL!$C$33, 10.2866, 10.2855) * CHOOSE( CONTROL!$C$16, $D$10, 100%, $F$10)</f>
        <v>10.2866</v>
      </c>
      <c r="H355" s="4">
        <f>CHOOSE( CONTROL!$C$33, 11.2655, 11.2644) * CHOOSE(CONTROL!$C$16, $D$10, 100%, $F$10)</f>
        <v>11.265499999999999</v>
      </c>
      <c r="I355" s="8">
        <f>CHOOSE( CONTROL!$C$33, 10.1772, 10.1761) * CHOOSE(CONTROL!$C$16, $D$10, 100%, $F$10)</f>
        <v>10.177199999999999</v>
      </c>
      <c r="J355" s="4">
        <f>CHOOSE( CONTROL!$C$33, 10.0561, 10.055) * CHOOSE(CONTROL!$C$16, $D$10, 100%, $F$10)</f>
        <v>10.056100000000001</v>
      </c>
      <c r="K355" s="4"/>
      <c r="L355" s="9">
        <v>30.092199999999998</v>
      </c>
      <c r="M355" s="9">
        <v>11.6745</v>
      </c>
      <c r="N355" s="9">
        <v>4.7850000000000001</v>
      </c>
      <c r="O355" s="9">
        <v>0.36199999999999999</v>
      </c>
      <c r="P355" s="9">
        <v>1.2509999999999999</v>
      </c>
      <c r="Q355" s="9">
        <v>19.929600000000001</v>
      </c>
      <c r="R355" s="9"/>
      <c r="S355" s="11"/>
    </row>
    <row r="356" spans="1:19" ht="15" customHeight="1">
      <c r="A356" s="13">
        <v>52017</v>
      </c>
      <c r="B356" s="8">
        <f>CHOOSE( CONTROL!$C$33, 10.6474, 10.6458) * CHOOSE(CONTROL!$C$16, $D$10, 100%, $F$10)</f>
        <v>10.647399999999999</v>
      </c>
      <c r="C356" s="8">
        <f>CHOOSE( CONTROL!$C$33, 10.6554, 10.6538) * CHOOSE(CONTROL!$C$16, $D$10, 100%, $F$10)</f>
        <v>10.6554</v>
      </c>
      <c r="D356" s="8">
        <f>CHOOSE( CONTROL!$C$33, 10.6776, 10.676) * CHOOSE( CONTROL!$C$16, $D$10, 100%, $F$10)</f>
        <v>10.6776</v>
      </c>
      <c r="E356" s="12">
        <f>CHOOSE( CONTROL!$C$33, 10.6683, 10.6667) * CHOOSE( CONTROL!$C$16, $D$10, 100%, $F$10)</f>
        <v>10.6683</v>
      </c>
      <c r="F356" s="4">
        <f>CHOOSE( CONTROL!$C$33, 11.4243, 11.4227) * CHOOSE(CONTROL!$C$16, $D$10, 100%, $F$10)</f>
        <v>11.424300000000001</v>
      </c>
      <c r="G356" s="8">
        <f>CHOOSE( CONTROL!$C$33, 10.5598, 10.5583) * CHOOSE( CONTROL!$C$16, $D$10, 100%, $F$10)</f>
        <v>10.559799999999999</v>
      </c>
      <c r="H356" s="4">
        <f>CHOOSE( CONTROL!$C$33, 11.5388, 11.5372) * CHOOSE(CONTROL!$C$16, $D$10, 100%, $F$10)</f>
        <v>11.5388</v>
      </c>
      <c r="I356" s="8">
        <f>CHOOSE( CONTROL!$C$33, 10.4453, 10.4438) * CHOOSE(CONTROL!$C$16, $D$10, 100%, $F$10)</f>
        <v>10.4453</v>
      </c>
      <c r="J356" s="4">
        <f>CHOOSE( CONTROL!$C$33, 10.3245, 10.3229) * CHOOSE(CONTROL!$C$16, $D$10, 100%, $F$10)</f>
        <v>10.3245</v>
      </c>
      <c r="K356" s="4"/>
      <c r="L356" s="9">
        <v>30.7165</v>
      </c>
      <c r="M356" s="9">
        <v>12.063700000000001</v>
      </c>
      <c r="N356" s="9">
        <v>4.9444999999999997</v>
      </c>
      <c r="O356" s="9">
        <v>0.37409999999999999</v>
      </c>
      <c r="P356" s="9">
        <v>1.2927</v>
      </c>
      <c r="Q356" s="9">
        <v>20.593900000000001</v>
      </c>
      <c r="R356" s="9"/>
      <c r="S356" s="11"/>
    </row>
    <row r="357" spans="1:19" ht="15" customHeight="1">
      <c r="A357" s="13">
        <v>52047</v>
      </c>
      <c r="B357" s="8">
        <f>CHOOSE( CONTROL!$C$33, 10.476, 10.4744) * CHOOSE(CONTROL!$C$16, $D$10, 100%, $F$10)</f>
        <v>10.476000000000001</v>
      </c>
      <c r="C357" s="8">
        <f>CHOOSE( CONTROL!$C$33, 10.484, 10.4824) * CHOOSE(CONTROL!$C$16, $D$10, 100%, $F$10)</f>
        <v>10.484</v>
      </c>
      <c r="D357" s="8">
        <f>CHOOSE( CONTROL!$C$33, 10.5064, 10.5048) * CHOOSE( CONTROL!$C$16, $D$10, 100%, $F$10)</f>
        <v>10.506399999999999</v>
      </c>
      <c r="E357" s="12">
        <f>CHOOSE( CONTROL!$C$33, 10.4971, 10.4955) * CHOOSE( CONTROL!$C$16, $D$10, 100%, $F$10)</f>
        <v>10.4971</v>
      </c>
      <c r="F357" s="4">
        <f>CHOOSE( CONTROL!$C$33, 11.2529, 11.2513) * CHOOSE(CONTROL!$C$16, $D$10, 100%, $F$10)</f>
        <v>11.2529</v>
      </c>
      <c r="G357" s="8">
        <f>CHOOSE( CONTROL!$C$33, 10.3909, 10.3894) * CHOOSE( CONTROL!$C$16, $D$10, 100%, $F$10)</f>
        <v>10.3909</v>
      </c>
      <c r="H357" s="4">
        <f>CHOOSE( CONTROL!$C$33, 11.3698, 11.3682) * CHOOSE(CONTROL!$C$16, $D$10, 100%, $F$10)</f>
        <v>11.3698</v>
      </c>
      <c r="I357" s="8">
        <f>CHOOSE( CONTROL!$C$33, 10.2798, 10.2783) * CHOOSE(CONTROL!$C$16, $D$10, 100%, $F$10)</f>
        <v>10.2798</v>
      </c>
      <c r="J357" s="4">
        <f>CHOOSE( CONTROL!$C$33, 10.1585, 10.157) * CHOOSE(CONTROL!$C$16, $D$10, 100%, $F$10)</f>
        <v>10.1585</v>
      </c>
      <c r="K357" s="4"/>
      <c r="L357" s="9">
        <v>29.7257</v>
      </c>
      <c r="M357" s="9">
        <v>11.6745</v>
      </c>
      <c r="N357" s="9">
        <v>4.7850000000000001</v>
      </c>
      <c r="O357" s="9">
        <v>0.36199999999999999</v>
      </c>
      <c r="P357" s="9">
        <v>1.2509999999999999</v>
      </c>
      <c r="Q357" s="9">
        <v>19.929600000000001</v>
      </c>
      <c r="R357" s="9"/>
      <c r="S357" s="11"/>
    </row>
    <row r="358" spans="1:19" ht="15" customHeight="1">
      <c r="A358" s="13">
        <v>52078</v>
      </c>
      <c r="B358" s="8">
        <f>CHOOSE( CONTROL!$C$33, 10.9273, 10.9258) * CHOOSE(CONTROL!$C$16, $D$10, 100%, $F$10)</f>
        <v>10.927300000000001</v>
      </c>
      <c r="C358" s="8">
        <f>CHOOSE( CONTROL!$C$33, 10.9353, 10.9338) * CHOOSE(CONTROL!$C$16, $D$10, 100%, $F$10)</f>
        <v>10.9353</v>
      </c>
      <c r="D358" s="8">
        <f>CHOOSE( CONTROL!$C$33, 10.958, 10.9564) * CHOOSE( CONTROL!$C$16, $D$10, 100%, $F$10)</f>
        <v>10.958</v>
      </c>
      <c r="E358" s="12">
        <f>CHOOSE( CONTROL!$C$33, 10.9486, 10.947) * CHOOSE( CONTROL!$C$16, $D$10, 100%, $F$10)</f>
        <v>10.948600000000001</v>
      </c>
      <c r="F358" s="4">
        <f>CHOOSE( CONTROL!$C$33, 11.7043, 11.7027) * CHOOSE(CONTROL!$C$16, $D$10, 100%, $F$10)</f>
        <v>11.7043</v>
      </c>
      <c r="G358" s="8">
        <f>CHOOSE( CONTROL!$C$33, 10.8362, 10.8346) * CHOOSE( CONTROL!$C$16, $D$10, 100%, $F$10)</f>
        <v>10.8362</v>
      </c>
      <c r="H358" s="4">
        <f>CHOOSE( CONTROL!$C$33, 11.8148, 11.8133) * CHOOSE(CONTROL!$C$16, $D$10, 100%, $F$10)</f>
        <v>11.8148</v>
      </c>
      <c r="I358" s="8">
        <f>CHOOSE( CONTROL!$C$33, 10.7179, 10.7164) * CHOOSE(CONTROL!$C$16, $D$10, 100%, $F$10)</f>
        <v>10.7179</v>
      </c>
      <c r="J358" s="4">
        <f>CHOOSE( CONTROL!$C$33, 10.5955, 10.594) * CHOOSE(CONTROL!$C$16, $D$10, 100%, $F$10)</f>
        <v>10.595499999999999</v>
      </c>
      <c r="K358" s="4"/>
      <c r="L358" s="9">
        <v>30.7165</v>
      </c>
      <c r="M358" s="9">
        <v>12.063700000000001</v>
      </c>
      <c r="N358" s="9">
        <v>4.9444999999999997</v>
      </c>
      <c r="O358" s="9">
        <v>0.37409999999999999</v>
      </c>
      <c r="P358" s="9">
        <v>1.2927</v>
      </c>
      <c r="Q358" s="9">
        <v>20.593900000000001</v>
      </c>
      <c r="R358" s="9"/>
      <c r="S358" s="11"/>
    </row>
    <row r="359" spans="1:19" ht="15" customHeight="1">
      <c r="A359" s="13">
        <v>52109</v>
      </c>
      <c r="B359" s="8">
        <f>CHOOSE( CONTROL!$C$33, 10.0828, 10.0812) * CHOOSE(CONTROL!$C$16, $D$10, 100%, $F$10)</f>
        <v>10.082800000000001</v>
      </c>
      <c r="C359" s="8">
        <f>CHOOSE( CONTROL!$C$33, 10.0908, 10.0892) * CHOOSE(CONTROL!$C$16, $D$10, 100%, $F$10)</f>
        <v>10.0908</v>
      </c>
      <c r="D359" s="8">
        <f>CHOOSE( CONTROL!$C$33, 10.1135, 10.1119) * CHOOSE( CONTROL!$C$16, $D$10, 100%, $F$10)</f>
        <v>10.1135</v>
      </c>
      <c r="E359" s="12">
        <f>CHOOSE( CONTROL!$C$33, 10.1041, 10.1025) * CHOOSE( CONTROL!$C$16, $D$10, 100%, $F$10)</f>
        <v>10.104100000000001</v>
      </c>
      <c r="F359" s="4">
        <f>CHOOSE( CONTROL!$C$33, 10.8597, 10.8581) * CHOOSE(CONTROL!$C$16, $D$10, 100%, $F$10)</f>
        <v>10.8597</v>
      </c>
      <c r="G359" s="8">
        <f>CHOOSE( CONTROL!$C$33, 10.0034, 10.0019) * CHOOSE( CONTROL!$C$16, $D$10, 100%, $F$10)</f>
        <v>10.003399999999999</v>
      </c>
      <c r="H359" s="4">
        <f>CHOOSE( CONTROL!$C$33, 10.982, 10.9805) * CHOOSE(CONTROL!$C$16, $D$10, 100%, $F$10)</f>
        <v>10.981999999999999</v>
      </c>
      <c r="I359" s="8">
        <f>CHOOSE( CONTROL!$C$33, 9.8999, 9.8984) * CHOOSE(CONTROL!$C$16, $D$10, 100%, $F$10)</f>
        <v>9.8999000000000006</v>
      </c>
      <c r="J359" s="4">
        <f>CHOOSE( CONTROL!$C$33, 9.7778, 9.7762) * CHOOSE(CONTROL!$C$16, $D$10, 100%, $F$10)</f>
        <v>9.7777999999999992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1.2927</v>
      </c>
      <c r="Q359" s="9">
        <v>20.593900000000001</v>
      </c>
      <c r="R359" s="9"/>
      <c r="S359" s="11"/>
    </row>
    <row r="360" spans="1:19" ht="15" customHeight="1">
      <c r="A360" s="13">
        <v>52139</v>
      </c>
      <c r="B360" s="8">
        <f>CHOOSE( CONTROL!$C$33, 9.8713, 9.8697) * CHOOSE(CONTROL!$C$16, $D$10, 100%, $F$10)</f>
        <v>9.8712999999999997</v>
      </c>
      <c r="C360" s="8">
        <f>CHOOSE( CONTROL!$C$33, 9.8793, 9.8777) * CHOOSE(CONTROL!$C$16, $D$10, 100%, $F$10)</f>
        <v>9.8793000000000006</v>
      </c>
      <c r="D360" s="8">
        <f>CHOOSE( CONTROL!$C$33, 9.9018, 9.9003) * CHOOSE( CONTROL!$C$16, $D$10, 100%, $F$10)</f>
        <v>9.9017999999999997</v>
      </c>
      <c r="E360" s="12">
        <f>CHOOSE( CONTROL!$C$33, 9.8924, 9.8909) * CHOOSE( CONTROL!$C$16, $D$10, 100%, $F$10)</f>
        <v>9.8924000000000003</v>
      </c>
      <c r="F360" s="4">
        <f>CHOOSE( CONTROL!$C$33, 10.6482, 10.6467) * CHOOSE(CONTROL!$C$16, $D$10, 100%, $F$10)</f>
        <v>10.648199999999999</v>
      </c>
      <c r="G360" s="8">
        <f>CHOOSE( CONTROL!$C$33, 9.7948, 9.7933) * CHOOSE( CONTROL!$C$16, $D$10, 100%, $F$10)</f>
        <v>9.7948000000000004</v>
      </c>
      <c r="H360" s="4">
        <f>CHOOSE( CONTROL!$C$33, 10.7735, 10.772) * CHOOSE(CONTROL!$C$16, $D$10, 100%, $F$10)</f>
        <v>10.7735</v>
      </c>
      <c r="I360" s="8">
        <f>CHOOSE( CONTROL!$C$33, 9.6946, 9.693) * CHOOSE(CONTROL!$C$16, $D$10, 100%, $F$10)</f>
        <v>9.6945999999999994</v>
      </c>
      <c r="J360" s="4">
        <f>CHOOSE( CONTROL!$C$33, 9.573, 9.5715) * CHOOSE(CONTROL!$C$16, $D$10, 100%, $F$10)</f>
        <v>9.5730000000000004</v>
      </c>
      <c r="K360" s="4"/>
      <c r="L360" s="9">
        <v>29.7257</v>
      </c>
      <c r="M360" s="9">
        <v>11.6745</v>
      </c>
      <c r="N360" s="9">
        <v>4.7850000000000001</v>
      </c>
      <c r="O360" s="9">
        <v>0.36199999999999999</v>
      </c>
      <c r="P360" s="9">
        <v>1.2509999999999999</v>
      </c>
      <c r="Q360" s="9">
        <v>19.929600000000001</v>
      </c>
      <c r="R360" s="9"/>
      <c r="S360" s="11"/>
    </row>
    <row r="361" spans="1:19" ht="15" customHeight="1">
      <c r="A361" s="13">
        <v>52170</v>
      </c>
      <c r="B361" s="8">
        <f>CHOOSE( CONTROL!$C$33, 10.3083, 10.3071) * CHOOSE(CONTROL!$C$16, $D$10, 100%, $F$10)</f>
        <v>10.308299999999999</v>
      </c>
      <c r="C361" s="8">
        <f>CHOOSE( CONTROL!$C$33, 10.3136, 10.3125) * CHOOSE(CONTROL!$C$16, $D$10, 100%, $F$10)</f>
        <v>10.313599999999999</v>
      </c>
      <c r="D361" s="8">
        <f>CHOOSE( CONTROL!$C$33, 10.3424, 10.3413) * CHOOSE( CONTROL!$C$16, $D$10, 100%, $F$10)</f>
        <v>10.3424</v>
      </c>
      <c r="E361" s="12">
        <f>CHOOSE( CONTROL!$C$33, 10.3323, 10.3312) * CHOOSE( CONTROL!$C$16, $D$10, 100%, $F$10)</f>
        <v>10.3323</v>
      </c>
      <c r="F361" s="4">
        <f>CHOOSE( CONTROL!$C$33, 11.0869, 11.0858) * CHOOSE(CONTROL!$C$16, $D$10, 100%, $F$10)</f>
        <v>11.0869</v>
      </c>
      <c r="G361" s="8">
        <f>CHOOSE( CONTROL!$C$33, 10.2275, 10.2264) * CHOOSE( CONTROL!$C$16, $D$10, 100%, $F$10)</f>
        <v>10.227499999999999</v>
      </c>
      <c r="H361" s="4">
        <f>CHOOSE( CONTROL!$C$33, 11.2061, 11.205) * CHOOSE(CONTROL!$C$16, $D$10, 100%, $F$10)</f>
        <v>11.206099999999999</v>
      </c>
      <c r="I361" s="8">
        <f>CHOOSE( CONTROL!$C$33, 10.1201, 10.119) * CHOOSE(CONTROL!$C$16, $D$10, 100%, $F$10)</f>
        <v>10.120100000000001</v>
      </c>
      <c r="J361" s="4">
        <f>CHOOSE( CONTROL!$C$33, 9.9977, 9.9967) * CHOOSE(CONTROL!$C$16, $D$10, 100%, $F$10)</f>
        <v>9.9977</v>
      </c>
      <c r="K361" s="4"/>
      <c r="L361" s="9">
        <v>31.095300000000002</v>
      </c>
      <c r="M361" s="9">
        <v>12.063700000000001</v>
      </c>
      <c r="N361" s="9">
        <v>4.9444999999999997</v>
      </c>
      <c r="O361" s="9">
        <v>0.37409999999999999</v>
      </c>
      <c r="P361" s="9">
        <v>1.2927</v>
      </c>
      <c r="Q361" s="9">
        <v>20.593900000000001</v>
      </c>
      <c r="R361" s="9"/>
      <c r="S361" s="11"/>
    </row>
    <row r="362" spans="1:19" ht="15" customHeight="1">
      <c r="A362" s="13">
        <v>52200</v>
      </c>
      <c r="B362" s="8">
        <f>CHOOSE( CONTROL!$C$33, 11.1184, 11.1172) * CHOOSE(CONTROL!$C$16, $D$10, 100%, $F$10)</f>
        <v>11.118399999999999</v>
      </c>
      <c r="C362" s="8">
        <f>CHOOSE( CONTROL!$C$33, 11.1235, 11.1223) * CHOOSE(CONTROL!$C$16, $D$10, 100%, $F$10)</f>
        <v>11.1235</v>
      </c>
      <c r="D362" s="8">
        <f>CHOOSE( CONTROL!$C$33, 11.1031, 11.102) * CHOOSE( CONTROL!$C$16, $D$10, 100%, $F$10)</f>
        <v>11.1031</v>
      </c>
      <c r="E362" s="12">
        <f>CHOOSE( CONTROL!$C$33, 11.11, 11.1089) * CHOOSE( CONTROL!$C$16, $D$10, 100%, $F$10)</f>
        <v>11.11</v>
      </c>
      <c r="F362" s="4">
        <f>CHOOSE( CONTROL!$C$33, 11.7812, 11.7801) * CHOOSE(CONTROL!$C$16, $D$10, 100%, $F$10)</f>
        <v>11.7812</v>
      </c>
      <c r="G362" s="8">
        <f>CHOOSE( CONTROL!$C$33, 10.9992, 10.9981) * CHOOSE( CONTROL!$C$16, $D$10, 100%, $F$10)</f>
        <v>10.9992</v>
      </c>
      <c r="H362" s="4">
        <f>CHOOSE( CONTROL!$C$33, 11.8907, 11.8896) * CHOOSE(CONTROL!$C$16, $D$10, 100%, $F$10)</f>
        <v>11.890700000000001</v>
      </c>
      <c r="I362" s="8">
        <f>CHOOSE( CONTROL!$C$33, 10.9531, 10.952) * CHOOSE(CONTROL!$C$16, $D$10, 100%, $F$10)</f>
        <v>10.953099999999999</v>
      </c>
      <c r="J362" s="4">
        <f>CHOOSE( CONTROL!$C$33, 10.7826, 10.7815) * CHOOSE(CONTROL!$C$16, $D$10, 100%, $F$10)</f>
        <v>10.7826</v>
      </c>
      <c r="K362" s="4"/>
      <c r="L362" s="9">
        <v>28.360600000000002</v>
      </c>
      <c r="M362" s="9">
        <v>11.6745</v>
      </c>
      <c r="N362" s="9">
        <v>4.7850000000000001</v>
      </c>
      <c r="O362" s="9">
        <v>0.36199999999999999</v>
      </c>
      <c r="P362" s="9">
        <v>1.2509999999999999</v>
      </c>
      <c r="Q362" s="9">
        <v>19.929600000000001</v>
      </c>
      <c r="R362" s="9"/>
      <c r="S362" s="11"/>
    </row>
    <row r="363" spans="1:19" ht="15" customHeight="1">
      <c r="A363" s="13">
        <v>52231</v>
      </c>
      <c r="B363" s="8">
        <f>CHOOSE( CONTROL!$C$33, 11.0981, 11.097) * CHOOSE(CONTROL!$C$16, $D$10, 100%, $F$10)</f>
        <v>11.098100000000001</v>
      </c>
      <c r="C363" s="8">
        <f>CHOOSE( CONTROL!$C$33, 11.1032, 11.1021) * CHOOSE(CONTROL!$C$16, $D$10, 100%, $F$10)</f>
        <v>11.103199999999999</v>
      </c>
      <c r="D363" s="8">
        <f>CHOOSE( CONTROL!$C$33, 11.0843, 11.0832) * CHOOSE( CONTROL!$C$16, $D$10, 100%, $F$10)</f>
        <v>11.084300000000001</v>
      </c>
      <c r="E363" s="12">
        <f>CHOOSE( CONTROL!$C$33, 11.0907, 11.0896) * CHOOSE( CONTROL!$C$16, $D$10, 100%, $F$10)</f>
        <v>11.0907</v>
      </c>
      <c r="F363" s="4">
        <f>CHOOSE( CONTROL!$C$33, 11.761, 11.7599) * CHOOSE(CONTROL!$C$16, $D$10, 100%, $F$10)</f>
        <v>11.760999999999999</v>
      </c>
      <c r="G363" s="8">
        <f>CHOOSE( CONTROL!$C$33, 10.9803, 10.9792) * CHOOSE( CONTROL!$C$16, $D$10, 100%, $F$10)</f>
        <v>10.9803</v>
      </c>
      <c r="H363" s="4">
        <f>CHOOSE( CONTROL!$C$33, 11.8707, 11.8696) * CHOOSE(CONTROL!$C$16, $D$10, 100%, $F$10)</f>
        <v>11.870699999999999</v>
      </c>
      <c r="I363" s="8">
        <f>CHOOSE( CONTROL!$C$33, 10.938, 10.9369) * CHOOSE(CONTROL!$C$16, $D$10, 100%, $F$10)</f>
        <v>10.938000000000001</v>
      </c>
      <c r="J363" s="4">
        <f>CHOOSE( CONTROL!$C$33, 10.763, 10.7619) * CHOOSE(CONTROL!$C$16, $D$10, 100%, $F$10)</f>
        <v>10.763</v>
      </c>
      <c r="K363" s="4"/>
      <c r="L363" s="9">
        <v>29.306000000000001</v>
      </c>
      <c r="M363" s="9">
        <v>12.063700000000001</v>
      </c>
      <c r="N363" s="9">
        <v>4.9444999999999997</v>
      </c>
      <c r="O363" s="9">
        <v>0.37409999999999999</v>
      </c>
      <c r="P363" s="9">
        <v>1.2927</v>
      </c>
      <c r="Q363" s="9">
        <v>20.593900000000001</v>
      </c>
      <c r="R363" s="9"/>
      <c r="S363" s="11"/>
    </row>
    <row r="364" spans="1:19" ht="15" customHeight="1">
      <c r="A364" s="13">
        <v>52262</v>
      </c>
      <c r="B364" s="8">
        <f>CHOOSE( CONTROL!$C$33, 11.4259, 11.4248) * CHOOSE(CONTROL!$C$16, $D$10, 100%, $F$10)</f>
        <v>11.4259</v>
      </c>
      <c r="C364" s="8">
        <f>CHOOSE( CONTROL!$C$33, 11.431, 11.4299) * CHOOSE(CONTROL!$C$16, $D$10, 100%, $F$10)</f>
        <v>11.430999999999999</v>
      </c>
      <c r="D364" s="8">
        <f>CHOOSE( CONTROL!$C$33, 11.4234, 11.4223) * CHOOSE( CONTROL!$C$16, $D$10, 100%, $F$10)</f>
        <v>11.423400000000001</v>
      </c>
      <c r="E364" s="12">
        <f>CHOOSE( CONTROL!$C$33, 11.4256, 11.4245) * CHOOSE( CONTROL!$C$16, $D$10, 100%, $F$10)</f>
        <v>11.425599999999999</v>
      </c>
      <c r="F364" s="4">
        <f>CHOOSE( CONTROL!$C$33, 12.0888, 12.0877) * CHOOSE(CONTROL!$C$16, $D$10, 100%, $F$10)</f>
        <v>12.088800000000001</v>
      </c>
      <c r="G364" s="8">
        <f>CHOOSE( CONTROL!$C$33, 11.3094, 11.3083) * CHOOSE( CONTROL!$C$16, $D$10, 100%, $F$10)</f>
        <v>11.3094</v>
      </c>
      <c r="H364" s="4">
        <f>CHOOSE( CONTROL!$C$33, 12.194, 12.1929) * CHOOSE(CONTROL!$C$16, $D$10, 100%, $F$10)</f>
        <v>12.194000000000001</v>
      </c>
      <c r="I364" s="8">
        <f>CHOOSE( CONTROL!$C$33, 11.2469, 11.2458) * CHOOSE(CONTROL!$C$16, $D$10, 100%, $F$10)</f>
        <v>11.2469</v>
      </c>
      <c r="J364" s="4">
        <f>CHOOSE( CONTROL!$C$33, 11.0804, 11.0793) * CHOOSE(CONTROL!$C$16, $D$10, 100%, $F$10)</f>
        <v>11.080399999999999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20.5288</v>
      </c>
      <c r="R364" s="9"/>
      <c r="S364" s="11"/>
    </row>
    <row r="365" spans="1:19" ht="15" customHeight="1">
      <c r="A365" s="13">
        <v>52290</v>
      </c>
      <c r="B365" s="8">
        <f>CHOOSE( CONTROL!$C$33, 10.6862, 10.6851) * CHOOSE(CONTROL!$C$16, $D$10, 100%, $F$10)</f>
        <v>10.686199999999999</v>
      </c>
      <c r="C365" s="8">
        <f>CHOOSE( CONTROL!$C$33, 10.6913, 10.6902) * CHOOSE(CONTROL!$C$16, $D$10, 100%, $F$10)</f>
        <v>10.6913</v>
      </c>
      <c r="D365" s="8">
        <f>CHOOSE( CONTROL!$C$33, 10.6835, 10.6824) * CHOOSE( CONTROL!$C$16, $D$10, 100%, $F$10)</f>
        <v>10.6835</v>
      </c>
      <c r="E365" s="12">
        <f>CHOOSE( CONTROL!$C$33, 10.6858, 10.6847) * CHOOSE( CONTROL!$C$16, $D$10, 100%, $F$10)</f>
        <v>10.6858</v>
      </c>
      <c r="F365" s="4">
        <f>CHOOSE( CONTROL!$C$33, 11.3491, 11.348) * CHOOSE(CONTROL!$C$16, $D$10, 100%, $F$10)</f>
        <v>11.3491</v>
      </c>
      <c r="G365" s="8">
        <f>CHOOSE( CONTROL!$C$33, 10.5799, 10.5788) * CHOOSE( CONTROL!$C$16, $D$10, 100%, $F$10)</f>
        <v>10.5799</v>
      </c>
      <c r="H365" s="4">
        <f>CHOOSE( CONTROL!$C$33, 11.4646, 11.4635) * CHOOSE(CONTROL!$C$16, $D$10, 100%, $F$10)</f>
        <v>11.464600000000001</v>
      </c>
      <c r="I365" s="8">
        <f>CHOOSE( CONTROL!$C$33, 10.5297, 10.5286) * CHOOSE(CONTROL!$C$16, $D$10, 100%, $F$10)</f>
        <v>10.5297</v>
      </c>
      <c r="J365" s="4">
        <f>CHOOSE( CONTROL!$C$33, 10.3641, 10.3631) * CHOOSE(CONTROL!$C$16, $D$10, 100%, $F$10)</f>
        <v>10.364100000000001</v>
      </c>
      <c r="K365" s="4"/>
      <c r="L365" s="9">
        <v>26.469899999999999</v>
      </c>
      <c r="M365" s="9">
        <v>10.8962</v>
      </c>
      <c r="N365" s="9">
        <v>4.4660000000000002</v>
      </c>
      <c r="O365" s="9">
        <v>0.33789999999999998</v>
      </c>
      <c r="P365" s="9">
        <v>1.1676</v>
      </c>
      <c r="Q365" s="9">
        <v>18.542200000000001</v>
      </c>
      <c r="R365" s="9"/>
      <c r="S365" s="11"/>
    </row>
    <row r="366" spans="1:19" ht="15" customHeight="1">
      <c r="A366" s="13">
        <v>52321</v>
      </c>
      <c r="B366" s="8">
        <f>CHOOSE( CONTROL!$C$33, 10.4584, 10.4573) * CHOOSE(CONTROL!$C$16, $D$10, 100%, $F$10)</f>
        <v>10.458399999999999</v>
      </c>
      <c r="C366" s="8">
        <f>CHOOSE( CONTROL!$C$33, 10.4635, 10.4624) * CHOOSE(CONTROL!$C$16, $D$10, 100%, $F$10)</f>
        <v>10.4635</v>
      </c>
      <c r="D366" s="8">
        <f>CHOOSE( CONTROL!$C$33, 10.455, 10.4538) * CHOOSE( CONTROL!$C$16, $D$10, 100%, $F$10)</f>
        <v>10.455</v>
      </c>
      <c r="E366" s="12">
        <f>CHOOSE( CONTROL!$C$33, 10.4576, 10.4564) * CHOOSE( CONTROL!$C$16, $D$10, 100%, $F$10)</f>
        <v>10.457599999999999</v>
      </c>
      <c r="F366" s="4">
        <f>CHOOSE( CONTROL!$C$33, 11.1213, 11.1202) * CHOOSE(CONTROL!$C$16, $D$10, 100%, $F$10)</f>
        <v>11.1213</v>
      </c>
      <c r="G366" s="8">
        <f>CHOOSE( CONTROL!$C$33, 10.3547, 10.3536) * CHOOSE( CONTROL!$C$16, $D$10, 100%, $F$10)</f>
        <v>10.354699999999999</v>
      </c>
      <c r="H366" s="4">
        <f>CHOOSE( CONTROL!$C$33, 11.24, 11.2389) * CHOOSE(CONTROL!$C$16, $D$10, 100%, $F$10)</f>
        <v>11.24</v>
      </c>
      <c r="I366" s="8">
        <f>CHOOSE( CONTROL!$C$33, 10.3067, 10.3056) * CHOOSE(CONTROL!$C$16, $D$10, 100%, $F$10)</f>
        <v>10.306699999999999</v>
      </c>
      <c r="J366" s="4">
        <f>CHOOSE( CONTROL!$C$33, 10.1435, 10.1425) * CHOOSE(CONTROL!$C$16, $D$10, 100%, $F$10)</f>
        <v>10.1435</v>
      </c>
      <c r="K366" s="4"/>
      <c r="L366" s="9">
        <v>29.306000000000001</v>
      </c>
      <c r="M366" s="9">
        <v>12.063700000000001</v>
      </c>
      <c r="N366" s="9">
        <v>4.9444999999999997</v>
      </c>
      <c r="O366" s="9">
        <v>0.37409999999999999</v>
      </c>
      <c r="P366" s="9">
        <v>1.2927</v>
      </c>
      <c r="Q366" s="9">
        <v>20.5288</v>
      </c>
      <c r="R366" s="9"/>
      <c r="S366" s="11"/>
    </row>
    <row r="367" spans="1:19" ht="15" customHeight="1">
      <c r="A367" s="13">
        <v>52351</v>
      </c>
      <c r="B367" s="8">
        <f>CHOOSE( CONTROL!$C$33, 10.6184, 10.6173) * CHOOSE(CONTROL!$C$16, $D$10, 100%, $F$10)</f>
        <v>10.618399999999999</v>
      </c>
      <c r="C367" s="8">
        <f>CHOOSE( CONTROL!$C$33, 10.6229, 10.6218) * CHOOSE(CONTROL!$C$16, $D$10, 100%, $F$10)</f>
        <v>10.6229</v>
      </c>
      <c r="D367" s="8">
        <f>CHOOSE( CONTROL!$C$33, 10.6518, 10.6507) * CHOOSE( CONTROL!$C$16, $D$10, 100%, $F$10)</f>
        <v>10.6518</v>
      </c>
      <c r="E367" s="12">
        <f>CHOOSE( CONTROL!$C$33, 10.6417, 10.6406) * CHOOSE( CONTROL!$C$16, $D$10, 100%, $F$10)</f>
        <v>10.6417</v>
      </c>
      <c r="F367" s="4">
        <f>CHOOSE( CONTROL!$C$33, 11.3967, 11.3955) * CHOOSE(CONTROL!$C$16, $D$10, 100%, $F$10)</f>
        <v>11.396699999999999</v>
      </c>
      <c r="G367" s="8">
        <f>CHOOSE( CONTROL!$C$33, 10.5326, 10.5315) * CHOOSE( CONTROL!$C$16, $D$10, 100%, $F$10)</f>
        <v>10.5326</v>
      </c>
      <c r="H367" s="4">
        <f>CHOOSE( CONTROL!$C$33, 11.5115, 11.5104) * CHOOSE(CONTROL!$C$16, $D$10, 100%, $F$10)</f>
        <v>11.5115</v>
      </c>
      <c r="I367" s="8">
        <f>CHOOSE( CONTROL!$C$33, 10.4189, 10.4178) * CHOOSE(CONTROL!$C$16, $D$10, 100%, $F$10)</f>
        <v>10.418900000000001</v>
      </c>
      <c r="J367" s="4">
        <f>CHOOSE( CONTROL!$C$33, 10.2977, 10.2966) * CHOOSE(CONTROL!$C$16, $D$10, 100%, $F$10)</f>
        <v>10.297700000000001</v>
      </c>
      <c r="K367" s="4"/>
      <c r="L367" s="9">
        <v>30.092199999999998</v>
      </c>
      <c r="M367" s="9">
        <v>11.6745</v>
      </c>
      <c r="N367" s="9">
        <v>4.7850000000000001</v>
      </c>
      <c r="O367" s="9">
        <v>0.36199999999999999</v>
      </c>
      <c r="P367" s="9">
        <v>1.2509999999999999</v>
      </c>
      <c r="Q367" s="9">
        <v>19.866599999999998</v>
      </c>
      <c r="R367" s="9"/>
      <c r="S367" s="11"/>
    </row>
    <row r="368" spans="1:19" ht="15" customHeight="1">
      <c r="A368" s="13">
        <v>52382</v>
      </c>
      <c r="B368" s="8">
        <f>CHOOSE( CONTROL!$C$33, 10.9035, 10.902) * CHOOSE(CONTROL!$C$16, $D$10, 100%, $F$10)</f>
        <v>10.903499999999999</v>
      </c>
      <c r="C368" s="8">
        <f>CHOOSE( CONTROL!$C$33, 10.9115, 10.91) * CHOOSE(CONTROL!$C$16, $D$10, 100%, $F$10)</f>
        <v>10.9115</v>
      </c>
      <c r="D368" s="8">
        <f>CHOOSE( CONTROL!$C$33, 10.9338, 10.9322) * CHOOSE( CONTROL!$C$16, $D$10, 100%, $F$10)</f>
        <v>10.9338</v>
      </c>
      <c r="E368" s="12">
        <f>CHOOSE( CONTROL!$C$33, 10.9245, 10.9229) * CHOOSE( CONTROL!$C$16, $D$10, 100%, $F$10)</f>
        <v>10.9245</v>
      </c>
      <c r="F368" s="4">
        <f>CHOOSE( CONTROL!$C$33, 11.6805, 11.6789) * CHOOSE(CONTROL!$C$16, $D$10, 100%, $F$10)</f>
        <v>11.6805</v>
      </c>
      <c r="G368" s="8">
        <f>CHOOSE( CONTROL!$C$33, 10.8124, 10.8108) * CHOOSE( CONTROL!$C$16, $D$10, 100%, $F$10)</f>
        <v>10.8124</v>
      </c>
      <c r="H368" s="4">
        <f>CHOOSE( CONTROL!$C$33, 11.7913, 11.7898) * CHOOSE(CONTROL!$C$16, $D$10, 100%, $F$10)</f>
        <v>11.7913</v>
      </c>
      <c r="I368" s="8">
        <f>CHOOSE( CONTROL!$C$33, 10.6935, 10.692) * CHOOSE(CONTROL!$C$16, $D$10, 100%, $F$10)</f>
        <v>10.6935</v>
      </c>
      <c r="J368" s="4">
        <f>CHOOSE( CONTROL!$C$33, 10.5725, 10.571) * CHOOSE(CONTROL!$C$16, $D$10, 100%, $F$10)</f>
        <v>10.5725</v>
      </c>
      <c r="K368" s="4"/>
      <c r="L368" s="9">
        <v>30.7165</v>
      </c>
      <c r="M368" s="9">
        <v>12.063700000000001</v>
      </c>
      <c r="N368" s="9">
        <v>4.9444999999999997</v>
      </c>
      <c r="O368" s="9">
        <v>0.37409999999999999</v>
      </c>
      <c r="P368" s="9">
        <v>1.2927</v>
      </c>
      <c r="Q368" s="9">
        <v>20.5288</v>
      </c>
      <c r="R368" s="9"/>
      <c r="S368" s="11"/>
    </row>
    <row r="369" spans="1:19" ht="15" customHeight="1">
      <c r="A369" s="13">
        <v>52412</v>
      </c>
      <c r="B369" s="8">
        <f>CHOOSE( CONTROL!$C$33, 10.728, 10.7264) * CHOOSE(CONTROL!$C$16, $D$10, 100%, $F$10)</f>
        <v>10.728</v>
      </c>
      <c r="C369" s="8">
        <f>CHOOSE( CONTROL!$C$33, 10.736, 10.7344) * CHOOSE(CONTROL!$C$16, $D$10, 100%, $F$10)</f>
        <v>10.736000000000001</v>
      </c>
      <c r="D369" s="8">
        <f>CHOOSE( CONTROL!$C$33, 10.7584, 10.7568) * CHOOSE( CONTROL!$C$16, $D$10, 100%, $F$10)</f>
        <v>10.7584</v>
      </c>
      <c r="E369" s="12">
        <f>CHOOSE( CONTROL!$C$33, 10.7491, 10.7475) * CHOOSE( CONTROL!$C$16, $D$10, 100%, $F$10)</f>
        <v>10.7491</v>
      </c>
      <c r="F369" s="4">
        <f>CHOOSE( CONTROL!$C$33, 11.5049, 11.5034) * CHOOSE(CONTROL!$C$16, $D$10, 100%, $F$10)</f>
        <v>11.504899999999999</v>
      </c>
      <c r="G369" s="8">
        <f>CHOOSE( CONTROL!$C$33, 10.6395, 10.6379) * CHOOSE( CONTROL!$C$16, $D$10, 100%, $F$10)</f>
        <v>10.6395</v>
      </c>
      <c r="H369" s="4">
        <f>CHOOSE( CONTROL!$C$33, 11.6183, 11.6167) * CHOOSE(CONTROL!$C$16, $D$10, 100%, $F$10)</f>
        <v>11.6183</v>
      </c>
      <c r="I369" s="8">
        <f>CHOOSE( CONTROL!$C$33, 10.524, 10.5225) * CHOOSE(CONTROL!$C$16, $D$10, 100%, $F$10)</f>
        <v>10.523999999999999</v>
      </c>
      <c r="J369" s="4">
        <f>CHOOSE( CONTROL!$C$33, 10.4025, 10.401) * CHOOSE(CONTROL!$C$16, $D$10, 100%, $F$10)</f>
        <v>10.4025</v>
      </c>
      <c r="K369" s="4"/>
      <c r="L369" s="9">
        <v>29.7257</v>
      </c>
      <c r="M369" s="9">
        <v>11.6745</v>
      </c>
      <c r="N369" s="9">
        <v>4.7850000000000001</v>
      </c>
      <c r="O369" s="9">
        <v>0.36199999999999999</v>
      </c>
      <c r="P369" s="9">
        <v>1.2509999999999999</v>
      </c>
      <c r="Q369" s="9">
        <v>19.866599999999998</v>
      </c>
      <c r="R369" s="9"/>
      <c r="S369" s="11"/>
    </row>
    <row r="370" spans="1:19" ht="15" customHeight="1">
      <c r="A370" s="13">
        <v>52443</v>
      </c>
      <c r="B370" s="8">
        <f>CHOOSE( CONTROL!$C$33, 11.1902, 11.1887) * CHOOSE(CONTROL!$C$16, $D$10, 100%, $F$10)</f>
        <v>11.190200000000001</v>
      </c>
      <c r="C370" s="8">
        <f>CHOOSE( CONTROL!$C$33, 11.1982, 11.1967) * CHOOSE(CONTROL!$C$16, $D$10, 100%, $F$10)</f>
        <v>11.1982</v>
      </c>
      <c r="D370" s="8">
        <f>CHOOSE( CONTROL!$C$33, 11.2208, 11.2193) * CHOOSE( CONTROL!$C$16, $D$10, 100%, $F$10)</f>
        <v>11.220800000000001</v>
      </c>
      <c r="E370" s="12">
        <f>CHOOSE( CONTROL!$C$33, 11.2114, 11.2099) * CHOOSE( CONTROL!$C$16, $D$10, 100%, $F$10)</f>
        <v>11.211399999999999</v>
      </c>
      <c r="F370" s="4">
        <f>CHOOSE( CONTROL!$C$33, 11.9671, 11.9656) * CHOOSE(CONTROL!$C$16, $D$10, 100%, $F$10)</f>
        <v>11.9671</v>
      </c>
      <c r="G370" s="8">
        <f>CHOOSE( CONTROL!$C$33, 11.0954, 11.0938) * CHOOSE( CONTROL!$C$16, $D$10, 100%, $F$10)</f>
        <v>11.0954</v>
      </c>
      <c r="H370" s="4">
        <f>CHOOSE( CONTROL!$C$33, 12.074, 12.0725) * CHOOSE(CONTROL!$C$16, $D$10, 100%, $F$10)</f>
        <v>12.074</v>
      </c>
      <c r="I370" s="8">
        <f>CHOOSE( CONTROL!$C$33, 10.9726, 10.9711) * CHOOSE(CONTROL!$C$16, $D$10, 100%, $F$10)</f>
        <v>10.9726</v>
      </c>
      <c r="J370" s="4">
        <f>CHOOSE( CONTROL!$C$33, 10.8501, 10.8486) * CHOOSE(CONTROL!$C$16, $D$10, 100%, $F$10)</f>
        <v>10.850099999999999</v>
      </c>
      <c r="K370" s="4"/>
      <c r="L370" s="9">
        <v>30.7165</v>
      </c>
      <c r="M370" s="9">
        <v>12.063700000000001</v>
      </c>
      <c r="N370" s="9">
        <v>4.9444999999999997</v>
      </c>
      <c r="O370" s="9">
        <v>0.37409999999999999</v>
      </c>
      <c r="P370" s="9">
        <v>1.2927</v>
      </c>
      <c r="Q370" s="9">
        <v>20.5288</v>
      </c>
      <c r="R370" s="9"/>
      <c r="S370" s="11"/>
    </row>
    <row r="371" spans="1:19" ht="15" customHeight="1">
      <c r="A371" s="13">
        <v>52474</v>
      </c>
      <c r="B371" s="8">
        <f>CHOOSE( CONTROL!$C$33, 10.3254, 10.3238) * CHOOSE(CONTROL!$C$16, $D$10, 100%, $F$10)</f>
        <v>10.3254</v>
      </c>
      <c r="C371" s="8">
        <f>CHOOSE( CONTROL!$C$33, 10.3334, 10.3318) * CHOOSE(CONTROL!$C$16, $D$10, 100%, $F$10)</f>
        <v>10.333399999999999</v>
      </c>
      <c r="D371" s="8">
        <f>CHOOSE( CONTROL!$C$33, 10.356, 10.3545) * CHOOSE( CONTROL!$C$16, $D$10, 100%, $F$10)</f>
        <v>10.356</v>
      </c>
      <c r="E371" s="12">
        <f>CHOOSE( CONTROL!$C$33, 10.3466, 10.3451) * CHOOSE( CONTROL!$C$16, $D$10, 100%, $F$10)</f>
        <v>10.3466</v>
      </c>
      <c r="F371" s="4">
        <f>CHOOSE( CONTROL!$C$33, 11.1023, 11.1007) * CHOOSE(CONTROL!$C$16, $D$10, 100%, $F$10)</f>
        <v>11.1023</v>
      </c>
      <c r="G371" s="8">
        <f>CHOOSE( CONTROL!$C$33, 10.2427, 10.2411) * CHOOSE( CONTROL!$C$16, $D$10, 100%, $F$10)</f>
        <v>10.242699999999999</v>
      </c>
      <c r="H371" s="4">
        <f>CHOOSE( CONTROL!$C$33, 11.2213, 11.2197) * CHOOSE(CONTROL!$C$16, $D$10, 100%, $F$10)</f>
        <v>11.221299999999999</v>
      </c>
      <c r="I371" s="8">
        <f>CHOOSE( CONTROL!$C$33, 10.1349, 10.1334) * CHOOSE(CONTROL!$C$16, $D$10, 100%, $F$10)</f>
        <v>10.1349</v>
      </c>
      <c r="J371" s="4">
        <f>CHOOSE( CONTROL!$C$33, 10.0127, 10.0111) * CHOOSE(CONTROL!$C$16, $D$10, 100%, $F$10)</f>
        <v>10.012700000000001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1.2927</v>
      </c>
      <c r="Q371" s="9">
        <v>20.5288</v>
      </c>
      <c r="R371" s="9"/>
      <c r="S371" s="11"/>
    </row>
    <row r="372" spans="1:19" ht="15" customHeight="1">
      <c r="A372" s="13">
        <v>52504</v>
      </c>
      <c r="B372" s="8">
        <f>CHOOSE( CONTROL!$C$33, 10.1088, 10.1072) * CHOOSE(CONTROL!$C$16, $D$10, 100%, $F$10)</f>
        <v>10.1088</v>
      </c>
      <c r="C372" s="8">
        <f>CHOOSE( CONTROL!$C$33, 10.1168, 10.1152) * CHOOSE(CONTROL!$C$16, $D$10, 100%, $F$10)</f>
        <v>10.1168</v>
      </c>
      <c r="D372" s="8">
        <f>CHOOSE( CONTROL!$C$33, 10.1394, 10.1378) * CHOOSE( CONTROL!$C$16, $D$10, 100%, $F$10)</f>
        <v>10.1394</v>
      </c>
      <c r="E372" s="12">
        <f>CHOOSE( CONTROL!$C$33, 10.13, 10.1284) * CHOOSE( CONTROL!$C$16, $D$10, 100%, $F$10)</f>
        <v>10.130000000000001</v>
      </c>
      <c r="F372" s="4">
        <f>CHOOSE( CONTROL!$C$33, 10.8857, 10.8842) * CHOOSE(CONTROL!$C$16, $D$10, 100%, $F$10)</f>
        <v>10.8857</v>
      </c>
      <c r="G372" s="8">
        <f>CHOOSE( CONTROL!$C$33, 10.029, 10.0275) * CHOOSE( CONTROL!$C$16, $D$10, 100%, $F$10)</f>
        <v>10.029</v>
      </c>
      <c r="H372" s="4">
        <f>CHOOSE( CONTROL!$C$33, 11.0077, 11.0062) * CHOOSE(CONTROL!$C$16, $D$10, 100%, $F$10)</f>
        <v>11.0077</v>
      </c>
      <c r="I372" s="8">
        <f>CHOOSE( CONTROL!$C$33, 9.9247, 9.9231) * CHOOSE(CONTROL!$C$16, $D$10, 100%, $F$10)</f>
        <v>9.9246999999999996</v>
      </c>
      <c r="J372" s="4">
        <f>CHOOSE( CONTROL!$C$33, 9.803, 9.8014) * CHOOSE(CONTROL!$C$16, $D$10, 100%, $F$10)</f>
        <v>9.8030000000000008</v>
      </c>
      <c r="K372" s="4"/>
      <c r="L372" s="9">
        <v>29.7257</v>
      </c>
      <c r="M372" s="9">
        <v>11.6745</v>
      </c>
      <c r="N372" s="9">
        <v>4.7850000000000001</v>
      </c>
      <c r="O372" s="9">
        <v>0.36199999999999999</v>
      </c>
      <c r="P372" s="9">
        <v>1.2509999999999999</v>
      </c>
      <c r="Q372" s="9">
        <v>19.866599999999998</v>
      </c>
      <c r="R372" s="9"/>
      <c r="S372" s="11"/>
    </row>
    <row r="373" spans="1:19" ht="15" customHeight="1">
      <c r="A373" s="13">
        <v>52535</v>
      </c>
      <c r="B373" s="8">
        <f>CHOOSE( CONTROL!$C$33, 10.5563, 10.5552) * CHOOSE(CONTROL!$C$16, $D$10, 100%, $F$10)</f>
        <v>10.5563</v>
      </c>
      <c r="C373" s="8">
        <f>CHOOSE( CONTROL!$C$33, 10.5617, 10.5605) * CHOOSE(CONTROL!$C$16, $D$10, 100%, $F$10)</f>
        <v>10.5617</v>
      </c>
      <c r="D373" s="8">
        <f>CHOOSE( CONTROL!$C$33, 10.5904, 10.5893) * CHOOSE( CONTROL!$C$16, $D$10, 100%, $F$10)</f>
        <v>10.590400000000001</v>
      </c>
      <c r="E373" s="12">
        <f>CHOOSE( CONTROL!$C$33, 10.5804, 10.5792) * CHOOSE( CONTROL!$C$16, $D$10, 100%, $F$10)</f>
        <v>10.580399999999999</v>
      </c>
      <c r="F373" s="4">
        <f>CHOOSE( CONTROL!$C$33, 11.335, 11.3338) * CHOOSE(CONTROL!$C$16, $D$10, 100%, $F$10)</f>
        <v>11.335000000000001</v>
      </c>
      <c r="G373" s="8">
        <f>CHOOSE( CONTROL!$C$33, 10.4721, 10.471) * CHOOSE( CONTROL!$C$16, $D$10, 100%, $F$10)</f>
        <v>10.472099999999999</v>
      </c>
      <c r="H373" s="4">
        <f>CHOOSE( CONTROL!$C$33, 11.4507, 11.4496) * CHOOSE(CONTROL!$C$16, $D$10, 100%, $F$10)</f>
        <v>11.450699999999999</v>
      </c>
      <c r="I373" s="8">
        <f>CHOOSE( CONTROL!$C$33, 10.3604, 10.3593) * CHOOSE(CONTROL!$C$16, $D$10, 100%, $F$10)</f>
        <v>10.3604</v>
      </c>
      <c r="J373" s="4">
        <f>CHOOSE( CONTROL!$C$33, 10.2379, 10.2369) * CHOOSE(CONTROL!$C$16, $D$10, 100%, $F$10)</f>
        <v>10.2379</v>
      </c>
      <c r="K373" s="4"/>
      <c r="L373" s="9">
        <v>31.095300000000002</v>
      </c>
      <c r="M373" s="9">
        <v>12.063700000000001</v>
      </c>
      <c r="N373" s="9">
        <v>4.9444999999999997</v>
      </c>
      <c r="O373" s="9">
        <v>0.37409999999999999</v>
      </c>
      <c r="P373" s="9">
        <v>1.2927</v>
      </c>
      <c r="Q373" s="9">
        <v>20.5288</v>
      </c>
      <c r="R373" s="9"/>
      <c r="S373" s="11"/>
    </row>
    <row r="374" spans="1:19" ht="15" customHeight="1">
      <c r="A374" s="13">
        <v>52565</v>
      </c>
      <c r="B374" s="8">
        <f>CHOOSE( CONTROL!$C$33, 11.3859, 11.3848) * CHOOSE(CONTROL!$C$16, $D$10, 100%, $F$10)</f>
        <v>11.385899999999999</v>
      </c>
      <c r="C374" s="8">
        <f>CHOOSE( CONTROL!$C$33, 11.391, 11.3899) * CHOOSE(CONTROL!$C$16, $D$10, 100%, $F$10)</f>
        <v>11.391</v>
      </c>
      <c r="D374" s="8">
        <f>CHOOSE( CONTROL!$C$33, 11.3707, 11.3695) * CHOOSE( CONTROL!$C$16, $D$10, 100%, $F$10)</f>
        <v>11.370699999999999</v>
      </c>
      <c r="E374" s="12">
        <f>CHOOSE( CONTROL!$C$33, 11.3776, 11.3764) * CHOOSE( CONTROL!$C$16, $D$10, 100%, $F$10)</f>
        <v>11.377599999999999</v>
      </c>
      <c r="F374" s="4">
        <f>CHOOSE( CONTROL!$C$33, 12.0488, 12.0476) * CHOOSE(CONTROL!$C$16, $D$10, 100%, $F$10)</f>
        <v>12.0488</v>
      </c>
      <c r="G374" s="8">
        <f>CHOOSE( CONTROL!$C$33, 11.263, 11.2619) * CHOOSE( CONTROL!$C$16, $D$10, 100%, $F$10)</f>
        <v>11.263</v>
      </c>
      <c r="H374" s="4">
        <f>CHOOSE( CONTROL!$C$33, 12.1545, 12.1534) * CHOOSE(CONTROL!$C$16, $D$10, 100%, $F$10)</f>
        <v>12.154500000000001</v>
      </c>
      <c r="I374" s="8">
        <f>CHOOSE( CONTROL!$C$33, 11.2123, 11.2112) * CHOOSE(CONTROL!$C$16, $D$10, 100%, $F$10)</f>
        <v>11.212300000000001</v>
      </c>
      <c r="J374" s="4">
        <f>CHOOSE( CONTROL!$C$33, 11.0416, 11.0405) * CHOOSE(CONTROL!$C$16, $D$10, 100%, $F$10)</f>
        <v>11.041600000000001</v>
      </c>
      <c r="K374" s="4"/>
      <c r="L374" s="9">
        <v>28.360600000000002</v>
      </c>
      <c r="M374" s="9">
        <v>11.6745</v>
      </c>
      <c r="N374" s="9">
        <v>4.7850000000000001</v>
      </c>
      <c r="O374" s="9">
        <v>0.36199999999999999</v>
      </c>
      <c r="P374" s="9">
        <v>1.2509999999999999</v>
      </c>
      <c r="Q374" s="9">
        <v>19.866599999999998</v>
      </c>
      <c r="R374" s="9"/>
      <c r="S374" s="11"/>
    </row>
    <row r="375" spans="1:19" ht="15" customHeight="1">
      <c r="A375" s="13">
        <v>52596</v>
      </c>
      <c r="B375" s="8">
        <f>CHOOSE( CONTROL!$C$33, 11.3652, 11.364) * CHOOSE(CONTROL!$C$16, $D$10, 100%, $F$10)</f>
        <v>11.3652</v>
      </c>
      <c r="C375" s="8">
        <f>CHOOSE( CONTROL!$C$33, 11.3703, 11.3691) * CHOOSE(CONTROL!$C$16, $D$10, 100%, $F$10)</f>
        <v>11.3703</v>
      </c>
      <c r="D375" s="8">
        <f>CHOOSE( CONTROL!$C$33, 11.3514, 11.3503) * CHOOSE( CONTROL!$C$16, $D$10, 100%, $F$10)</f>
        <v>11.3514</v>
      </c>
      <c r="E375" s="12">
        <f>CHOOSE( CONTROL!$C$33, 11.3578, 11.3566) * CHOOSE( CONTROL!$C$16, $D$10, 100%, $F$10)</f>
        <v>11.357799999999999</v>
      </c>
      <c r="F375" s="4">
        <f>CHOOSE( CONTROL!$C$33, 12.028, 12.0269) * CHOOSE(CONTROL!$C$16, $D$10, 100%, $F$10)</f>
        <v>12.028</v>
      </c>
      <c r="G375" s="8">
        <f>CHOOSE( CONTROL!$C$33, 11.2436, 11.2425) * CHOOSE( CONTROL!$C$16, $D$10, 100%, $F$10)</f>
        <v>11.243600000000001</v>
      </c>
      <c r="H375" s="4">
        <f>CHOOSE( CONTROL!$C$33, 12.1341, 12.133) * CHOOSE(CONTROL!$C$16, $D$10, 100%, $F$10)</f>
        <v>12.1341</v>
      </c>
      <c r="I375" s="8">
        <f>CHOOSE( CONTROL!$C$33, 11.1967, 11.1957) * CHOOSE(CONTROL!$C$16, $D$10, 100%, $F$10)</f>
        <v>11.1967</v>
      </c>
      <c r="J375" s="4">
        <f>CHOOSE( CONTROL!$C$33, 11.0215, 11.0205) * CHOOSE(CONTROL!$C$16, $D$10, 100%, $F$10)</f>
        <v>11.0215</v>
      </c>
      <c r="K375" s="4"/>
      <c r="L375" s="9">
        <v>29.306000000000001</v>
      </c>
      <c r="M375" s="9">
        <v>12.063700000000001</v>
      </c>
      <c r="N375" s="9">
        <v>4.9444999999999997</v>
      </c>
      <c r="O375" s="9">
        <v>0.37409999999999999</v>
      </c>
      <c r="P375" s="9">
        <v>1.2927</v>
      </c>
      <c r="Q375" s="9">
        <v>20.5288</v>
      </c>
      <c r="R375" s="9"/>
      <c r="S375" s="11"/>
    </row>
    <row r="376" spans="1:19" ht="15" customHeight="1">
      <c r="A376" s="13">
        <v>52627</v>
      </c>
      <c r="B376" s="8">
        <f>CHOOSE( CONTROL!$C$33, 11.7009, 11.6997) * CHOOSE(CONTROL!$C$16, $D$10, 100%, $F$10)</f>
        <v>11.700900000000001</v>
      </c>
      <c r="C376" s="8">
        <f>CHOOSE( CONTROL!$C$33, 11.706, 11.7048) * CHOOSE(CONTROL!$C$16, $D$10, 100%, $F$10)</f>
        <v>11.706</v>
      </c>
      <c r="D376" s="8">
        <f>CHOOSE( CONTROL!$C$33, 11.6983, 11.6972) * CHOOSE( CONTROL!$C$16, $D$10, 100%, $F$10)</f>
        <v>11.6983</v>
      </c>
      <c r="E376" s="12">
        <f>CHOOSE( CONTROL!$C$33, 11.7006, 11.6994) * CHOOSE( CONTROL!$C$16, $D$10, 100%, $F$10)</f>
        <v>11.7006</v>
      </c>
      <c r="F376" s="4">
        <f>CHOOSE( CONTROL!$C$33, 12.3637, 12.3626) * CHOOSE(CONTROL!$C$16, $D$10, 100%, $F$10)</f>
        <v>12.3637</v>
      </c>
      <c r="G376" s="8">
        <f>CHOOSE( CONTROL!$C$33, 11.5805, 11.5794) * CHOOSE( CONTROL!$C$16, $D$10, 100%, $F$10)</f>
        <v>11.580500000000001</v>
      </c>
      <c r="H376" s="4">
        <f>CHOOSE( CONTROL!$C$33, 12.4651, 12.464) * CHOOSE(CONTROL!$C$16, $D$10, 100%, $F$10)</f>
        <v>12.4651</v>
      </c>
      <c r="I376" s="8">
        <f>CHOOSE( CONTROL!$C$33, 11.5132, 11.5121) * CHOOSE(CONTROL!$C$16, $D$10, 100%, $F$10)</f>
        <v>11.513199999999999</v>
      </c>
      <c r="J376" s="4">
        <f>CHOOSE( CONTROL!$C$33, 11.3466, 11.3455) * CHOOSE(CONTROL!$C$16, $D$10, 100%, $F$10)</f>
        <v>11.3466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20.4619</v>
      </c>
      <c r="R376" s="9"/>
      <c r="S376" s="11"/>
    </row>
    <row r="377" spans="1:19" ht="15" customHeight="1">
      <c r="A377" s="13">
        <v>52655</v>
      </c>
      <c r="B377" s="8">
        <f>CHOOSE( CONTROL!$C$33, 10.9434, 10.9423) * CHOOSE(CONTROL!$C$16, $D$10, 100%, $F$10)</f>
        <v>10.9434</v>
      </c>
      <c r="C377" s="8">
        <f>CHOOSE( CONTROL!$C$33, 10.9485, 10.9474) * CHOOSE(CONTROL!$C$16, $D$10, 100%, $F$10)</f>
        <v>10.948499999999999</v>
      </c>
      <c r="D377" s="8">
        <f>CHOOSE( CONTROL!$C$33, 10.9407, 10.9395) * CHOOSE( CONTROL!$C$16, $D$10, 100%, $F$10)</f>
        <v>10.9407</v>
      </c>
      <c r="E377" s="12">
        <f>CHOOSE( CONTROL!$C$33, 10.943, 10.9418) * CHOOSE( CONTROL!$C$16, $D$10, 100%, $F$10)</f>
        <v>10.943</v>
      </c>
      <c r="F377" s="4">
        <f>CHOOSE( CONTROL!$C$33, 11.6063, 11.6051) * CHOOSE(CONTROL!$C$16, $D$10, 100%, $F$10)</f>
        <v>11.606299999999999</v>
      </c>
      <c r="G377" s="8">
        <f>CHOOSE( CONTROL!$C$33, 10.8334, 10.8323) * CHOOSE( CONTROL!$C$16, $D$10, 100%, $F$10)</f>
        <v>10.833399999999999</v>
      </c>
      <c r="H377" s="4">
        <f>CHOOSE( CONTROL!$C$33, 11.7182, 11.7171) * CHOOSE(CONTROL!$C$16, $D$10, 100%, $F$10)</f>
        <v>11.7182</v>
      </c>
      <c r="I377" s="8">
        <f>CHOOSE( CONTROL!$C$33, 10.7788, 10.7777) * CHOOSE(CONTROL!$C$16, $D$10, 100%, $F$10)</f>
        <v>10.7788</v>
      </c>
      <c r="J377" s="4">
        <f>CHOOSE( CONTROL!$C$33, 10.6131, 10.6121) * CHOOSE(CONTROL!$C$16, $D$10, 100%, $F$10)</f>
        <v>10.613099999999999</v>
      </c>
      <c r="K377" s="4"/>
      <c r="L377" s="9">
        <v>27.415299999999998</v>
      </c>
      <c r="M377" s="9">
        <v>11.285299999999999</v>
      </c>
      <c r="N377" s="9">
        <v>4.6254999999999997</v>
      </c>
      <c r="O377" s="9">
        <v>0.34989999999999999</v>
      </c>
      <c r="P377" s="9">
        <v>1.2093</v>
      </c>
      <c r="Q377" s="9">
        <v>19.1417</v>
      </c>
      <c r="R377" s="9"/>
      <c r="S377" s="11"/>
    </row>
    <row r="378" spans="1:19" ht="15" customHeight="1">
      <c r="A378" s="13">
        <v>52687</v>
      </c>
      <c r="B378" s="8">
        <f>CHOOSE( CONTROL!$C$33, 10.7101, 10.709) * CHOOSE(CONTROL!$C$16, $D$10, 100%, $F$10)</f>
        <v>10.710100000000001</v>
      </c>
      <c r="C378" s="8">
        <f>CHOOSE( CONTROL!$C$33, 10.7152, 10.7141) * CHOOSE(CONTROL!$C$16, $D$10, 100%, $F$10)</f>
        <v>10.715199999999999</v>
      </c>
      <c r="D378" s="8">
        <f>CHOOSE( CONTROL!$C$33, 10.7066, 10.7055) * CHOOSE( CONTROL!$C$16, $D$10, 100%, $F$10)</f>
        <v>10.7066</v>
      </c>
      <c r="E378" s="12">
        <f>CHOOSE( CONTROL!$C$33, 10.7092, 10.7081) * CHOOSE( CONTROL!$C$16, $D$10, 100%, $F$10)</f>
        <v>10.709199999999999</v>
      </c>
      <c r="F378" s="4">
        <f>CHOOSE( CONTROL!$C$33, 11.373, 11.3718) * CHOOSE(CONTROL!$C$16, $D$10, 100%, $F$10)</f>
        <v>11.372999999999999</v>
      </c>
      <c r="G378" s="8">
        <f>CHOOSE( CONTROL!$C$33, 10.6029, 10.6018) * CHOOSE( CONTROL!$C$16, $D$10, 100%, $F$10)</f>
        <v>10.6029</v>
      </c>
      <c r="H378" s="4">
        <f>CHOOSE( CONTROL!$C$33, 11.4881, 11.487) * CHOOSE(CONTROL!$C$16, $D$10, 100%, $F$10)</f>
        <v>11.488099999999999</v>
      </c>
      <c r="I378" s="8">
        <f>CHOOSE( CONTROL!$C$33, 10.5505, 10.5494) * CHOOSE(CONTROL!$C$16, $D$10, 100%, $F$10)</f>
        <v>10.5505</v>
      </c>
      <c r="J378" s="4">
        <f>CHOOSE( CONTROL!$C$33, 10.3872, 10.3862) * CHOOSE(CONTROL!$C$16, $D$10, 100%, $F$10)</f>
        <v>10.3872</v>
      </c>
      <c r="K378" s="4"/>
      <c r="L378" s="9">
        <v>29.306000000000001</v>
      </c>
      <c r="M378" s="9">
        <v>12.063700000000001</v>
      </c>
      <c r="N378" s="9">
        <v>4.9444999999999997</v>
      </c>
      <c r="O378" s="9">
        <v>0.37409999999999999</v>
      </c>
      <c r="P378" s="9">
        <v>1.2927</v>
      </c>
      <c r="Q378" s="9">
        <v>20.4619</v>
      </c>
      <c r="R378" s="9"/>
      <c r="S378" s="11"/>
    </row>
    <row r="379" spans="1:19" ht="15" customHeight="1">
      <c r="A379" s="13">
        <v>52717</v>
      </c>
      <c r="B379" s="8">
        <f>CHOOSE( CONTROL!$C$33, 10.8739, 10.8728) * CHOOSE(CONTROL!$C$16, $D$10, 100%, $F$10)</f>
        <v>10.873900000000001</v>
      </c>
      <c r="C379" s="8">
        <f>CHOOSE( CONTROL!$C$33, 10.8784, 10.8773) * CHOOSE(CONTROL!$C$16, $D$10, 100%, $F$10)</f>
        <v>10.878399999999999</v>
      </c>
      <c r="D379" s="8">
        <f>CHOOSE( CONTROL!$C$33, 10.9073, 10.9062) * CHOOSE( CONTROL!$C$16, $D$10, 100%, $F$10)</f>
        <v>10.907299999999999</v>
      </c>
      <c r="E379" s="12">
        <f>CHOOSE( CONTROL!$C$33, 10.8972, 10.8961) * CHOOSE( CONTROL!$C$16, $D$10, 100%, $F$10)</f>
        <v>10.8972</v>
      </c>
      <c r="F379" s="4">
        <f>CHOOSE( CONTROL!$C$33, 11.6522, 11.651) * CHOOSE(CONTROL!$C$16, $D$10, 100%, $F$10)</f>
        <v>11.652200000000001</v>
      </c>
      <c r="G379" s="8">
        <f>CHOOSE( CONTROL!$C$33, 10.7846, 10.7835) * CHOOSE( CONTROL!$C$16, $D$10, 100%, $F$10)</f>
        <v>10.784599999999999</v>
      </c>
      <c r="H379" s="4">
        <f>CHOOSE( CONTROL!$C$33, 11.7634, 11.7623) * CHOOSE(CONTROL!$C$16, $D$10, 100%, $F$10)</f>
        <v>11.763400000000001</v>
      </c>
      <c r="I379" s="8">
        <f>CHOOSE( CONTROL!$C$33, 10.6664, 10.6654) * CHOOSE(CONTROL!$C$16, $D$10, 100%, $F$10)</f>
        <v>10.666399999999999</v>
      </c>
      <c r="J379" s="4">
        <f>CHOOSE( CONTROL!$C$33, 10.5451, 10.544) * CHOOSE(CONTROL!$C$16, $D$10, 100%, $F$10)</f>
        <v>10.5451</v>
      </c>
      <c r="K379" s="4"/>
      <c r="L379" s="9">
        <v>30.092199999999998</v>
      </c>
      <c r="M379" s="9">
        <v>11.6745</v>
      </c>
      <c r="N379" s="9">
        <v>4.7850000000000001</v>
      </c>
      <c r="O379" s="9">
        <v>0.36199999999999999</v>
      </c>
      <c r="P379" s="9">
        <v>1.2509999999999999</v>
      </c>
      <c r="Q379" s="9">
        <v>19.8018</v>
      </c>
      <c r="R379" s="9"/>
      <c r="S379" s="11"/>
    </row>
    <row r="380" spans="1:19" ht="15" customHeight="1">
      <c r="A380" s="13">
        <v>52748</v>
      </c>
      <c r="B380" s="8">
        <f>CHOOSE( CONTROL!$C$33, 11.1658, 11.1643) * CHOOSE(CONTROL!$C$16, $D$10, 100%, $F$10)</f>
        <v>11.165800000000001</v>
      </c>
      <c r="C380" s="8">
        <f>CHOOSE( CONTROL!$C$33, 11.1738, 11.1723) * CHOOSE(CONTROL!$C$16, $D$10, 100%, $F$10)</f>
        <v>11.1738</v>
      </c>
      <c r="D380" s="8">
        <f>CHOOSE( CONTROL!$C$33, 11.1961, 11.1945) * CHOOSE( CONTROL!$C$16, $D$10, 100%, $F$10)</f>
        <v>11.196099999999999</v>
      </c>
      <c r="E380" s="12">
        <f>CHOOSE( CONTROL!$C$33, 11.1868, 11.1852) * CHOOSE( CONTROL!$C$16, $D$10, 100%, $F$10)</f>
        <v>11.1868</v>
      </c>
      <c r="F380" s="4">
        <f>CHOOSE( CONTROL!$C$33, 11.9428, 11.9412) * CHOOSE(CONTROL!$C$16, $D$10, 100%, $F$10)</f>
        <v>11.9428</v>
      </c>
      <c r="G380" s="8">
        <f>CHOOSE( CONTROL!$C$33, 11.071, 11.0695) * CHOOSE( CONTROL!$C$16, $D$10, 100%, $F$10)</f>
        <v>11.071</v>
      </c>
      <c r="H380" s="4">
        <f>CHOOSE( CONTROL!$C$33, 12.05, 12.0484) * CHOOSE(CONTROL!$C$16, $D$10, 100%, $F$10)</f>
        <v>12.05</v>
      </c>
      <c r="I380" s="8">
        <f>CHOOSE( CONTROL!$C$33, 10.9476, 10.9461) * CHOOSE(CONTROL!$C$16, $D$10, 100%, $F$10)</f>
        <v>10.9476</v>
      </c>
      <c r="J380" s="4">
        <f>CHOOSE( CONTROL!$C$33, 10.8265, 10.825) * CHOOSE(CONTROL!$C$16, $D$10, 100%, $F$10)</f>
        <v>10.826499999999999</v>
      </c>
      <c r="K380" s="4"/>
      <c r="L380" s="9">
        <v>30.7165</v>
      </c>
      <c r="M380" s="9">
        <v>12.063700000000001</v>
      </c>
      <c r="N380" s="9">
        <v>4.9444999999999997</v>
      </c>
      <c r="O380" s="9">
        <v>0.37409999999999999</v>
      </c>
      <c r="P380" s="9">
        <v>1.2927</v>
      </c>
      <c r="Q380" s="9">
        <v>20.4619</v>
      </c>
      <c r="R380" s="9"/>
      <c r="S380" s="11"/>
    </row>
    <row r="381" spans="1:19" ht="15" customHeight="1">
      <c r="A381" s="13">
        <v>52778</v>
      </c>
      <c r="B381" s="8">
        <f>CHOOSE( CONTROL!$C$33, 10.9861, 10.9845) * CHOOSE(CONTROL!$C$16, $D$10, 100%, $F$10)</f>
        <v>10.9861</v>
      </c>
      <c r="C381" s="8">
        <f>CHOOSE( CONTROL!$C$33, 10.9941, 10.9925) * CHOOSE(CONTROL!$C$16, $D$10, 100%, $F$10)</f>
        <v>10.9941</v>
      </c>
      <c r="D381" s="8">
        <f>CHOOSE( CONTROL!$C$33, 11.0165, 11.0149) * CHOOSE( CONTROL!$C$16, $D$10, 100%, $F$10)</f>
        <v>11.016500000000001</v>
      </c>
      <c r="E381" s="12">
        <f>CHOOSE( CONTROL!$C$33, 11.0072, 11.0056) * CHOOSE( CONTROL!$C$16, $D$10, 100%, $F$10)</f>
        <v>11.007199999999999</v>
      </c>
      <c r="F381" s="4">
        <f>CHOOSE( CONTROL!$C$33, 11.763, 11.7615) * CHOOSE(CONTROL!$C$16, $D$10, 100%, $F$10)</f>
        <v>11.763</v>
      </c>
      <c r="G381" s="8">
        <f>CHOOSE( CONTROL!$C$33, 10.8939, 10.8924) * CHOOSE( CONTROL!$C$16, $D$10, 100%, $F$10)</f>
        <v>10.8939</v>
      </c>
      <c r="H381" s="4">
        <f>CHOOSE( CONTROL!$C$33, 11.8728, 11.8712) * CHOOSE(CONTROL!$C$16, $D$10, 100%, $F$10)</f>
        <v>11.8728</v>
      </c>
      <c r="I381" s="8">
        <f>CHOOSE( CONTROL!$C$33, 10.774, 10.7725) * CHOOSE(CONTROL!$C$16, $D$10, 100%, $F$10)</f>
        <v>10.773999999999999</v>
      </c>
      <c r="J381" s="4">
        <f>CHOOSE( CONTROL!$C$33, 10.6524, 10.6509) * CHOOSE(CONTROL!$C$16, $D$10, 100%, $F$10)</f>
        <v>10.6524</v>
      </c>
      <c r="K381" s="4"/>
      <c r="L381" s="9">
        <v>29.7257</v>
      </c>
      <c r="M381" s="9">
        <v>11.6745</v>
      </c>
      <c r="N381" s="9">
        <v>4.7850000000000001</v>
      </c>
      <c r="O381" s="9">
        <v>0.36199999999999999</v>
      </c>
      <c r="P381" s="9">
        <v>1.2509999999999999</v>
      </c>
      <c r="Q381" s="9">
        <v>19.8018</v>
      </c>
      <c r="R381" s="9"/>
      <c r="S381" s="11"/>
    </row>
    <row r="382" spans="1:19" ht="15" customHeight="1">
      <c r="A382" s="13">
        <v>52809</v>
      </c>
      <c r="B382" s="8">
        <f>CHOOSE( CONTROL!$C$33, 11.4594, 11.4579) * CHOOSE(CONTROL!$C$16, $D$10, 100%, $F$10)</f>
        <v>11.4594</v>
      </c>
      <c r="C382" s="8">
        <f>CHOOSE( CONTROL!$C$33, 11.4674, 11.4658) * CHOOSE(CONTROL!$C$16, $D$10, 100%, $F$10)</f>
        <v>11.4674</v>
      </c>
      <c r="D382" s="8">
        <f>CHOOSE( CONTROL!$C$33, 11.49, 11.4885) * CHOOSE( CONTROL!$C$16, $D$10, 100%, $F$10)</f>
        <v>11.49</v>
      </c>
      <c r="E382" s="12">
        <f>CHOOSE( CONTROL!$C$33, 11.4806, 11.4791) * CHOOSE( CONTROL!$C$16, $D$10, 100%, $F$10)</f>
        <v>11.480600000000001</v>
      </c>
      <c r="F382" s="4">
        <f>CHOOSE( CONTROL!$C$33, 12.2363, 12.2348) * CHOOSE(CONTROL!$C$16, $D$10, 100%, $F$10)</f>
        <v>12.2363</v>
      </c>
      <c r="G382" s="8">
        <f>CHOOSE( CONTROL!$C$33, 11.3608, 11.3593) * CHOOSE( CONTROL!$C$16, $D$10, 100%, $F$10)</f>
        <v>11.360799999999999</v>
      </c>
      <c r="H382" s="4">
        <f>CHOOSE( CONTROL!$C$33, 12.3395, 12.3379) * CHOOSE(CONTROL!$C$16, $D$10, 100%, $F$10)</f>
        <v>12.339499999999999</v>
      </c>
      <c r="I382" s="8">
        <f>CHOOSE( CONTROL!$C$33, 11.2334, 11.2318) * CHOOSE(CONTROL!$C$16, $D$10, 100%, $F$10)</f>
        <v>11.2334</v>
      </c>
      <c r="J382" s="4">
        <f>CHOOSE( CONTROL!$C$33, 11.1108, 11.1092) * CHOOSE(CONTROL!$C$16, $D$10, 100%, $F$10)</f>
        <v>11.110799999999999</v>
      </c>
      <c r="K382" s="4"/>
      <c r="L382" s="9">
        <v>30.7165</v>
      </c>
      <c r="M382" s="9">
        <v>12.063700000000001</v>
      </c>
      <c r="N382" s="9">
        <v>4.9444999999999997</v>
      </c>
      <c r="O382" s="9">
        <v>0.37409999999999999</v>
      </c>
      <c r="P382" s="9">
        <v>1.2927</v>
      </c>
      <c r="Q382" s="9">
        <v>20.4619</v>
      </c>
      <c r="R382" s="9"/>
      <c r="S382" s="11"/>
    </row>
    <row r="383" spans="1:19" ht="15" customHeight="1">
      <c r="A383" s="13">
        <v>52840</v>
      </c>
      <c r="B383" s="8">
        <f>CHOOSE( CONTROL!$C$33, 10.5738, 10.5722) * CHOOSE(CONTROL!$C$16, $D$10, 100%, $F$10)</f>
        <v>10.5738</v>
      </c>
      <c r="C383" s="8">
        <f>CHOOSE( CONTROL!$C$33, 10.5818, 10.5802) * CHOOSE(CONTROL!$C$16, $D$10, 100%, $F$10)</f>
        <v>10.581799999999999</v>
      </c>
      <c r="D383" s="8">
        <f>CHOOSE( CONTROL!$C$33, 10.6045, 10.6029) * CHOOSE( CONTROL!$C$16, $D$10, 100%, $F$10)</f>
        <v>10.6045</v>
      </c>
      <c r="E383" s="12">
        <f>CHOOSE( CONTROL!$C$33, 10.5951, 10.5935) * CHOOSE( CONTROL!$C$16, $D$10, 100%, $F$10)</f>
        <v>10.5951</v>
      </c>
      <c r="F383" s="4">
        <f>CHOOSE( CONTROL!$C$33, 11.3507, 11.3491) * CHOOSE(CONTROL!$C$16, $D$10, 100%, $F$10)</f>
        <v>11.3507</v>
      </c>
      <c r="G383" s="8">
        <f>CHOOSE( CONTROL!$C$33, 10.4876, 10.4861) * CHOOSE( CONTROL!$C$16, $D$10, 100%, $F$10)</f>
        <v>10.4876</v>
      </c>
      <c r="H383" s="4">
        <f>CHOOSE( CONTROL!$C$33, 11.4662, 11.4647) * CHOOSE(CONTROL!$C$16, $D$10, 100%, $F$10)</f>
        <v>11.466200000000001</v>
      </c>
      <c r="I383" s="8">
        <f>CHOOSE( CONTROL!$C$33, 10.3756, 10.374) * CHOOSE(CONTROL!$C$16, $D$10, 100%, $F$10)</f>
        <v>10.3756</v>
      </c>
      <c r="J383" s="4">
        <f>CHOOSE( CONTROL!$C$33, 10.2532, 10.2517) * CHOOSE(CONTROL!$C$16, $D$10, 100%, $F$10)</f>
        <v>10.2532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1.2927</v>
      </c>
      <c r="Q383" s="9">
        <v>20.4619</v>
      </c>
      <c r="R383" s="9"/>
      <c r="S383" s="11"/>
    </row>
    <row r="384" spans="1:19" ht="15" customHeight="1">
      <c r="A384" s="13">
        <v>52870</v>
      </c>
      <c r="B384" s="8">
        <f>CHOOSE( CONTROL!$C$33, 10.352, 10.3505) * CHOOSE(CONTROL!$C$16, $D$10, 100%, $F$10)</f>
        <v>10.352</v>
      </c>
      <c r="C384" s="8">
        <f>CHOOSE( CONTROL!$C$33, 10.36, 10.3585) * CHOOSE(CONTROL!$C$16, $D$10, 100%, $F$10)</f>
        <v>10.36</v>
      </c>
      <c r="D384" s="8">
        <f>CHOOSE( CONTROL!$C$33, 10.3826, 10.381) * CHOOSE( CONTROL!$C$16, $D$10, 100%, $F$10)</f>
        <v>10.3826</v>
      </c>
      <c r="E384" s="12">
        <f>CHOOSE( CONTROL!$C$33, 10.3732, 10.3716) * CHOOSE( CONTROL!$C$16, $D$10, 100%, $F$10)</f>
        <v>10.373200000000001</v>
      </c>
      <c r="F384" s="4">
        <f>CHOOSE( CONTROL!$C$33, 11.1289, 11.1274) * CHOOSE(CONTROL!$C$16, $D$10, 100%, $F$10)</f>
        <v>11.1289</v>
      </c>
      <c r="G384" s="8">
        <f>CHOOSE( CONTROL!$C$33, 10.2688, 10.2673) * CHOOSE( CONTROL!$C$16, $D$10, 100%, $F$10)</f>
        <v>10.268800000000001</v>
      </c>
      <c r="H384" s="4">
        <f>CHOOSE( CONTROL!$C$33, 11.2475, 11.246) * CHOOSE(CONTROL!$C$16, $D$10, 100%, $F$10)</f>
        <v>11.2475</v>
      </c>
      <c r="I384" s="8">
        <f>CHOOSE( CONTROL!$C$33, 10.1603, 10.1588) * CHOOSE(CONTROL!$C$16, $D$10, 100%, $F$10)</f>
        <v>10.160299999999999</v>
      </c>
      <c r="J384" s="4">
        <f>CHOOSE( CONTROL!$C$33, 10.0385, 10.0369) * CHOOSE(CONTROL!$C$16, $D$10, 100%, $F$10)</f>
        <v>10.038500000000001</v>
      </c>
      <c r="K384" s="4"/>
      <c r="L384" s="9">
        <v>29.7257</v>
      </c>
      <c r="M384" s="9">
        <v>11.6745</v>
      </c>
      <c r="N384" s="9">
        <v>4.7850000000000001</v>
      </c>
      <c r="O384" s="9">
        <v>0.36199999999999999</v>
      </c>
      <c r="P384" s="9">
        <v>1.2509999999999999</v>
      </c>
      <c r="Q384" s="9">
        <v>19.8018</v>
      </c>
      <c r="R384" s="9"/>
      <c r="S384" s="11"/>
    </row>
    <row r="385" spans="1:19" ht="15" customHeight="1">
      <c r="A385" s="13">
        <v>52901</v>
      </c>
      <c r="B385" s="8">
        <f>CHOOSE( CONTROL!$C$33, 10.8103, 10.8092) * CHOOSE(CONTROL!$C$16, $D$10, 100%, $F$10)</f>
        <v>10.8103</v>
      </c>
      <c r="C385" s="8">
        <f>CHOOSE( CONTROL!$C$33, 10.8157, 10.8146) * CHOOSE(CONTROL!$C$16, $D$10, 100%, $F$10)</f>
        <v>10.8157</v>
      </c>
      <c r="D385" s="8">
        <f>CHOOSE( CONTROL!$C$33, 10.8445, 10.8433) * CHOOSE( CONTROL!$C$16, $D$10, 100%, $F$10)</f>
        <v>10.8445</v>
      </c>
      <c r="E385" s="12">
        <f>CHOOSE( CONTROL!$C$33, 10.8344, 10.8333) * CHOOSE( CONTROL!$C$16, $D$10, 100%, $F$10)</f>
        <v>10.8344</v>
      </c>
      <c r="F385" s="4">
        <f>CHOOSE( CONTROL!$C$33, 11.589, 11.5878) * CHOOSE(CONTROL!$C$16, $D$10, 100%, $F$10)</f>
        <v>11.589</v>
      </c>
      <c r="G385" s="8">
        <f>CHOOSE( CONTROL!$C$33, 10.7225, 10.7214) * CHOOSE( CONTROL!$C$16, $D$10, 100%, $F$10)</f>
        <v>10.7225</v>
      </c>
      <c r="H385" s="4">
        <f>CHOOSE( CONTROL!$C$33, 11.7011, 11.7) * CHOOSE(CONTROL!$C$16, $D$10, 100%, $F$10)</f>
        <v>11.7011</v>
      </c>
      <c r="I385" s="8">
        <f>CHOOSE( CONTROL!$C$33, 10.6065, 10.6054) * CHOOSE(CONTROL!$C$16, $D$10, 100%, $F$10)</f>
        <v>10.6065</v>
      </c>
      <c r="J385" s="4">
        <f>CHOOSE( CONTROL!$C$33, 10.4839, 10.4828) * CHOOSE(CONTROL!$C$16, $D$10, 100%, $F$10)</f>
        <v>10.4839</v>
      </c>
      <c r="K385" s="4"/>
      <c r="L385" s="9">
        <v>31.095300000000002</v>
      </c>
      <c r="M385" s="9">
        <v>12.063700000000001</v>
      </c>
      <c r="N385" s="9">
        <v>4.9444999999999997</v>
      </c>
      <c r="O385" s="9">
        <v>0.37409999999999999</v>
      </c>
      <c r="P385" s="9">
        <v>1.2927</v>
      </c>
      <c r="Q385" s="9">
        <v>20.4619</v>
      </c>
      <c r="R385" s="9"/>
      <c r="S385" s="11"/>
    </row>
    <row r="386" spans="1:19" ht="15" customHeight="1">
      <c r="A386" s="13">
        <v>52931</v>
      </c>
      <c r="B386" s="8">
        <f>CHOOSE( CONTROL!$C$33, 11.6599, 11.6587) * CHOOSE(CONTROL!$C$16, $D$10, 100%, $F$10)</f>
        <v>11.6599</v>
      </c>
      <c r="C386" s="8">
        <f>CHOOSE( CONTROL!$C$33, 11.665, 11.6638) * CHOOSE(CONTROL!$C$16, $D$10, 100%, $F$10)</f>
        <v>11.664999999999999</v>
      </c>
      <c r="D386" s="8">
        <f>CHOOSE( CONTROL!$C$33, 11.6446, 11.6435) * CHOOSE( CONTROL!$C$16, $D$10, 100%, $F$10)</f>
        <v>11.644600000000001</v>
      </c>
      <c r="E386" s="12">
        <f>CHOOSE( CONTROL!$C$33, 11.6515, 11.6504) * CHOOSE( CONTROL!$C$16, $D$10, 100%, $F$10)</f>
        <v>11.6515</v>
      </c>
      <c r="F386" s="4">
        <f>CHOOSE( CONTROL!$C$33, 12.3227, 12.3216) * CHOOSE(CONTROL!$C$16, $D$10, 100%, $F$10)</f>
        <v>12.322699999999999</v>
      </c>
      <c r="G386" s="8">
        <f>CHOOSE( CONTROL!$C$33, 11.5331, 11.532) * CHOOSE( CONTROL!$C$16, $D$10, 100%, $F$10)</f>
        <v>11.533099999999999</v>
      </c>
      <c r="H386" s="4">
        <f>CHOOSE( CONTROL!$C$33, 12.4247, 12.4235) * CHOOSE(CONTROL!$C$16, $D$10, 100%, $F$10)</f>
        <v>12.4247</v>
      </c>
      <c r="I386" s="8">
        <f>CHOOSE( CONTROL!$C$33, 11.4777, 11.4766) * CHOOSE(CONTROL!$C$16, $D$10, 100%, $F$10)</f>
        <v>11.4777</v>
      </c>
      <c r="J386" s="4">
        <f>CHOOSE( CONTROL!$C$33, 11.3069, 11.3058) * CHOOSE(CONTROL!$C$16, $D$10, 100%, $F$10)</f>
        <v>11.306900000000001</v>
      </c>
      <c r="K386" s="4"/>
      <c r="L386" s="9">
        <v>28.360600000000002</v>
      </c>
      <c r="M386" s="9">
        <v>11.6745</v>
      </c>
      <c r="N386" s="9">
        <v>4.7850000000000001</v>
      </c>
      <c r="O386" s="9">
        <v>0.36199999999999999</v>
      </c>
      <c r="P386" s="9">
        <v>1.2509999999999999</v>
      </c>
      <c r="Q386" s="9">
        <v>19.8018</v>
      </c>
      <c r="R386" s="9"/>
      <c r="S386" s="11"/>
    </row>
    <row r="387" spans="1:19" ht="15" customHeight="1">
      <c r="A387" s="13">
        <v>52962</v>
      </c>
      <c r="B387" s="8">
        <f>CHOOSE( CONTROL!$C$33, 11.6386, 11.6375) * CHOOSE(CONTROL!$C$16, $D$10, 100%, $F$10)</f>
        <v>11.6386</v>
      </c>
      <c r="C387" s="8">
        <f>CHOOSE( CONTROL!$C$33, 11.6437, 11.6426) * CHOOSE(CONTROL!$C$16, $D$10, 100%, $F$10)</f>
        <v>11.643700000000001</v>
      </c>
      <c r="D387" s="8">
        <f>CHOOSE( CONTROL!$C$33, 11.6249, 11.6237) * CHOOSE( CONTROL!$C$16, $D$10, 100%, $F$10)</f>
        <v>11.6249</v>
      </c>
      <c r="E387" s="12">
        <f>CHOOSE( CONTROL!$C$33, 11.6312, 11.6301) * CHOOSE( CONTROL!$C$16, $D$10, 100%, $F$10)</f>
        <v>11.6312</v>
      </c>
      <c r="F387" s="4">
        <f>CHOOSE( CONTROL!$C$33, 12.3015, 12.3004) * CHOOSE(CONTROL!$C$16, $D$10, 100%, $F$10)</f>
        <v>12.301500000000001</v>
      </c>
      <c r="G387" s="8">
        <f>CHOOSE( CONTROL!$C$33, 11.5133, 11.5121) * CHOOSE( CONTROL!$C$16, $D$10, 100%, $F$10)</f>
        <v>11.513299999999999</v>
      </c>
      <c r="H387" s="4">
        <f>CHOOSE( CONTROL!$C$33, 12.4037, 12.4026) * CHOOSE(CONTROL!$C$16, $D$10, 100%, $F$10)</f>
        <v>12.403700000000001</v>
      </c>
      <c r="I387" s="8">
        <f>CHOOSE( CONTROL!$C$33, 11.4617, 11.4606) * CHOOSE(CONTROL!$C$16, $D$10, 100%, $F$10)</f>
        <v>11.4617</v>
      </c>
      <c r="J387" s="4">
        <f>CHOOSE( CONTROL!$C$33, 11.2863, 11.2853) * CHOOSE(CONTROL!$C$16, $D$10, 100%, $F$10)</f>
        <v>11.286300000000001</v>
      </c>
      <c r="K387" s="4"/>
      <c r="L387" s="9">
        <v>29.306000000000001</v>
      </c>
      <c r="M387" s="9">
        <v>12.063700000000001</v>
      </c>
      <c r="N387" s="9">
        <v>4.9444999999999997</v>
      </c>
      <c r="O387" s="9">
        <v>0.37409999999999999</v>
      </c>
      <c r="P387" s="9">
        <v>1.2927</v>
      </c>
      <c r="Q387" s="9">
        <v>20.4619</v>
      </c>
      <c r="R387" s="9"/>
      <c r="S387" s="11"/>
    </row>
    <row r="388" spans="1:19" ht="15" customHeight="1">
      <c r="A388" s="13">
        <v>52993</v>
      </c>
      <c r="B388" s="8">
        <f>CHOOSE( CONTROL!$C$33, 11.9824, 11.9813) * CHOOSE(CONTROL!$C$16, $D$10, 100%, $F$10)</f>
        <v>11.9824</v>
      </c>
      <c r="C388" s="8">
        <f>CHOOSE( CONTROL!$C$33, 11.9875, 11.9864) * CHOOSE(CONTROL!$C$16, $D$10, 100%, $F$10)</f>
        <v>11.987500000000001</v>
      </c>
      <c r="D388" s="8">
        <f>CHOOSE( CONTROL!$C$33, 11.9799, 11.9787) * CHOOSE( CONTROL!$C$16, $D$10, 100%, $F$10)</f>
        <v>11.979900000000001</v>
      </c>
      <c r="E388" s="12">
        <f>CHOOSE( CONTROL!$C$33, 11.9821, 11.981) * CHOOSE( CONTROL!$C$16, $D$10, 100%, $F$10)</f>
        <v>11.982100000000001</v>
      </c>
      <c r="F388" s="4">
        <f>CHOOSE( CONTROL!$C$33, 12.6453, 12.6441) * CHOOSE(CONTROL!$C$16, $D$10, 100%, $F$10)</f>
        <v>12.645300000000001</v>
      </c>
      <c r="G388" s="8">
        <f>CHOOSE( CONTROL!$C$33, 11.8581, 11.857) * CHOOSE( CONTROL!$C$16, $D$10, 100%, $F$10)</f>
        <v>11.8581</v>
      </c>
      <c r="H388" s="4">
        <f>CHOOSE( CONTROL!$C$33, 12.7427, 12.7416) * CHOOSE(CONTROL!$C$16, $D$10, 100%, $F$10)</f>
        <v>12.742699999999999</v>
      </c>
      <c r="I388" s="8">
        <f>CHOOSE( CONTROL!$C$33, 11.786, 11.7849) * CHOOSE(CONTROL!$C$16, $D$10, 100%, $F$10)</f>
        <v>11.786</v>
      </c>
      <c r="J388" s="4">
        <f>CHOOSE( CONTROL!$C$33, 11.6192, 11.6181) * CHOOSE(CONTROL!$C$16, $D$10, 100%, $F$10)</f>
        <v>11.619199999999999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20.396799999999999</v>
      </c>
      <c r="R388" s="9"/>
      <c r="S388" s="11"/>
    </row>
    <row r="389" spans="1:19" ht="15" customHeight="1">
      <c r="A389" s="13">
        <v>53021</v>
      </c>
      <c r="B389" s="8">
        <f>CHOOSE( CONTROL!$C$33, 11.2067, 11.2056) * CHOOSE(CONTROL!$C$16, $D$10, 100%, $F$10)</f>
        <v>11.2067</v>
      </c>
      <c r="C389" s="8">
        <f>CHOOSE( CONTROL!$C$33, 11.2118, 11.2107) * CHOOSE(CONTROL!$C$16, $D$10, 100%, $F$10)</f>
        <v>11.2118</v>
      </c>
      <c r="D389" s="8">
        <f>CHOOSE( CONTROL!$C$33, 11.204, 11.2029) * CHOOSE( CONTROL!$C$16, $D$10, 100%, $F$10)</f>
        <v>11.204000000000001</v>
      </c>
      <c r="E389" s="12">
        <f>CHOOSE( CONTROL!$C$33, 11.2063, 11.2052) * CHOOSE( CONTROL!$C$16, $D$10, 100%, $F$10)</f>
        <v>11.206300000000001</v>
      </c>
      <c r="F389" s="4">
        <f>CHOOSE( CONTROL!$C$33, 11.8696, 11.8685) * CHOOSE(CONTROL!$C$16, $D$10, 100%, $F$10)</f>
        <v>11.8696</v>
      </c>
      <c r="G389" s="8">
        <f>CHOOSE( CONTROL!$C$33, 11.0931, 11.092) * CHOOSE( CONTROL!$C$16, $D$10, 100%, $F$10)</f>
        <v>11.0931</v>
      </c>
      <c r="H389" s="4">
        <f>CHOOSE( CONTROL!$C$33, 11.9778, 11.9767) * CHOOSE(CONTROL!$C$16, $D$10, 100%, $F$10)</f>
        <v>11.9778</v>
      </c>
      <c r="I389" s="8">
        <f>CHOOSE( CONTROL!$C$33, 11.0339, 11.0328) * CHOOSE(CONTROL!$C$16, $D$10, 100%, $F$10)</f>
        <v>11.033899999999999</v>
      </c>
      <c r="J389" s="4">
        <f>CHOOSE( CONTROL!$C$33, 10.8681, 10.867) * CHOOSE(CONTROL!$C$16, $D$10, 100%, $F$10)</f>
        <v>10.8681</v>
      </c>
      <c r="K389" s="4"/>
      <c r="L389" s="9">
        <v>26.469899999999999</v>
      </c>
      <c r="M389" s="9">
        <v>10.8962</v>
      </c>
      <c r="N389" s="9">
        <v>4.4660000000000002</v>
      </c>
      <c r="O389" s="9">
        <v>0.33789999999999998</v>
      </c>
      <c r="P389" s="9">
        <v>1.1676</v>
      </c>
      <c r="Q389" s="9">
        <v>18.422899999999998</v>
      </c>
      <c r="R389" s="9"/>
      <c r="S389" s="11"/>
    </row>
    <row r="390" spans="1:19" ht="15" customHeight="1">
      <c r="A390" s="13">
        <v>53052</v>
      </c>
      <c r="B390" s="8">
        <f>CHOOSE( CONTROL!$C$33, 10.9678, 10.9667) * CHOOSE(CONTROL!$C$16, $D$10, 100%, $F$10)</f>
        <v>10.9678</v>
      </c>
      <c r="C390" s="8">
        <f>CHOOSE( CONTROL!$C$33, 10.9729, 10.9718) * CHOOSE(CONTROL!$C$16, $D$10, 100%, $F$10)</f>
        <v>10.972899999999999</v>
      </c>
      <c r="D390" s="8">
        <f>CHOOSE( CONTROL!$C$33, 10.9644, 10.9632) * CHOOSE( CONTROL!$C$16, $D$10, 100%, $F$10)</f>
        <v>10.964399999999999</v>
      </c>
      <c r="E390" s="12">
        <f>CHOOSE( CONTROL!$C$33, 10.967, 10.9658) * CHOOSE( CONTROL!$C$16, $D$10, 100%, $F$10)</f>
        <v>10.967000000000001</v>
      </c>
      <c r="F390" s="4">
        <f>CHOOSE( CONTROL!$C$33, 11.6307, 11.6296) * CHOOSE(CONTROL!$C$16, $D$10, 100%, $F$10)</f>
        <v>11.630699999999999</v>
      </c>
      <c r="G390" s="8">
        <f>CHOOSE( CONTROL!$C$33, 10.857, 10.8559) * CHOOSE( CONTROL!$C$16, $D$10, 100%, $F$10)</f>
        <v>10.856999999999999</v>
      </c>
      <c r="H390" s="4">
        <f>CHOOSE( CONTROL!$C$33, 11.7423, 11.7412) * CHOOSE(CONTROL!$C$16, $D$10, 100%, $F$10)</f>
        <v>11.7423</v>
      </c>
      <c r="I390" s="8">
        <f>CHOOSE( CONTROL!$C$33, 10.8002, 10.7991) * CHOOSE(CONTROL!$C$16, $D$10, 100%, $F$10)</f>
        <v>10.8002</v>
      </c>
      <c r="J390" s="4">
        <f>CHOOSE( CONTROL!$C$33, 10.6368, 10.6357) * CHOOSE(CONTROL!$C$16, $D$10, 100%, $F$10)</f>
        <v>10.636799999999999</v>
      </c>
      <c r="K390" s="4"/>
      <c r="L390" s="9">
        <v>29.306000000000001</v>
      </c>
      <c r="M390" s="9">
        <v>12.063700000000001</v>
      </c>
      <c r="N390" s="9">
        <v>4.9444999999999997</v>
      </c>
      <c r="O390" s="9">
        <v>0.37409999999999999</v>
      </c>
      <c r="P390" s="9">
        <v>1.2927</v>
      </c>
      <c r="Q390" s="9">
        <v>20.396799999999999</v>
      </c>
      <c r="R390" s="9"/>
      <c r="S390" s="11"/>
    </row>
    <row r="391" spans="1:19" ht="15" customHeight="1">
      <c r="A391" s="13">
        <v>53082</v>
      </c>
      <c r="B391" s="8">
        <f>CHOOSE( CONTROL!$C$33, 11.1355, 11.1344) * CHOOSE(CONTROL!$C$16, $D$10, 100%, $F$10)</f>
        <v>11.1355</v>
      </c>
      <c r="C391" s="8">
        <f>CHOOSE( CONTROL!$C$33, 11.14, 11.1389) * CHOOSE(CONTROL!$C$16, $D$10, 100%, $F$10)</f>
        <v>11.14</v>
      </c>
      <c r="D391" s="8">
        <f>CHOOSE( CONTROL!$C$33, 11.1689, 11.1678) * CHOOSE( CONTROL!$C$16, $D$10, 100%, $F$10)</f>
        <v>11.168900000000001</v>
      </c>
      <c r="E391" s="12">
        <f>CHOOSE( CONTROL!$C$33, 11.1588, 11.1577) * CHOOSE( CONTROL!$C$16, $D$10, 100%, $F$10)</f>
        <v>11.158799999999999</v>
      </c>
      <c r="F391" s="4">
        <f>CHOOSE( CONTROL!$C$33, 11.9138, 11.9127) * CHOOSE(CONTROL!$C$16, $D$10, 100%, $F$10)</f>
        <v>11.9138</v>
      </c>
      <c r="G391" s="8">
        <f>CHOOSE( CONTROL!$C$33, 11.0425, 11.0414) * CHOOSE( CONTROL!$C$16, $D$10, 100%, $F$10)</f>
        <v>11.0425</v>
      </c>
      <c r="H391" s="4">
        <f>CHOOSE( CONTROL!$C$33, 12.0214, 12.0203) * CHOOSE(CONTROL!$C$16, $D$10, 100%, $F$10)</f>
        <v>12.0214</v>
      </c>
      <c r="I391" s="8">
        <f>CHOOSE( CONTROL!$C$33, 10.9199, 10.9188) * CHOOSE(CONTROL!$C$16, $D$10, 100%, $F$10)</f>
        <v>10.9199</v>
      </c>
      <c r="J391" s="4">
        <f>CHOOSE( CONTROL!$C$33, 10.7984, 10.7974) * CHOOSE(CONTROL!$C$16, $D$10, 100%, $F$10)</f>
        <v>10.798400000000001</v>
      </c>
      <c r="K391" s="4"/>
      <c r="L391" s="9">
        <v>30.092199999999998</v>
      </c>
      <c r="M391" s="9">
        <v>11.6745</v>
      </c>
      <c r="N391" s="9">
        <v>4.7850000000000001</v>
      </c>
      <c r="O391" s="9">
        <v>0.36199999999999999</v>
      </c>
      <c r="P391" s="9">
        <v>1.2509999999999999</v>
      </c>
      <c r="Q391" s="9">
        <v>19.738800000000001</v>
      </c>
      <c r="R391" s="9"/>
      <c r="S391" s="11"/>
    </row>
    <row r="392" spans="1:19" ht="15" customHeight="1">
      <c r="A392" s="13">
        <v>53113</v>
      </c>
      <c r="B392" s="8">
        <f>CHOOSE( CONTROL!$C$33, 11.4345, 11.4329) * CHOOSE(CONTROL!$C$16, $D$10, 100%, $F$10)</f>
        <v>11.4345</v>
      </c>
      <c r="C392" s="8">
        <f>CHOOSE( CONTROL!$C$33, 11.4425, 11.4409) * CHOOSE(CONTROL!$C$16, $D$10, 100%, $F$10)</f>
        <v>11.442500000000001</v>
      </c>
      <c r="D392" s="8">
        <f>CHOOSE( CONTROL!$C$33, 11.4647, 11.4631) * CHOOSE( CONTROL!$C$16, $D$10, 100%, $F$10)</f>
        <v>11.464700000000001</v>
      </c>
      <c r="E392" s="12">
        <f>CHOOSE( CONTROL!$C$33, 11.4554, 11.4538) * CHOOSE( CONTROL!$C$16, $D$10, 100%, $F$10)</f>
        <v>11.455399999999999</v>
      </c>
      <c r="F392" s="4">
        <f>CHOOSE( CONTROL!$C$33, 12.2114, 12.2098) * CHOOSE(CONTROL!$C$16, $D$10, 100%, $F$10)</f>
        <v>12.211399999999999</v>
      </c>
      <c r="G392" s="8">
        <f>CHOOSE( CONTROL!$C$33, 11.3359, 11.3344) * CHOOSE( CONTROL!$C$16, $D$10, 100%, $F$10)</f>
        <v>11.335900000000001</v>
      </c>
      <c r="H392" s="4">
        <f>CHOOSE( CONTROL!$C$33, 12.3149, 12.3133) * CHOOSE(CONTROL!$C$16, $D$10, 100%, $F$10)</f>
        <v>12.3149</v>
      </c>
      <c r="I392" s="8">
        <f>CHOOSE( CONTROL!$C$33, 11.2078, 11.2063) * CHOOSE(CONTROL!$C$16, $D$10, 100%, $F$10)</f>
        <v>11.207800000000001</v>
      </c>
      <c r="J392" s="4">
        <f>CHOOSE( CONTROL!$C$33, 11.0866, 11.0851) * CHOOSE(CONTROL!$C$16, $D$10, 100%, $F$10)</f>
        <v>11.086600000000001</v>
      </c>
      <c r="K392" s="4"/>
      <c r="L392" s="9">
        <v>30.7165</v>
      </c>
      <c r="M392" s="9">
        <v>12.063700000000001</v>
      </c>
      <c r="N392" s="9">
        <v>4.9444999999999997</v>
      </c>
      <c r="O392" s="9">
        <v>0.37409999999999999</v>
      </c>
      <c r="P392" s="9">
        <v>1.2927</v>
      </c>
      <c r="Q392" s="9">
        <v>20.396799999999999</v>
      </c>
      <c r="R392" s="9"/>
      <c r="S392" s="11"/>
    </row>
    <row r="393" spans="1:19" ht="15" customHeight="1">
      <c r="A393" s="13">
        <v>53143</v>
      </c>
      <c r="B393" s="8">
        <f>CHOOSE( CONTROL!$C$33, 11.2504, 11.2488) * CHOOSE(CONTROL!$C$16, $D$10, 100%, $F$10)</f>
        <v>11.250400000000001</v>
      </c>
      <c r="C393" s="8">
        <f>CHOOSE( CONTROL!$C$33, 11.2584, 11.2568) * CHOOSE(CONTROL!$C$16, $D$10, 100%, $F$10)</f>
        <v>11.2584</v>
      </c>
      <c r="D393" s="8">
        <f>CHOOSE( CONTROL!$C$33, 11.2808, 11.2792) * CHOOSE( CONTROL!$C$16, $D$10, 100%, $F$10)</f>
        <v>11.280799999999999</v>
      </c>
      <c r="E393" s="12">
        <f>CHOOSE( CONTROL!$C$33, 11.2715, 11.2699) * CHOOSE( CONTROL!$C$16, $D$10, 100%, $F$10)</f>
        <v>11.2715</v>
      </c>
      <c r="F393" s="4">
        <f>CHOOSE( CONTROL!$C$33, 12.0273, 12.0257) * CHOOSE(CONTROL!$C$16, $D$10, 100%, $F$10)</f>
        <v>12.0273</v>
      </c>
      <c r="G393" s="8">
        <f>CHOOSE( CONTROL!$C$33, 11.1545, 11.153) * CHOOSE( CONTROL!$C$16, $D$10, 100%, $F$10)</f>
        <v>11.154500000000001</v>
      </c>
      <c r="H393" s="4">
        <f>CHOOSE( CONTROL!$C$33, 12.1334, 12.1318) * CHOOSE(CONTROL!$C$16, $D$10, 100%, $F$10)</f>
        <v>12.1334</v>
      </c>
      <c r="I393" s="8">
        <f>CHOOSE( CONTROL!$C$33, 11.0301, 11.0286) * CHOOSE(CONTROL!$C$16, $D$10, 100%, $F$10)</f>
        <v>11.030099999999999</v>
      </c>
      <c r="J393" s="4">
        <f>CHOOSE( CONTROL!$C$33, 10.9084, 10.9068) * CHOOSE(CONTROL!$C$16, $D$10, 100%, $F$10)</f>
        <v>10.9084</v>
      </c>
      <c r="K393" s="4"/>
      <c r="L393" s="9">
        <v>29.7257</v>
      </c>
      <c r="M393" s="9">
        <v>11.6745</v>
      </c>
      <c r="N393" s="9">
        <v>4.7850000000000001</v>
      </c>
      <c r="O393" s="9">
        <v>0.36199999999999999</v>
      </c>
      <c r="P393" s="9">
        <v>1.2509999999999999</v>
      </c>
      <c r="Q393" s="9">
        <v>19.738800000000001</v>
      </c>
      <c r="R393" s="9"/>
      <c r="S393" s="11"/>
    </row>
    <row r="394" spans="1:19" ht="15" customHeight="1">
      <c r="A394" s="13">
        <v>53174</v>
      </c>
      <c r="B394" s="8">
        <f>CHOOSE( CONTROL!$C$33, 11.7351, 11.7335) * CHOOSE(CONTROL!$C$16, $D$10, 100%, $F$10)</f>
        <v>11.735099999999999</v>
      </c>
      <c r="C394" s="8">
        <f>CHOOSE( CONTROL!$C$33, 11.7431, 11.7415) * CHOOSE(CONTROL!$C$16, $D$10, 100%, $F$10)</f>
        <v>11.7431</v>
      </c>
      <c r="D394" s="8">
        <f>CHOOSE( CONTROL!$C$33, 11.7657, 11.7641) * CHOOSE( CONTROL!$C$16, $D$10, 100%, $F$10)</f>
        <v>11.765700000000001</v>
      </c>
      <c r="E394" s="12">
        <f>CHOOSE( CONTROL!$C$33, 11.7563, 11.7547) * CHOOSE( CONTROL!$C$16, $D$10, 100%, $F$10)</f>
        <v>11.7563</v>
      </c>
      <c r="F394" s="4">
        <f>CHOOSE( CONTROL!$C$33, 12.512, 12.5104) * CHOOSE(CONTROL!$C$16, $D$10, 100%, $F$10)</f>
        <v>12.512</v>
      </c>
      <c r="G394" s="8">
        <f>CHOOSE( CONTROL!$C$33, 11.6327, 11.6311) * CHOOSE( CONTROL!$C$16, $D$10, 100%, $F$10)</f>
        <v>11.6327</v>
      </c>
      <c r="H394" s="4">
        <f>CHOOSE( CONTROL!$C$33, 12.6113, 12.6097) * CHOOSE(CONTROL!$C$16, $D$10, 100%, $F$10)</f>
        <v>12.6113</v>
      </c>
      <c r="I394" s="8">
        <f>CHOOSE( CONTROL!$C$33, 11.5004, 11.4989) * CHOOSE(CONTROL!$C$16, $D$10, 100%, $F$10)</f>
        <v>11.500400000000001</v>
      </c>
      <c r="J394" s="4">
        <f>CHOOSE( CONTROL!$C$33, 11.3777, 11.3762) * CHOOSE(CONTROL!$C$16, $D$10, 100%, $F$10)</f>
        <v>11.377700000000001</v>
      </c>
      <c r="K394" s="4"/>
      <c r="L394" s="9">
        <v>30.7165</v>
      </c>
      <c r="M394" s="9">
        <v>12.063700000000001</v>
      </c>
      <c r="N394" s="9">
        <v>4.9444999999999997</v>
      </c>
      <c r="O394" s="9">
        <v>0.37409999999999999</v>
      </c>
      <c r="P394" s="9">
        <v>1.2927</v>
      </c>
      <c r="Q394" s="9">
        <v>20.396799999999999</v>
      </c>
      <c r="R394" s="9"/>
      <c r="S394" s="11"/>
    </row>
    <row r="395" spans="1:19" ht="15" customHeight="1">
      <c r="A395" s="13">
        <v>53205</v>
      </c>
      <c r="B395" s="8">
        <f>CHOOSE( CONTROL!$C$33, 10.8282, 10.8266) * CHOOSE(CONTROL!$C$16, $D$10, 100%, $F$10)</f>
        <v>10.828200000000001</v>
      </c>
      <c r="C395" s="8">
        <f>CHOOSE( CONTROL!$C$33, 10.8362, 10.8346) * CHOOSE(CONTROL!$C$16, $D$10, 100%, $F$10)</f>
        <v>10.8362</v>
      </c>
      <c r="D395" s="8">
        <f>CHOOSE( CONTROL!$C$33, 10.8589, 10.8573) * CHOOSE( CONTROL!$C$16, $D$10, 100%, $F$10)</f>
        <v>10.8589</v>
      </c>
      <c r="E395" s="12">
        <f>CHOOSE( CONTROL!$C$33, 10.8495, 10.8479) * CHOOSE( CONTROL!$C$16, $D$10, 100%, $F$10)</f>
        <v>10.849500000000001</v>
      </c>
      <c r="F395" s="4">
        <f>CHOOSE( CONTROL!$C$33, 11.6051, 11.6035) * CHOOSE(CONTROL!$C$16, $D$10, 100%, $F$10)</f>
        <v>11.6051</v>
      </c>
      <c r="G395" s="8">
        <f>CHOOSE( CONTROL!$C$33, 10.7384, 10.7369) * CHOOSE( CONTROL!$C$16, $D$10, 100%, $F$10)</f>
        <v>10.7384</v>
      </c>
      <c r="H395" s="4">
        <f>CHOOSE( CONTROL!$C$33, 11.717, 11.7155) * CHOOSE(CONTROL!$C$16, $D$10, 100%, $F$10)</f>
        <v>11.717000000000001</v>
      </c>
      <c r="I395" s="8">
        <f>CHOOSE( CONTROL!$C$33, 10.622, 10.6205) * CHOOSE(CONTROL!$C$16, $D$10, 100%, $F$10)</f>
        <v>10.622</v>
      </c>
      <c r="J395" s="4">
        <f>CHOOSE( CONTROL!$C$33, 10.4995, 10.498) * CHOOSE(CONTROL!$C$16, $D$10, 100%, $F$10)</f>
        <v>10.499499999999999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1.2927</v>
      </c>
      <c r="Q395" s="9">
        <v>20.396799999999999</v>
      </c>
      <c r="R395" s="9"/>
      <c r="S395" s="11"/>
    </row>
    <row r="396" spans="1:19" ht="15" customHeight="1">
      <c r="A396" s="13">
        <v>53235</v>
      </c>
      <c r="B396" s="8">
        <f>CHOOSE( CONTROL!$C$33, 10.6011, 10.5995) * CHOOSE(CONTROL!$C$16, $D$10, 100%, $F$10)</f>
        <v>10.601100000000001</v>
      </c>
      <c r="C396" s="8">
        <f>CHOOSE( CONTROL!$C$33, 10.6091, 10.6075) * CHOOSE(CONTROL!$C$16, $D$10, 100%, $F$10)</f>
        <v>10.6091</v>
      </c>
      <c r="D396" s="8">
        <f>CHOOSE( CONTROL!$C$33, 10.6316, 10.6301) * CHOOSE( CONTROL!$C$16, $D$10, 100%, $F$10)</f>
        <v>10.631600000000001</v>
      </c>
      <c r="E396" s="12">
        <f>CHOOSE( CONTROL!$C$33, 10.6222, 10.6207) * CHOOSE( CONTROL!$C$16, $D$10, 100%, $F$10)</f>
        <v>10.622199999999999</v>
      </c>
      <c r="F396" s="4">
        <f>CHOOSE( CONTROL!$C$33, 11.378, 11.3764) * CHOOSE(CONTROL!$C$16, $D$10, 100%, $F$10)</f>
        <v>11.378</v>
      </c>
      <c r="G396" s="8">
        <f>CHOOSE( CONTROL!$C$33, 10.5144, 10.5129) * CHOOSE( CONTROL!$C$16, $D$10, 100%, $F$10)</f>
        <v>10.5144</v>
      </c>
      <c r="H396" s="4">
        <f>CHOOSE( CONTROL!$C$33, 11.4931, 11.4916) * CHOOSE(CONTROL!$C$16, $D$10, 100%, $F$10)</f>
        <v>11.4931</v>
      </c>
      <c r="I396" s="8">
        <f>CHOOSE( CONTROL!$C$33, 10.4016, 10.4) * CHOOSE(CONTROL!$C$16, $D$10, 100%, $F$10)</f>
        <v>10.4016</v>
      </c>
      <c r="J396" s="4">
        <f>CHOOSE( CONTROL!$C$33, 10.2796, 10.2781) * CHOOSE(CONTROL!$C$16, $D$10, 100%, $F$10)</f>
        <v>10.2796</v>
      </c>
      <c r="K396" s="4"/>
      <c r="L396" s="9">
        <v>29.7257</v>
      </c>
      <c r="M396" s="9">
        <v>11.6745</v>
      </c>
      <c r="N396" s="9">
        <v>4.7850000000000001</v>
      </c>
      <c r="O396" s="9">
        <v>0.36199999999999999</v>
      </c>
      <c r="P396" s="9">
        <v>1.2509999999999999</v>
      </c>
      <c r="Q396" s="9">
        <v>19.738800000000001</v>
      </c>
      <c r="R396" s="9"/>
      <c r="S396" s="11"/>
    </row>
    <row r="397" spans="1:19" ht="15" customHeight="1">
      <c r="A397" s="13">
        <v>53266</v>
      </c>
      <c r="B397" s="8">
        <f>CHOOSE( CONTROL!$C$33, 11.0704, 11.0693) * CHOOSE(CONTROL!$C$16, $D$10, 100%, $F$10)</f>
        <v>11.070399999999999</v>
      </c>
      <c r="C397" s="8">
        <f>CHOOSE( CONTROL!$C$33, 11.0758, 11.0747) * CHOOSE(CONTROL!$C$16, $D$10, 100%, $F$10)</f>
        <v>11.075799999999999</v>
      </c>
      <c r="D397" s="8">
        <f>CHOOSE( CONTROL!$C$33, 11.1046, 11.1035) * CHOOSE( CONTROL!$C$16, $D$10, 100%, $F$10)</f>
        <v>11.1046</v>
      </c>
      <c r="E397" s="12">
        <f>CHOOSE( CONTROL!$C$33, 11.0945, 11.0934) * CHOOSE( CONTROL!$C$16, $D$10, 100%, $F$10)</f>
        <v>11.0945</v>
      </c>
      <c r="F397" s="4">
        <f>CHOOSE( CONTROL!$C$33, 11.8491, 11.848) * CHOOSE(CONTROL!$C$16, $D$10, 100%, $F$10)</f>
        <v>11.8491</v>
      </c>
      <c r="G397" s="8">
        <f>CHOOSE( CONTROL!$C$33, 10.979, 10.9779) * CHOOSE( CONTROL!$C$16, $D$10, 100%, $F$10)</f>
        <v>10.978999999999999</v>
      </c>
      <c r="H397" s="4">
        <f>CHOOSE( CONTROL!$C$33, 11.9576, 11.9565) * CHOOSE(CONTROL!$C$16, $D$10, 100%, $F$10)</f>
        <v>11.957599999999999</v>
      </c>
      <c r="I397" s="8">
        <f>CHOOSE( CONTROL!$C$33, 10.8585, 10.8574) * CHOOSE(CONTROL!$C$16, $D$10, 100%, $F$10)</f>
        <v>10.858499999999999</v>
      </c>
      <c r="J397" s="4">
        <f>CHOOSE( CONTROL!$C$33, 10.7358, 10.7347) * CHOOSE(CONTROL!$C$16, $D$10, 100%, $F$10)</f>
        <v>10.735799999999999</v>
      </c>
      <c r="K397" s="4"/>
      <c r="L397" s="9">
        <v>31.095300000000002</v>
      </c>
      <c r="M397" s="9">
        <v>12.063700000000001</v>
      </c>
      <c r="N397" s="9">
        <v>4.9444999999999997</v>
      </c>
      <c r="O397" s="9">
        <v>0.37409999999999999</v>
      </c>
      <c r="P397" s="9">
        <v>1.2927</v>
      </c>
      <c r="Q397" s="9">
        <v>20.396799999999999</v>
      </c>
      <c r="R397" s="9"/>
      <c r="S397" s="11"/>
    </row>
    <row r="398" spans="1:19" ht="15" customHeight="1">
      <c r="A398" s="13">
        <v>53296</v>
      </c>
      <c r="B398" s="8">
        <f>CHOOSE( CONTROL!$C$33, 11.9404, 11.9393) * CHOOSE(CONTROL!$C$16, $D$10, 100%, $F$10)</f>
        <v>11.9404</v>
      </c>
      <c r="C398" s="8">
        <f>CHOOSE( CONTROL!$C$33, 11.9455, 11.9444) * CHOOSE(CONTROL!$C$16, $D$10, 100%, $F$10)</f>
        <v>11.945499999999999</v>
      </c>
      <c r="D398" s="8">
        <f>CHOOSE( CONTROL!$C$33, 11.9252, 11.9241) * CHOOSE( CONTROL!$C$16, $D$10, 100%, $F$10)</f>
        <v>11.9252</v>
      </c>
      <c r="E398" s="12">
        <f>CHOOSE( CONTROL!$C$33, 11.9321, 11.931) * CHOOSE( CONTROL!$C$16, $D$10, 100%, $F$10)</f>
        <v>11.9321</v>
      </c>
      <c r="F398" s="4">
        <f>CHOOSE( CONTROL!$C$33, 12.6033, 12.6021) * CHOOSE(CONTROL!$C$16, $D$10, 100%, $F$10)</f>
        <v>12.603300000000001</v>
      </c>
      <c r="G398" s="8">
        <f>CHOOSE( CONTROL!$C$33, 11.8098, 11.8087) * CHOOSE( CONTROL!$C$16, $D$10, 100%, $F$10)</f>
        <v>11.809799999999999</v>
      </c>
      <c r="H398" s="4">
        <f>CHOOSE( CONTROL!$C$33, 12.7013, 12.7002) * CHOOSE(CONTROL!$C$16, $D$10, 100%, $F$10)</f>
        <v>12.7013</v>
      </c>
      <c r="I398" s="8">
        <f>CHOOSE( CONTROL!$C$33, 11.7495, 11.7484) * CHOOSE(CONTROL!$C$16, $D$10, 100%, $F$10)</f>
        <v>11.749499999999999</v>
      </c>
      <c r="J398" s="4">
        <f>CHOOSE( CONTROL!$C$33, 11.5786, 11.5775) * CHOOSE(CONTROL!$C$16, $D$10, 100%, $F$10)</f>
        <v>11.5786</v>
      </c>
      <c r="K398" s="4"/>
      <c r="L398" s="9">
        <v>28.360600000000002</v>
      </c>
      <c r="M398" s="9">
        <v>11.6745</v>
      </c>
      <c r="N398" s="9">
        <v>4.7850000000000001</v>
      </c>
      <c r="O398" s="9">
        <v>0.36199999999999999</v>
      </c>
      <c r="P398" s="9">
        <v>1.2509999999999999</v>
      </c>
      <c r="Q398" s="9">
        <v>19.738800000000001</v>
      </c>
      <c r="R398" s="9"/>
      <c r="S398" s="11"/>
    </row>
    <row r="399" spans="1:19" ht="15" customHeight="1">
      <c r="A399" s="13">
        <v>53327</v>
      </c>
      <c r="B399" s="8">
        <f>CHOOSE( CONTROL!$C$33, 11.9187, 11.9175) * CHOOSE(CONTROL!$C$16, $D$10, 100%, $F$10)</f>
        <v>11.918699999999999</v>
      </c>
      <c r="C399" s="8">
        <f>CHOOSE( CONTROL!$C$33, 11.9238, 11.9226) * CHOOSE(CONTROL!$C$16, $D$10, 100%, $F$10)</f>
        <v>11.9238</v>
      </c>
      <c r="D399" s="8">
        <f>CHOOSE( CONTROL!$C$33, 11.9049, 11.9038) * CHOOSE( CONTROL!$C$16, $D$10, 100%, $F$10)</f>
        <v>11.9049</v>
      </c>
      <c r="E399" s="12">
        <f>CHOOSE( CONTROL!$C$33, 11.9113, 11.9101) * CHOOSE( CONTROL!$C$16, $D$10, 100%, $F$10)</f>
        <v>11.911300000000001</v>
      </c>
      <c r="F399" s="4">
        <f>CHOOSE( CONTROL!$C$33, 12.5815, 12.5804) * CHOOSE(CONTROL!$C$16, $D$10, 100%, $F$10)</f>
        <v>12.5815</v>
      </c>
      <c r="G399" s="8">
        <f>CHOOSE( CONTROL!$C$33, 11.7894, 11.7883) * CHOOSE( CONTROL!$C$16, $D$10, 100%, $F$10)</f>
        <v>11.789400000000001</v>
      </c>
      <c r="H399" s="4">
        <f>CHOOSE( CONTROL!$C$33, 12.6798, 12.6787) * CHOOSE(CONTROL!$C$16, $D$10, 100%, $F$10)</f>
        <v>12.6798</v>
      </c>
      <c r="I399" s="8">
        <f>CHOOSE( CONTROL!$C$33, 11.733, 11.7319) * CHOOSE(CONTROL!$C$16, $D$10, 100%, $F$10)</f>
        <v>11.733000000000001</v>
      </c>
      <c r="J399" s="4">
        <f>CHOOSE( CONTROL!$C$33, 11.5575, 11.5564) * CHOOSE(CONTROL!$C$16, $D$10, 100%, $F$10)</f>
        <v>11.557499999999999</v>
      </c>
      <c r="K399" s="4"/>
      <c r="L399" s="9">
        <v>29.306000000000001</v>
      </c>
      <c r="M399" s="9">
        <v>12.063700000000001</v>
      </c>
      <c r="N399" s="9">
        <v>4.9444999999999997</v>
      </c>
      <c r="O399" s="9">
        <v>0.37409999999999999</v>
      </c>
      <c r="P399" s="9">
        <v>1.2927</v>
      </c>
      <c r="Q399" s="9">
        <v>20.396799999999999</v>
      </c>
      <c r="R399" s="9"/>
      <c r="S399" s="11"/>
    </row>
    <row r="400" spans="1:19" ht="15" customHeight="1">
      <c r="A400" s="13">
        <v>53358</v>
      </c>
      <c r="B400" s="8">
        <f>CHOOSE( CONTROL!$C$33, 12.2707, 12.2696) * CHOOSE(CONTROL!$C$16, $D$10, 100%, $F$10)</f>
        <v>12.2707</v>
      </c>
      <c r="C400" s="8">
        <f>CHOOSE( CONTROL!$C$33, 12.2758, 12.2747) * CHOOSE(CONTROL!$C$16, $D$10, 100%, $F$10)</f>
        <v>12.2758</v>
      </c>
      <c r="D400" s="8">
        <f>CHOOSE( CONTROL!$C$33, 12.2682, 12.267) * CHOOSE( CONTROL!$C$16, $D$10, 100%, $F$10)</f>
        <v>12.2682</v>
      </c>
      <c r="E400" s="12">
        <f>CHOOSE( CONTROL!$C$33, 12.2704, 12.2693) * CHOOSE( CONTROL!$C$16, $D$10, 100%, $F$10)</f>
        <v>12.2704</v>
      </c>
      <c r="F400" s="4">
        <f>CHOOSE( CONTROL!$C$33, 12.9336, 12.9324) * CHOOSE(CONTROL!$C$16, $D$10, 100%, $F$10)</f>
        <v>12.9336</v>
      </c>
      <c r="G400" s="8">
        <f>CHOOSE( CONTROL!$C$33, 12.1424, 12.1412) * CHOOSE( CONTROL!$C$16, $D$10, 100%, $F$10)</f>
        <v>12.1424</v>
      </c>
      <c r="H400" s="4">
        <f>CHOOSE( CONTROL!$C$33, 13.027, 13.0259) * CHOOSE(CONTROL!$C$16, $D$10, 100%, $F$10)</f>
        <v>13.026999999999999</v>
      </c>
      <c r="I400" s="8">
        <f>CHOOSE( CONTROL!$C$33, 12.0653, 12.0642) * CHOOSE(CONTROL!$C$16, $D$10, 100%, $F$10)</f>
        <v>12.065300000000001</v>
      </c>
      <c r="J400" s="4">
        <f>CHOOSE( CONTROL!$C$33, 11.8984, 11.8973) * CHOOSE(CONTROL!$C$16, $D$10, 100%, $F$10)</f>
        <v>11.898400000000001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20.331700000000001</v>
      </c>
      <c r="R400" s="9"/>
      <c r="S400" s="11"/>
    </row>
    <row r="401" spans="1:19" ht="15" customHeight="1">
      <c r="A401" s="13">
        <v>53386</v>
      </c>
      <c r="B401" s="8">
        <f>CHOOSE( CONTROL!$C$33, 11.4764, 11.4753) * CHOOSE(CONTROL!$C$16, $D$10, 100%, $F$10)</f>
        <v>11.4764</v>
      </c>
      <c r="C401" s="8">
        <f>CHOOSE( CONTROL!$C$33, 11.4815, 11.4804) * CHOOSE(CONTROL!$C$16, $D$10, 100%, $F$10)</f>
        <v>11.4815</v>
      </c>
      <c r="D401" s="8">
        <f>CHOOSE( CONTROL!$C$33, 11.4737, 11.4725) * CHOOSE( CONTROL!$C$16, $D$10, 100%, $F$10)</f>
        <v>11.473699999999999</v>
      </c>
      <c r="E401" s="12">
        <f>CHOOSE( CONTROL!$C$33, 11.476, 11.4748) * CHOOSE( CONTROL!$C$16, $D$10, 100%, $F$10)</f>
        <v>11.476000000000001</v>
      </c>
      <c r="F401" s="4">
        <f>CHOOSE( CONTROL!$C$33, 12.1392, 12.1381) * CHOOSE(CONTROL!$C$16, $D$10, 100%, $F$10)</f>
        <v>12.139200000000001</v>
      </c>
      <c r="G401" s="8">
        <f>CHOOSE( CONTROL!$C$33, 11.359, 11.3579) * CHOOSE( CONTROL!$C$16, $D$10, 100%, $F$10)</f>
        <v>11.359</v>
      </c>
      <c r="H401" s="4">
        <f>CHOOSE( CONTROL!$C$33, 12.2437, 12.2426) * CHOOSE(CONTROL!$C$16, $D$10, 100%, $F$10)</f>
        <v>12.2437</v>
      </c>
      <c r="I401" s="8">
        <f>CHOOSE( CONTROL!$C$33, 11.2952, 11.2941) * CHOOSE(CONTROL!$C$16, $D$10, 100%, $F$10)</f>
        <v>11.295199999999999</v>
      </c>
      <c r="J401" s="4">
        <f>CHOOSE( CONTROL!$C$33, 11.1292, 11.1281) * CHOOSE(CONTROL!$C$16, $D$10, 100%, $F$10)</f>
        <v>11.129200000000001</v>
      </c>
      <c r="K401" s="4"/>
      <c r="L401" s="9">
        <v>26.469899999999999</v>
      </c>
      <c r="M401" s="9">
        <v>10.8962</v>
      </c>
      <c r="N401" s="9">
        <v>4.4660000000000002</v>
      </c>
      <c r="O401" s="9">
        <v>0.33789999999999998</v>
      </c>
      <c r="P401" s="9">
        <v>1.1676</v>
      </c>
      <c r="Q401" s="9">
        <v>18.364100000000001</v>
      </c>
      <c r="R401" s="9"/>
      <c r="S401" s="11"/>
    </row>
    <row r="402" spans="1:19" ht="15" customHeight="1">
      <c r="A402" s="13">
        <v>53417</v>
      </c>
      <c r="B402" s="8">
        <f>CHOOSE( CONTROL!$C$33, 11.2317, 11.2306) * CHOOSE(CONTROL!$C$16, $D$10, 100%, $F$10)</f>
        <v>11.2317</v>
      </c>
      <c r="C402" s="8">
        <f>CHOOSE( CONTROL!$C$33, 11.2368, 11.2357) * CHOOSE(CONTROL!$C$16, $D$10, 100%, $F$10)</f>
        <v>11.236800000000001</v>
      </c>
      <c r="D402" s="8">
        <f>CHOOSE( CONTROL!$C$33, 11.2283, 11.2271) * CHOOSE( CONTROL!$C$16, $D$10, 100%, $F$10)</f>
        <v>11.228300000000001</v>
      </c>
      <c r="E402" s="12">
        <f>CHOOSE( CONTROL!$C$33, 11.2309, 11.2297) * CHOOSE( CONTROL!$C$16, $D$10, 100%, $F$10)</f>
        <v>11.2309</v>
      </c>
      <c r="F402" s="4">
        <f>CHOOSE( CONTROL!$C$33, 11.8946, 11.8935) * CHOOSE(CONTROL!$C$16, $D$10, 100%, $F$10)</f>
        <v>11.894600000000001</v>
      </c>
      <c r="G402" s="8">
        <f>CHOOSE( CONTROL!$C$33, 11.1172, 11.1161) * CHOOSE( CONTROL!$C$16, $D$10, 100%, $F$10)</f>
        <v>11.1172</v>
      </c>
      <c r="H402" s="4">
        <f>CHOOSE( CONTROL!$C$33, 12.0025, 12.0014) * CHOOSE(CONTROL!$C$16, $D$10, 100%, $F$10)</f>
        <v>12.0025</v>
      </c>
      <c r="I402" s="8">
        <f>CHOOSE( CONTROL!$C$33, 11.0559, 11.0548) * CHOOSE(CONTROL!$C$16, $D$10, 100%, $F$10)</f>
        <v>11.055899999999999</v>
      </c>
      <c r="J402" s="4">
        <f>CHOOSE( CONTROL!$C$33, 10.8923, 10.8913) * CHOOSE(CONTROL!$C$16, $D$10, 100%, $F$10)</f>
        <v>10.892300000000001</v>
      </c>
      <c r="K402" s="4"/>
      <c r="L402" s="9">
        <v>29.306000000000001</v>
      </c>
      <c r="M402" s="9">
        <v>12.063700000000001</v>
      </c>
      <c r="N402" s="9">
        <v>4.9444999999999997</v>
      </c>
      <c r="O402" s="9">
        <v>0.37409999999999999</v>
      </c>
      <c r="P402" s="9">
        <v>1.2927</v>
      </c>
      <c r="Q402" s="9">
        <v>20.331700000000001</v>
      </c>
      <c r="R402" s="9"/>
      <c r="S402" s="11"/>
    </row>
    <row r="403" spans="1:19" ht="15" customHeight="1">
      <c r="A403" s="13">
        <v>53447</v>
      </c>
      <c r="B403" s="8">
        <f>CHOOSE( CONTROL!$C$33, 11.4034, 11.4023) * CHOOSE(CONTROL!$C$16, $D$10, 100%, $F$10)</f>
        <v>11.4034</v>
      </c>
      <c r="C403" s="8">
        <f>CHOOSE( CONTROL!$C$33, 11.408, 11.4069) * CHOOSE(CONTROL!$C$16, $D$10, 100%, $F$10)</f>
        <v>11.407999999999999</v>
      </c>
      <c r="D403" s="8">
        <f>CHOOSE( CONTROL!$C$33, 11.4368, 11.4357) * CHOOSE( CONTROL!$C$16, $D$10, 100%, $F$10)</f>
        <v>11.4368</v>
      </c>
      <c r="E403" s="12">
        <f>CHOOSE( CONTROL!$C$33, 11.4268, 11.4257) * CHOOSE( CONTROL!$C$16, $D$10, 100%, $F$10)</f>
        <v>11.4268</v>
      </c>
      <c r="F403" s="4">
        <f>CHOOSE( CONTROL!$C$33, 12.1817, 12.1806) * CHOOSE(CONTROL!$C$16, $D$10, 100%, $F$10)</f>
        <v>12.181699999999999</v>
      </c>
      <c r="G403" s="8">
        <f>CHOOSE( CONTROL!$C$33, 11.3067, 11.3056) * CHOOSE( CONTROL!$C$16, $D$10, 100%, $F$10)</f>
        <v>11.306699999999999</v>
      </c>
      <c r="H403" s="4">
        <f>CHOOSE( CONTROL!$C$33, 12.2856, 12.2845) * CHOOSE(CONTROL!$C$16, $D$10, 100%, $F$10)</f>
        <v>12.285600000000001</v>
      </c>
      <c r="I403" s="8">
        <f>CHOOSE( CONTROL!$C$33, 11.1795, 11.1784) * CHOOSE(CONTROL!$C$16, $D$10, 100%, $F$10)</f>
        <v>11.179500000000001</v>
      </c>
      <c r="J403" s="4">
        <f>CHOOSE( CONTROL!$C$33, 11.0579, 11.0568) * CHOOSE(CONTROL!$C$16, $D$10, 100%, $F$10)</f>
        <v>11.0579</v>
      </c>
      <c r="K403" s="4"/>
      <c r="L403" s="9">
        <v>30.092199999999998</v>
      </c>
      <c r="M403" s="9">
        <v>11.6745</v>
      </c>
      <c r="N403" s="9">
        <v>4.7850000000000001</v>
      </c>
      <c r="O403" s="9">
        <v>0.36199999999999999</v>
      </c>
      <c r="P403" s="9">
        <v>1.2509999999999999</v>
      </c>
      <c r="Q403" s="9">
        <v>19.675799999999999</v>
      </c>
      <c r="R403" s="9"/>
      <c r="S403" s="11"/>
    </row>
    <row r="404" spans="1:19" ht="15" customHeight="1">
      <c r="A404" s="13">
        <v>53478</v>
      </c>
      <c r="B404" s="8">
        <f>CHOOSE( CONTROL!$C$33, 11.7095, 11.7079) * CHOOSE(CONTROL!$C$16, $D$10, 100%, $F$10)</f>
        <v>11.7095</v>
      </c>
      <c r="C404" s="8">
        <f>CHOOSE( CONTROL!$C$33, 11.7175, 11.7159) * CHOOSE(CONTROL!$C$16, $D$10, 100%, $F$10)</f>
        <v>11.717499999999999</v>
      </c>
      <c r="D404" s="8">
        <f>CHOOSE( CONTROL!$C$33, 11.7397, 11.7382) * CHOOSE( CONTROL!$C$16, $D$10, 100%, $F$10)</f>
        <v>11.739699999999999</v>
      </c>
      <c r="E404" s="12">
        <f>CHOOSE( CONTROL!$C$33, 11.7304, 11.7289) * CHOOSE( CONTROL!$C$16, $D$10, 100%, $F$10)</f>
        <v>11.730399999999999</v>
      </c>
      <c r="F404" s="4">
        <f>CHOOSE( CONTROL!$C$33, 12.4864, 12.4849) * CHOOSE(CONTROL!$C$16, $D$10, 100%, $F$10)</f>
        <v>12.4864</v>
      </c>
      <c r="G404" s="8">
        <f>CHOOSE( CONTROL!$C$33, 11.6071, 11.6056) * CHOOSE( CONTROL!$C$16, $D$10, 100%, $F$10)</f>
        <v>11.607100000000001</v>
      </c>
      <c r="H404" s="4">
        <f>CHOOSE( CONTROL!$C$33, 12.5861, 12.5845) * CHOOSE(CONTROL!$C$16, $D$10, 100%, $F$10)</f>
        <v>12.5861</v>
      </c>
      <c r="I404" s="8">
        <f>CHOOSE( CONTROL!$C$33, 11.4743, 11.4728) * CHOOSE(CONTROL!$C$16, $D$10, 100%, $F$10)</f>
        <v>11.474299999999999</v>
      </c>
      <c r="J404" s="4">
        <f>CHOOSE( CONTROL!$C$33, 11.3529, 11.3514) * CHOOSE(CONTROL!$C$16, $D$10, 100%, $F$10)</f>
        <v>11.3529</v>
      </c>
      <c r="K404" s="4"/>
      <c r="L404" s="9">
        <v>30.7165</v>
      </c>
      <c r="M404" s="9">
        <v>12.063700000000001</v>
      </c>
      <c r="N404" s="9">
        <v>4.9444999999999997</v>
      </c>
      <c r="O404" s="9">
        <v>0.37409999999999999</v>
      </c>
      <c r="P404" s="9">
        <v>1.2927</v>
      </c>
      <c r="Q404" s="9">
        <v>20.331700000000001</v>
      </c>
      <c r="R404" s="9"/>
      <c r="S404" s="11"/>
    </row>
    <row r="405" spans="1:19" ht="15" customHeight="1">
      <c r="A405" s="13">
        <v>53508</v>
      </c>
      <c r="B405" s="8">
        <f>CHOOSE( CONTROL!$C$33, 11.521, 11.5195) * CHOOSE(CONTROL!$C$16, $D$10, 100%, $F$10)</f>
        <v>11.521000000000001</v>
      </c>
      <c r="C405" s="8">
        <f>CHOOSE( CONTROL!$C$33, 11.529, 11.5275) * CHOOSE(CONTROL!$C$16, $D$10, 100%, $F$10)</f>
        <v>11.529</v>
      </c>
      <c r="D405" s="8">
        <f>CHOOSE( CONTROL!$C$33, 11.5514, 11.5499) * CHOOSE( CONTROL!$C$16, $D$10, 100%, $F$10)</f>
        <v>11.551399999999999</v>
      </c>
      <c r="E405" s="12">
        <f>CHOOSE( CONTROL!$C$33, 11.5421, 11.5406) * CHOOSE( CONTROL!$C$16, $D$10, 100%, $F$10)</f>
        <v>11.5421</v>
      </c>
      <c r="F405" s="4">
        <f>CHOOSE( CONTROL!$C$33, 12.298, 12.2964) * CHOOSE(CONTROL!$C$16, $D$10, 100%, $F$10)</f>
        <v>12.298</v>
      </c>
      <c r="G405" s="8">
        <f>CHOOSE( CONTROL!$C$33, 11.4214, 11.4199) * CHOOSE( CONTROL!$C$16, $D$10, 100%, $F$10)</f>
        <v>11.4214</v>
      </c>
      <c r="H405" s="4">
        <f>CHOOSE( CONTROL!$C$33, 12.4002, 12.3987) * CHOOSE(CONTROL!$C$16, $D$10, 100%, $F$10)</f>
        <v>12.4002</v>
      </c>
      <c r="I405" s="8">
        <f>CHOOSE( CONTROL!$C$33, 11.2923, 11.2908) * CHOOSE(CONTROL!$C$16, $D$10, 100%, $F$10)</f>
        <v>11.292299999999999</v>
      </c>
      <c r="J405" s="4">
        <f>CHOOSE( CONTROL!$C$33, 11.1704, 11.1689) * CHOOSE(CONTROL!$C$16, $D$10, 100%, $F$10)</f>
        <v>11.170400000000001</v>
      </c>
      <c r="K405" s="4"/>
      <c r="L405" s="9">
        <v>29.7257</v>
      </c>
      <c r="M405" s="9">
        <v>11.6745</v>
      </c>
      <c r="N405" s="9">
        <v>4.7850000000000001</v>
      </c>
      <c r="O405" s="9">
        <v>0.36199999999999999</v>
      </c>
      <c r="P405" s="9">
        <v>1.2509999999999999</v>
      </c>
      <c r="Q405" s="9">
        <v>19.675799999999999</v>
      </c>
      <c r="R405" s="9"/>
      <c r="S405" s="11"/>
    </row>
    <row r="406" spans="1:19" ht="15" customHeight="1">
      <c r="A406" s="13">
        <v>53539</v>
      </c>
      <c r="B406" s="8">
        <f>CHOOSE( CONTROL!$C$33, 12.0174, 12.0158) * CHOOSE(CONTROL!$C$16, $D$10, 100%, $F$10)</f>
        <v>12.0174</v>
      </c>
      <c r="C406" s="8">
        <f>CHOOSE( CONTROL!$C$33, 12.0254, 12.0238) * CHOOSE(CONTROL!$C$16, $D$10, 100%, $F$10)</f>
        <v>12.025399999999999</v>
      </c>
      <c r="D406" s="8">
        <f>CHOOSE( CONTROL!$C$33, 12.048, 12.0464) * CHOOSE( CONTROL!$C$16, $D$10, 100%, $F$10)</f>
        <v>12.048</v>
      </c>
      <c r="E406" s="12">
        <f>CHOOSE( CONTROL!$C$33, 12.0386, 12.037) * CHOOSE( CONTROL!$C$16, $D$10, 100%, $F$10)</f>
        <v>12.038600000000001</v>
      </c>
      <c r="F406" s="4">
        <f>CHOOSE( CONTROL!$C$33, 12.7943, 12.7927) * CHOOSE(CONTROL!$C$16, $D$10, 100%, $F$10)</f>
        <v>12.7943</v>
      </c>
      <c r="G406" s="8">
        <f>CHOOSE( CONTROL!$C$33, 11.911, 11.9095) * CHOOSE( CONTROL!$C$16, $D$10, 100%, $F$10)</f>
        <v>11.911</v>
      </c>
      <c r="H406" s="4">
        <f>CHOOSE( CONTROL!$C$33, 12.8896, 12.8881) * CHOOSE(CONTROL!$C$16, $D$10, 100%, $F$10)</f>
        <v>12.8896</v>
      </c>
      <c r="I406" s="8">
        <f>CHOOSE( CONTROL!$C$33, 11.7739, 11.7724) * CHOOSE(CONTROL!$C$16, $D$10, 100%, $F$10)</f>
        <v>11.773899999999999</v>
      </c>
      <c r="J406" s="4">
        <f>CHOOSE( CONTROL!$C$33, 11.651, 11.6495) * CHOOSE(CONTROL!$C$16, $D$10, 100%, $F$10)</f>
        <v>11.651</v>
      </c>
      <c r="K406" s="4"/>
      <c r="L406" s="9">
        <v>30.7165</v>
      </c>
      <c r="M406" s="9">
        <v>12.063700000000001</v>
      </c>
      <c r="N406" s="9">
        <v>4.9444999999999997</v>
      </c>
      <c r="O406" s="9">
        <v>0.37409999999999999</v>
      </c>
      <c r="P406" s="9">
        <v>1.2927</v>
      </c>
      <c r="Q406" s="9">
        <v>20.331700000000001</v>
      </c>
      <c r="R406" s="9"/>
      <c r="S406" s="11"/>
    </row>
    <row r="407" spans="1:19" ht="15" customHeight="1">
      <c r="A407" s="13">
        <v>53570</v>
      </c>
      <c r="B407" s="8">
        <f>CHOOSE( CONTROL!$C$33, 11.0887, 11.0871) * CHOOSE(CONTROL!$C$16, $D$10, 100%, $F$10)</f>
        <v>11.088699999999999</v>
      </c>
      <c r="C407" s="8">
        <f>CHOOSE( CONTROL!$C$33, 11.0967, 11.0951) * CHOOSE(CONTROL!$C$16, $D$10, 100%, $F$10)</f>
        <v>11.0967</v>
      </c>
      <c r="D407" s="8">
        <f>CHOOSE( CONTROL!$C$33, 11.1193, 11.1178) * CHOOSE( CONTROL!$C$16, $D$10, 100%, $F$10)</f>
        <v>11.119300000000001</v>
      </c>
      <c r="E407" s="12">
        <f>CHOOSE( CONTROL!$C$33, 11.1099, 11.1084) * CHOOSE( CONTROL!$C$16, $D$10, 100%, $F$10)</f>
        <v>11.1099</v>
      </c>
      <c r="F407" s="4">
        <f>CHOOSE( CONTROL!$C$33, 11.8656, 11.864) * CHOOSE(CONTROL!$C$16, $D$10, 100%, $F$10)</f>
        <v>11.865600000000001</v>
      </c>
      <c r="G407" s="8">
        <f>CHOOSE( CONTROL!$C$33, 10.9953, 10.9938) * CHOOSE( CONTROL!$C$16, $D$10, 100%, $F$10)</f>
        <v>10.9953</v>
      </c>
      <c r="H407" s="4">
        <f>CHOOSE( CONTROL!$C$33, 11.9739, 11.9724) * CHOOSE(CONTROL!$C$16, $D$10, 100%, $F$10)</f>
        <v>11.9739</v>
      </c>
      <c r="I407" s="8">
        <f>CHOOSE( CONTROL!$C$33, 10.8744, 10.8728) * CHOOSE(CONTROL!$C$16, $D$10, 100%, $F$10)</f>
        <v>10.8744</v>
      </c>
      <c r="J407" s="4">
        <f>CHOOSE( CONTROL!$C$33, 10.7518, 10.7502) * CHOOSE(CONTROL!$C$16, $D$10, 100%, $F$10)</f>
        <v>10.751799999999999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1.2927</v>
      </c>
      <c r="Q407" s="9">
        <v>20.331700000000001</v>
      </c>
      <c r="R407" s="9"/>
      <c r="S407" s="11"/>
    </row>
    <row r="408" spans="1:19" ht="15" customHeight="1">
      <c r="A408" s="13">
        <v>53600</v>
      </c>
      <c r="B408" s="8">
        <f>CHOOSE( CONTROL!$C$33, 10.8561, 10.8546) * CHOOSE(CONTROL!$C$16, $D$10, 100%, $F$10)</f>
        <v>10.8561</v>
      </c>
      <c r="C408" s="8">
        <f>CHOOSE( CONTROL!$C$33, 10.8641, 10.8626) * CHOOSE(CONTROL!$C$16, $D$10, 100%, $F$10)</f>
        <v>10.864100000000001</v>
      </c>
      <c r="D408" s="8">
        <f>CHOOSE( CONTROL!$C$33, 10.8867, 10.8851) * CHOOSE( CONTROL!$C$16, $D$10, 100%, $F$10)</f>
        <v>10.886699999999999</v>
      </c>
      <c r="E408" s="12">
        <f>CHOOSE( CONTROL!$C$33, 10.8773, 10.8757) * CHOOSE( CONTROL!$C$16, $D$10, 100%, $F$10)</f>
        <v>10.8773</v>
      </c>
      <c r="F408" s="4">
        <f>CHOOSE( CONTROL!$C$33, 11.633, 11.6315) * CHOOSE(CONTROL!$C$16, $D$10, 100%, $F$10)</f>
        <v>11.632999999999999</v>
      </c>
      <c r="G408" s="8">
        <f>CHOOSE( CONTROL!$C$33, 10.7659, 10.7643) * CHOOSE( CONTROL!$C$16, $D$10, 100%, $F$10)</f>
        <v>10.7659</v>
      </c>
      <c r="H408" s="4">
        <f>CHOOSE( CONTROL!$C$33, 11.7446, 11.743) * CHOOSE(CONTROL!$C$16, $D$10, 100%, $F$10)</f>
        <v>11.7446</v>
      </c>
      <c r="I408" s="8">
        <f>CHOOSE( CONTROL!$C$33, 10.6486, 10.6471) * CHOOSE(CONTROL!$C$16, $D$10, 100%, $F$10)</f>
        <v>10.6486</v>
      </c>
      <c r="J408" s="4">
        <f>CHOOSE( CONTROL!$C$33, 10.5266, 10.5251) * CHOOSE(CONTROL!$C$16, $D$10, 100%, $F$10)</f>
        <v>10.5266</v>
      </c>
      <c r="K408" s="4"/>
      <c r="L408" s="9">
        <v>29.7257</v>
      </c>
      <c r="M408" s="9">
        <v>11.6745</v>
      </c>
      <c r="N408" s="9">
        <v>4.7850000000000001</v>
      </c>
      <c r="O408" s="9">
        <v>0.36199999999999999</v>
      </c>
      <c r="P408" s="9">
        <v>1.2509999999999999</v>
      </c>
      <c r="Q408" s="9">
        <v>19.675799999999999</v>
      </c>
      <c r="R408" s="9"/>
      <c r="S408" s="11"/>
    </row>
    <row r="409" spans="1:19" ht="15" customHeight="1">
      <c r="A409" s="13">
        <v>53631</v>
      </c>
      <c r="B409" s="8">
        <f>CHOOSE( CONTROL!$C$33, 11.3368, 11.3357) * CHOOSE(CONTROL!$C$16, $D$10, 100%, $F$10)</f>
        <v>11.3368</v>
      </c>
      <c r="C409" s="8">
        <f>CHOOSE( CONTROL!$C$33, 11.3422, 11.341) * CHOOSE(CONTROL!$C$16, $D$10, 100%, $F$10)</f>
        <v>11.3422</v>
      </c>
      <c r="D409" s="8">
        <f>CHOOSE( CONTROL!$C$33, 11.3709, 11.3698) * CHOOSE( CONTROL!$C$16, $D$10, 100%, $F$10)</f>
        <v>11.370900000000001</v>
      </c>
      <c r="E409" s="12">
        <f>CHOOSE( CONTROL!$C$33, 11.3609, 11.3597) * CHOOSE( CONTROL!$C$16, $D$10, 100%, $F$10)</f>
        <v>11.360900000000001</v>
      </c>
      <c r="F409" s="4">
        <f>CHOOSE( CONTROL!$C$33, 12.1155, 12.1143) * CHOOSE(CONTROL!$C$16, $D$10, 100%, $F$10)</f>
        <v>12.115500000000001</v>
      </c>
      <c r="G409" s="8">
        <f>CHOOSE( CONTROL!$C$33, 11.2417, 11.2406) * CHOOSE( CONTROL!$C$16, $D$10, 100%, $F$10)</f>
        <v>11.2417</v>
      </c>
      <c r="H409" s="4">
        <f>CHOOSE( CONTROL!$C$33, 12.2203, 12.2192) * CHOOSE(CONTROL!$C$16, $D$10, 100%, $F$10)</f>
        <v>12.2203</v>
      </c>
      <c r="I409" s="8">
        <f>CHOOSE( CONTROL!$C$33, 11.1166, 11.1155) * CHOOSE(CONTROL!$C$16, $D$10, 100%, $F$10)</f>
        <v>11.1166</v>
      </c>
      <c r="J409" s="4">
        <f>CHOOSE( CONTROL!$C$33, 10.9937, 10.9926) * CHOOSE(CONTROL!$C$16, $D$10, 100%, $F$10)</f>
        <v>10.9937</v>
      </c>
      <c r="K409" s="4"/>
      <c r="L409" s="9">
        <v>31.095300000000002</v>
      </c>
      <c r="M409" s="9">
        <v>12.063700000000001</v>
      </c>
      <c r="N409" s="9">
        <v>4.9444999999999997</v>
      </c>
      <c r="O409" s="9">
        <v>0.37409999999999999</v>
      </c>
      <c r="P409" s="9">
        <v>1.2927</v>
      </c>
      <c r="Q409" s="9">
        <v>20.331700000000001</v>
      </c>
      <c r="R409" s="9"/>
      <c r="S409" s="11"/>
    </row>
    <row r="410" spans="1:19" ht="15" customHeight="1">
      <c r="A410" s="13">
        <v>53661</v>
      </c>
      <c r="B410" s="8">
        <f>CHOOSE( CONTROL!$C$33, 12.2277, 12.2266) * CHOOSE(CONTROL!$C$16, $D$10, 100%, $F$10)</f>
        <v>12.2277</v>
      </c>
      <c r="C410" s="8">
        <f>CHOOSE( CONTROL!$C$33, 12.2328, 12.2317) * CHOOSE(CONTROL!$C$16, $D$10, 100%, $F$10)</f>
        <v>12.232799999999999</v>
      </c>
      <c r="D410" s="8">
        <f>CHOOSE( CONTROL!$C$33, 12.2125, 12.2113) * CHOOSE( CONTROL!$C$16, $D$10, 100%, $F$10)</f>
        <v>12.2125</v>
      </c>
      <c r="E410" s="12">
        <f>CHOOSE( CONTROL!$C$33, 12.2194, 12.2182) * CHOOSE( CONTROL!$C$16, $D$10, 100%, $F$10)</f>
        <v>12.2194</v>
      </c>
      <c r="F410" s="4">
        <f>CHOOSE( CONTROL!$C$33, 12.8906, 12.8894) * CHOOSE(CONTROL!$C$16, $D$10, 100%, $F$10)</f>
        <v>12.890599999999999</v>
      </c>
      <c r="G410" s="8">
        <f>CHOOSE( CONTROL!$C$33, 12.093, 12.0919) * CHOOSE( CONTROL!$C$16, $D$10, 100%, $F$10)</f>
        <v>12.093</v>
      </c>
      <c r="H410" s="4">
        <f>CHOOSE( CONTROL!$C$33, 12.9846, 12.9835) * CHOOSE(CONTROL!$C$16, $D$10, 100%, $F$10)</f>
        <v>12.9846</v>
      </c>
      <c r="I410" s="8">
        <f>CHOOSE( CONTROL!$C$33, 12.0278, 12.0267) * CHOOSE(CONTROL!$C$16, $D$10, 100%, $F$10)</f>
        <v>12.027799999999999</v>
      </c>
      <c r="J410" s="4">
        <f>CHOOSE( CONTROL!$C$33, 11.8567, 11.8556) * CHOOSE(CONTROL!$C$16, $D$10, 100%, $F$10)</f>
        <v>11.8567</v>
      </c>
      <c r="K410" s="4"/>
      <c r="L410" s="9">
        <v>28.360600000000002</v>
      </c>
      <c r="M410" s="9">
        <v>11.6745</v>
      </c>
      <c r="N410" s="9">
        <v>4.7850000000000001</v>
      </c>
      <c r="O410" s="9">
        <v>0.36199999999999999</v>
      </c>
      <c r="P410" s="9">
        <v>1.2509999999999999</v>
      </c>
      <c r="Q410" s="9">
        <v>19.675799999999999</v>
      </c>
      <c r="R410" s="9"/>
      <c r="S410" s="11"/>
    </row>
    <row r="411" spans="1:19" ht="15" customHeight="1">
      <c r="A411" s="13">
        <v>53692</v>
      </c>
      <c r="B411" s="8">
        <f>CHOOSE( CONTROL!$C$33, 12.2054, 12.2043) * CHOOSE(CONTROL!$C$16, $D$10, 100%, $F$10)</f>
        <v>12.205399999999999</v>
      </c>
      <c r="C411" s="8">
        <f>CHOOSE( CONTROL!$C$33, 12.2105, 12.2094) * CHOOSE(CONTROL!$C$16, $D$10, 100%, $F$10)</f>
        <v>12.2105</v>
      </c>
      <c r="D411" s="8">
        <f>CHOOSE( CONTROL!$C$33, 12.1916, 12.1905) * CHOOSE( CONTROL!$C$16, $D$10, 100%, $F$10)</f>
        <v>12.191599999999999</v>
      </c>
      <c r="E411" s="12">
        <f>CHOOSE( CONTROL!$C$33, 12.198, 12.1969) * CHOOSE( CONTROL!$C$16, $D$10, 100%, $F$10)</f>
        <v>12.198</v>
      </c>
      <c r="F411" s="4">
        <f>CHOOSE( CONTROL!$C$33, 12.8683, 12.8672) * CHOOSE(CONTROL!$C$16, $D$10, 100%, $F$10)</f>
        <v>12.8683</v>
      </c>
      <c r="G411" s="8">
        <f>CHOOSE( CONTROL!$C$33, 12.0721, 12.071) * CHOOSE( CONTROL!$C$16, $D$10, 100%, $F$10)</f>
        <v>12.072100000000001</v>
      </c>
      <c r="H411" s="4">
        <f>CHOOSE( CONTROL!$C$33, 12.9626, 12.9615) * CHOOSE(CONTROL!$C$16, $D$10, 100%, $F$10)</f>
        <v>12.9626</v>
      </c>
      <c r="I411" s="8">
        <f>CHOOSE( CONTROL!$C$33, 12.0108, 12.0097) * CHOOSE(CONTROL!$C$16, $D$10, 100%, $F$10)</f>
        <v>12.0108</v>
      </c>
      <c r="J411" s="4">
        <f>CHOOSE( CONTROL!$C$33, 11.8352, 11.8341) * CHOOSE(CONTROL!$C$16, $D$10, 100%, $F$10)</f>
        <v>11.8352</v>
      </c>
      <c r="K411" s="4"/>
      <c r="L411" s="9">
        <v>29.306000000000001</v>
      </c>
      <c r="M411" s="9">
        <v>12.063700000000001</v>
      </c>
      <c r="N411" s="9">
        <v>4.9444999999999997</v>
      </c>
      <c r="O411" s="9">
        <v>0.37409999999999999</v>
      </c>
      <c r="P411" s="9">
        <v>1.2927</v>
      </c>
      <c r="Q411" s="9">
        <v>20.331700000000001</v>
      </c>
      <c r="R411" s="9"/>
      <c r="S411" s="11"/>
    </row>
    <row r="412" spans="1:19" ht="15" customHeight="1">
      <c r="A412" s="13">
        <v>53723</v>
      </c>
      <c r="B412" s="8">
        <f>CHOOSE( CONTROL!$C$33, 12.5659, 12.5648) * CHOOSE(CONTROL!$C$16, $D$10, 100%, $F$10)</f>
        <v>12.565899999999999</v>
      </c>
      <c r="C412" s="8">
        <f>CHOOSE( CONTROL!$C$33, 12.571, 12.5699) * CHOOSE(CONTROL!$C$16, $D$10, 100%, $F$10)</f>
        <v>12.571</v>
      </c>
      <c r="D412" s="8">
        <f>CHOOSE( CONTROL!$C$33, 12.5634, 12.5623) * CHOOSE( CONTROL!$C$16, $D$10, 100%, $F$10)</f>
        <v>12.5634</v>
      </c>
      <c r="E412" s="12">
        <f>CHOOSE( CONTROL!$C$33, 12.5656, 12.5645) * CHOOSE( CONTROL!$C$16, $D$10, 100%, $F$10)</f>
        <v>12.5656</v>
      </c>
      <c r="F412" s="4">
        <f>CHOOSE( CONTROL!$C$33, 13.2288, 13.2277) * CHOOSE(CONTROL!$C$16, $D$10, 100%, $F$10)</f>
        <v>13.2288</v>
      </c>
      <c r="G412" s="8">
        <f>CHOOSE( CONTROL!$C$33, 12.4335, 12.4323) * CHOOSE( CONTROL!$C$16, $D$10, 100%, $F$10)</f>
        <v>12.4335</v>
      </c>
      <c r="H412" s="4">
        <f>CHOOSE( CONTROL!$C$33, 13.3181, 13.317) * CHOOSE(CONTROL!$C$16, $D$10, 100%, $F$10)</f>
        <v>13.318099999999999</v>
      </c>
      <c r="I412" s="8">
        <f>CHOOSE( CONTROL!$C$33, 12.3513, 12.3502) * CHOOSE(CONTROL!$C$16, $D$10, 100%, $F$10)</f>
        <v>12.3513</v>
      </c>
      <c r="J412" s="4">
        <f>CHOOSE( CONTROL!$C$33, 12.1842, 12.1831) * CHOOSE(CONTROL!$C$16, $D$10, 100%, $F$10)</f>
        <v>12.184200000000001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20.2666</v>
      </c>
      <c r="R412" s="9"/>
      <c r="S412" s="11"/>
    </row>
    <row r="413" spans="1:19" ht="15" customHeight="1">
      <c r="A413" s="13">
        <v>53751</v>
      </c>
      <c r="B413" s="8">
        <f>CHOOSE( CONTROL!$C$33, 11.7525, 11.7514) * CHOOSE(CONTROL!$C$16, $D$10, 100%, $F$10)</f>
        <v>11.7525</v>
      </c>
      <c r="C413" s="8">
        <f>CHOOSE( CONTROL!$C$33, 11.7576, 11.7565) * CHOOSE(CONTROL!$C$16, $D$10, 100%, $F$10)</f>
        <v>11.7576</v>
      </c>
      <c r="D413" s="8">
        <f>CHOOSE( CONTROL!$C$33, 11.7498, 11.7487) * CHOOSE( CONTROL!$C$16, $D$10, 100%, $F$10)</f>
        <v>11.7498</v>
      </c>
      <c r="E413" s="12">
        <f>CHOOSE( CONTROL!$C$33, 11.7521, 11.751) * CHOOSE( CONTROL!$C$16, $D$10, 100%, $F$10)</f>
        <v>11.7521</v>
      </c>
      <c r="F413" s="4">
        <f>CHOOSE( CONTROL!$C$33, 12.4154, 12.4143) * CHOOSE(CONTROL!$C$16, $D$10, 100%, $F$10)</f>
        <v>12.4154</v>
      </c>
      <c r="G413" s="8">
        <f>CHOOSE( CONTROL!$C$33, 11.6313, 11.6302) * CHOOSE( CONTROL!$C$16, $D$10, 100%, $F$10)</f>
        <v>11.6313</v>
      </c>
      <c r="H413" s="4">
        <f>CHOOSE( CONTROL!$C$33, 12.516, 12.5149) * CHOOSE(CONTROL!$C$16, $D$10, 100%, $F$10)</f>
        <v>12.516</v>
      </c>
      <c r="I413" s="8">
        <f>CHOOSE( CONTROL!$C$33, 11.5627, 11.5616) * CHOOSE(CONTROL!$C$16, $D$10, 100%, $F$10)</f>
        <v>11.5627</v>
      </c>
      <c r="J413" s="4">
        <f>CHOOSE( CONTROL!$C$33, 11.3966, 11.3955) * CHOOSE(CONTROL!$C$16, $D$10, 100%, $F$10)</f>
        <v>11.396599999999999</v>
      </c>
      <c r="K413" s="4"/>
      <c r="L413" s="9">
        <v>26.469899999999999</v>
      </c>
      <c r="M413" s="9">
        <v>10.8962</v>
      </c>
      <c r="N413" s="9">
        <v>4.4660000000000002</v>
      </c>
      <c r="O413" s="9">
        <v>0.33789999999999998</v>
      </c>
      <c r="P413" s="9">
        <v>1.1676</v>
      </c>
      <c r="Q413" s="9">
        <v>18.305299999999999</v>
      </c>
      <c r="R413" s="9"/>
      <c r="S413" s="11"/>
    </row>
    <row r="414" spans="1:19" ht="15" customHeight="1">
      <c r="A414" s="13">
        <v>53782</v>
      </c>
      <c r="B414" s="8">
        <f>CHOOSE( CONTROL!$C$33, 11.502, 11.5009) * CHOOSE(CONTROL!$C$16, $D$10, 100%, $F$10)</f>
        <v>11.502000000000001</v>
      </c>
      <c r="C414" s="8">
        <f>CHOOSE( CONTROL!$C$33, 11.5071, 11.506) * CHOOSE(CONTROL!$C$16, $D$10, 100%, $F$10)</f>
        <v>11.507099999999999</v>
      </c>
      <c r="D414" s="8">
        <f>CHOOSE( CONTROL!$C$33, 11.4985, 11.4974) * CHOOSE( CONTROL!$C$16, $D$10, 100%, $F$10)</f>
        <v>11.4985</v>
      </c>
      <c r="E414" s="12">
        <f>CHOOSE( CONTROL!$C$33, 11.5011, 11.5) * CHOOSE( CONTROL!$C$16, $D$10, 100%, $F$10)</f>
        <v>11.501099999999999</v>
      </c>
      <c r="F414" s="4">
        <f>CHOOSE( CONTROL!$C$33, 12.1649, 12.1637) * CHOOSE(CONTROL!$C$16, $D$10, 100%, $F$10)</f>
        <v>12.164899999999999</v>
      </c>
      <c r="G414" s="8">
        <f>CHOOSE( CONTROL!$C$33, 11.3837, 11.3826) * CHOOSE( CONTROL!$C$16, $D$10, 100%, $F$10)</f>
        <v>11.383699999999999</v>
      </c>
      <c r="H414" s="4">
        <f>CHOOSE( CONTROL!$C$33, 12.269, 12.2679) * CHOOSE(CONTROL!$C$16, $D$10, 100%, $F$10)</f>
        <v>12.269</v>
      </c>
      <c r="I414" s="8">
        <f>CHOOSE( CONTROL!$C$33, 11.3177, 11.3166) * CHOOSE(CONTROL!$C$16, $D$10, 100%, $F$10)</f>
        <v>11.3177</v>
      </c>
      <c r="J414" s="4">
        <f>CHOOSE( CONTROL!$C$33, 11.154, 11.1529) * CHOOSE(CONTROL!$C$16, $D$10, 100%, $F$10)</f>
        <v>11.154</v>
      </c>
      <c r="K414" s="4"/>
      <c r="L414" s="9">
        <v>29.306000000000001</v>
      </c>
      <c r="M414" s="9">
        <v>12.063700000000001</v>
      </c>
      <c r="N414" s="9">
        <v>4.9444999999999997</v>
      </c>
      <c r="O414" s="9">
        <v>0.37409999999999999</v>
      </c>
      <c r="P414" s="9">
        <v>1.2927</v>
      </c>
      <c r="Q414" s="9">
        <v>20.2666</v>
      </c>
      <c r="R414" s="9"/>
      <c r="S414" s="11"/>
    </row>
    <row r="415" spans="1:19" ht="15" customHeight="1">
      <c r="A415" s="13">
        <v>53812</v>
      </c>
      <c r="B415" s="8">
        <f>CHOOSE( CONTROL!$C$33, 11.6778, 11.6767) * CHOOSE(CONTROL!$C$16, $D$10, 100%, $F$10)</f>
        <v>11.6778</v>
      </c>
      <c r="C415" s="8">
        <f>CHOOSE( CONTROL!$C$33, 11.6823, 11.6812) * CHOOSE(CONTROL!$C$16, $D$10, 100%, $F$10)</f>
        <v>11.6823</v>
      </c>
      <c r="D415" s="8">
        <f>CHOOSE( CONTROL!$C$33, 11.7112, 11.7101) * CHOOSE( CONTROL!$C$16, $D$10, 100%, $F$10)</f>
        <v>11.7112</v>
      </c>
      <c r="E415" s="12">
        <f>CHOOSE( CONTROL!$C$33, 11.7011, 11.7) * CHOOSE( CONTROL!$C$16, $D$10, 100%, $F$10)</f>
        <v>11.7011</v>
      </c>
      <c r="F415" s="4">
        <f>CHOOSE( CONTROL!$C$33, 12.4561, 12.455) * CHOOSE(CONTROL!$C$16, $D$10, 100%, $F$10)</f>
        <v>12.456099999999999</v>
      </c>
      <c r="G415" s="8">
        <f>CHOOSE( CONTROL!$C$33, 11.5773, 11.5762) * CHOOSE( CONTROL!$C$16, $D$10, 100%, $F$10)</f>
        <v>11.577299999999999</v>
      </c>
      <c r="H415" s="4">
        <f>CHOOSE( CONTROL!$C$33, 12.5562, 12.5551) * CHOOSE(CONTROL!$C$16, $D$10, 100%, $F$10)</f>
        <v>12.5562</v>
      </c>
      <c r="I415" s="8">
        <f>CHOOSE( CONTROL!$C$33, 11.4453, 11.4442) * CHOOSE(CONTROL!$C$16, $D$10, 100%, $F$10)</f>
        <v>11.4453</v>
      </c>
      <c r="J415" s="4">
        <f>CHOOSE( CONTROL!$C$33, 11.3235, 11.3225) * CHOOSE(CONTROL!$C$16, $D$10, 100%, $F$10)</f>
        <v>11.323499999999999</v>
      </c>
      <c r="K415" s="4"/>
      <c r="L415" s="9">
        <v>30.092199999999998</v>
      </c>
      <c r="M415" s="9">
        <v>11.6745</v>
      </c>
      <c r="N415" s="9">
        <v>4.7850000000000001</v>
      </c>
      <c r="O415" s="9">
        <v>0.36199999999999999</v>
      </c>
      <c r="P415" s="9">
        <v>1.2509999999999999</v>
      </c>
      <c r="Q415" s="9">
        <v>19.6128</v>
      </c>
      <c r="R415" s="9"/>
      <c r="S415" s="11"/>
    </row>
    <row r="416" spans="1:19" ht="15" customHeight="1">
      <c r="A416" s="13">
        <v>53843</v>
      </c>
      <c r="B416" s="8">
        <f>CHOOSE( CONTROL!$C$33, 11.9912, 11.9896) * CHOOSE(CONTROL!$C$16, $D$10, 100%, $F$10)</f>
        <v>11.991199999999999</v>
      </c>
      <c r="C416" s="8">
        <f>CHOOSE( CONTROL!$C$33, 11.9992, 11.9976) * CHOOSE(CONTROL!$C$16, $D$10, 100%, $F$10)</f>
        <v>11.9992</v>
      </c>
      <c r="D416" s="8">
        <f>CHOOSE( CONTROL!$C$33, 12.0214, 12.0199) * CHOOSE( CONTROL!$C$16, $D$10, 100%, $F$10)</f>
        <v>12.0214</v>
      </c>
      <c r="E416" s="12">
        <f>CHOOSE( CONTROL!$C$33, 12.0121, 12.0106) * CHOOSE( CONTROL!$C$16, $D$10, 100%, $F$10)</f>
        <v>12.0121</v>
      </c>
      <c r="F416" s="4">
        <f>CHOOSE( CONTROL!$C$33, 12.7681, 12.7665) * CHOOSE(CONTROL!$C$16, $D$10, 100%, $F$10)</f>
        <v>12.7681</v>
      </c>
      <c r="G416" s="8">
        <f>CHOOSE( CONTROL!$C$33, 11.8849, 11.8833) * CHOOSE( CONTROL!$C$16, $D$10, 100%, $F$10)</f>
        <v>11.8849</v>
      </c>
      <c r="H416" s="4">
        <f>CHOOSE( CONTROL!$C$33, 12.8638, 12.8623) * CHOOSE(CONTROL!$C$16, $D$10, 100%, $F$10)</f>
        <v>12.863799999999999</v>
      </c>
      <c r="I416" s="8">
        <f>CHOOSE( CONTROL!$C$33, 11.7472, 11.7457) * CHOOSE(CONTROL!$C$16, $D$10, 100%, $F$10)</f>
        <v>11.747199999999999</v>
      </c>
      <c r="J416" s="4">
        <f>CHOOSE( CONTROL!$C$33, 11.6257, 11.6241) * CHOOSE(CONTROL!$C$16, $D$10, 100%, $F$10)</f>
        <v>11.6257</v>
      </c>
      <c r="K416" s="4"/>
      <c r="L416" s="9">
        <v>30.7165</v>
      </c>
      <c r="M416" s="9">
        <v>12.063700000000001</v>
      </c>
      <c r="N416" s="9">
        <v>4.9444999999999997</v>
      </c>
      <c r="O416" s="9">
        <v>0.37409999999999999</v>
      </c>
      <c r="P416" s="9">
        <v>1.2927</v>
      </c>
      <c r="Q416" s="9">
        <v>20.2666</v>
      </c>
      <c r="R416" s="9"/>
      <c r="S416" s="11"/>
    </row>
    <row r="417" spans="1:19" ht="15" customHeight="1">
      <c r="A417" s="13">
        <v>53873</v>
      </c>
      <c r="B417" s="8">
        <f>CHOOSE( CONTROL!$C$33, 11.7982, 11.7966) * CHOOSE(CONTROL!$C$16, $D$10, 100%, $F$10)</f>
        <v>11.7982</v>
      </c>
      <c r="C417" s="8">
        <f>CHOOSE( CONTROL!$C$33, 11.8062, 11.8046) * CHOOSE(CONTROL!$C$16, $D$10, 100%, $F$10)</f>
        <v>11.8062</v>
      </c>
      <c r="D417" s="8">
        <f>CHOOSE( CONTROL!$C$33, 11.8286, 11.827) * CHOOSE( CONTROL!$C$16, $D$10, 100%, $F$10)</f>
        <v>11.8286</v>
      </c>
      <c r="E417" s="12">
        <f>CHOOSE( CONTROL!$C$33, 11.8193, 11.8177) * CHOOSE( CONTROL!$C$16, $D$10, 100%, $F$10)</f>
        <v>11.8193</v>
      </c>
      <c r="F417" s="4">
        <f>CHOOSE( CONTROL!$C$33, 12.5751, 12.5735) * CHOOSE(CONTROL!$C$16, $D$10, 100%, $F$10)</f>
        <v>12.575100000000001</v>
      </c>
      <c r="G417" s="8">
        <f>CHOOSE( CONTROL!$C$33, 11.6947, 11.6931) * CHOOSE( CONTROL!$C$16, $D$10, 100%, $F$10)</f>
        <v>11.694699999999999</v>
      </c>
      <c r="H417" s="4">
        <f>CHOOSE( CONTROL!$C$33, 12.6735, 12.672) * CHOOSE(CONTROL!$C$16, $D$10, 100%, $F$10)</f>
        <v>12.673500000000001</v>
      </c>
      <c r="I417" s="8">
        <f>CHOOSE( CONTROL!$C$33, 11.5608, 11.5593) * CHOOSE(CONTROL!$C$16, $D$10, 100%, $F$10)</f>
        <v>11.5608</v>
      </c>
      <c r="J417" s="4">
        <f>CHOOSE( CONTROL!$C$33, 11.4388, 11.4373) * CHOOSE(CONTROL!$C$16, $D$10, 100%, $F$10)</f>
        <v>11.438800000000001</v>
      </c>
      <c r="K417" s="4"/>
      <c r="L417" s="9">
        <v>29.7257</v>
      </c>
      <c r="M417" s="9">
        <v>11.6745</v>
      </c>
      <c r="N417" s="9">
        <v>4.7850000000000001</v>
      </c>
      <c r="O417" s="9">
        <v>0.36199999999999999</v>
      </c>
      <c r="P417" s="9">
        <v>1.2509999999999999</v>
      </c>
      <c r="Q417" s="9">
        <v>19.6128</v>
      </c>
      <c r="R417" s="9"/>
      <c r="S417" s="11"/>
    </row>
    <row r="418" spans="1:19" ht="15" customHeight="1">
      <c r="A418" s="13">
        <v>53904</v>
      </c>
      <c r="B418" s="8">
        <f>CHOOSE( CONTROL!$C$33, 12.3064, 12.3049) * CHOOSE(CONTROL!$C$16, $D$10, 100%, $F$10)</f>
        <v>12.3064</v>
      </c>
      <c r="C418" s="8">
        <f>CHOOSE( CONTROL!$C$33, 12.3144, 12.3129) * CHOOSE(CONTROL!$C$16, $D$10, 100%, $F$10)</f>
        <v>12.314399999999999</v>
      </c>
      <c r="D418" s="8">
        <f>CHOOSE( CONTROL!$C$33, 12.3371, 12.3355) * CHOOSE( CONTROL!$C$16, $D$10, 100%, $F$10)</f>
        <v>12.3371</v>
      </c>
      <c r="E418" s="12">
        <f>CHOOSE( CONTROL!$C$33, 12.3277, 12.3261) * CHOOSE( CONTROL!$C$16, $D$10, 100%, $F$10)</f>
        <v>12.3277</v>
      </c>
      <c r="F418" s="4">
        <f>CHOOSE( CONTROL!$C$33, 13.0834, 13.0818) * CHOOSE(CONTROL!$C$16, $D$10, 100%, $F$10)</f>
        <v>13.083399999999999</v>
      </c>
      <c r="G418" s="8">
        <f>CHOOSE( CONTROL!$C$33, 12.196, 12.1945) * CHOOSE( CONTROL!$C$16, $D$10, 100%, $F$10)</f>
        <v>12.196</v>
      </c>
      <c r="H418" s="4">
        <f>CHOOSE( CONTROL!$C$33, 13.1747, 13.1731) * CHOOSE(CONTROL!$C$16, $D$10, 100%, $F$10)</f>
        <v>13.1747</v>
      </c>
      <c r="I418" s="8">
        <f>CHOOSE( CONTROL!$C$33, 12.054, 12.0524) * CHOOSE(CONTROL!$C$16, $D$10, 100%, $F$10)</f>
        <v>12.054</v>
      </c>
      <c r="J418" s="4">
        <f>CHOOSE( CONTROL!$C$33, 11.9309, 11.9294) * CHOOSE(CONTROL!$C$16, $D$10, 100%, $F$10)</f>
        <v>11.930899999999999</v>
      </c>
      <c r="K418" s="4"/>
      <c r="L418" s="9">
        <v>30.7165</v>
      </c>
      <c r="M418" s="9">
        <v>12.063700000000001</v>
      </c>
      <c r="N418" s="9">
        <v>4.9444999999999997</v>
      </c>
      <c r="O418" s="9">
        <v>0.37409999999999999</v>
      </c>
      <c r="P418" s="9">
        <v>1.2927</v>
      </c>
      <c r="Q418" s="9">
        <v>20.2666</v>
      </c>
      <c r="R418" s="9"/>
      <c r="S418" s="11"/>
    </row>
    <row r="419" spans="1:19" ht="15" customHeight="1">
      <c r="A419" s="13">
        <v>53935</v>
      </c>
      <c r="B419" s="8">
        <f>CHOOSE( CONTROL!$C$33, 11.3554, 11.3539) * CHOOSE(CONTROL!$C$16, $D$10, 100%, $F$10)</f>
        <v>11.355399999999999</v>
      </c>
      <c r="C419" s="8">
        <f>CHOOSE( CONTROL!$C$33, 11.3634, 11.3619) * CHOOSE(CONTROL!$C$16, $D$10, 100%, $F$10)</f>
        <v>11.3634</v>
      </c>
      <c r="D419" s="8">
        <f>CHOOSE( CONTROL!$C$33, 11.3861, 11.3845) * CHOOSE( CONTROL!$C$16, $D$10, 100%, $F$10)</f>
        <v>11.386100000000001</v>
      </c>
      <c r="E419" s="12">
        <f>CHOOSE( CONTROL!$C$33, 11.3767, 11.3751) * CHOOSE( CONTROL!$C$16, $D$10, 100%, $F$10)</f>
        <v>11.3767</v>
      </c>
      <c r="F419" s="4">
        <f>CHOOSE( CONTROL!$C$33, 12.1324, 12.1308) * CHOOSE(CONTROL!$C$16, $D$10, 100%, $F$10)</f>
        <v>12.132400000000001</v>
      </c>
      <c r="G419" s="8">
        <f>CHOOSE( CONTROL!$C$33, 11.2583, 11.2568) * CHOOSE( CONTROL!$C$16, $D$10, 100%, $F$10)</f>
        <v>11.2583</v>
      </c>
      <c r="H419" s="4">
        <f>CHOOSE( CONTROL!$C$33, 12.2369, 12.2354) * CHOOSE(CONTROL!$C$16, $D$10, 100%, $F$10)</f>
        <v>12.2369</v>
      </c>
      <c r="I419" s="8">
        <f>CHOOSE( CONTROL!$C$33, 11.1328, 11.1313) * CHOOSE(CONTROL!$C$16, $D$10, 100%, $F$10)</f>
        <v>11.1328</v>
      </c>
      <c r="J419" s="4">
        <f>CHOOSE( CONTROL!$C$33, 11.0101, 11.0085) * CHOOSE(CONTROL!$C$16, $D$10, 100%, $F$10)</f>
        <v>11.0101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1.2927</v>
      </c>
      <c r="Q419" s="9">
        <v>20.2666</v>
      </c>
      <c r="R419" s="9"/>
      <c r="S419" s="11"/>
    </row>
    <row r="420" spans="1:19" ht="15" customHeight="1">
      <c r="A420" s="13">
        <v>53965</v>
      </c>
      <c r="B420" s="8">
        <f>CHOOSE( CONTROL!$C$33, 11.1173, 11.1157) * CHOOSE(CONTROL!$C$16, $D$10, 100%, $F$10)</f>
        <v>11.1173</v>
      </c>
      <c r="C420" s="8">
        <f>CHOOSE( CONTROL!$C$33, 11.1253, 11.1237) * CHOOSE(CONTROL!$C$16, $D$10, 100%, $F$10)</f>
        <v>11.125299999999999</v>
      </c>
      <c r="D420" s="8">
        <f>CHOOSE( CONTROL!$C$33, 11.1478, 11.1463) * CHOOSE( CONTROL!$C$16, $D$10, 100%, $F$10)</f>
        <v>11.1478</v>
      </c>
      <c r="E420" s="12">
        <f>CHOOSE( CONTROL!$C$33, 11.1384, 11.1369) * CHOOSE( CONTROL!$C$16, $D$10, 100%, $F$10)</f>
        <v>11.138400000000001</v>
      </c>
      <c r="F420" s="4">
        <f>CHOOSE( CONTROL!$C$33, 11.8942, 11.8926) * CHOOSE(CONTROL!$C$16, $D$10, 100%, $F$10)</f>
        <v>11.8942</v>
      </c>
      <c r="G420" s="8">
        <f>CHOOSE( CONTROL!$C$33, 11.0234, 11.0219) * CHOOSE( CONTROL!$C$16, $D$10, 100%, $F$10)</f>
        <v>11.023400000000001</v>
      </c>
      <c r="H420" s="4">
        <f>CHOOSE( CONTROL!$C$33, 12.0021, 12.0006) * CHOOSE(CONTROL!$C$16, $D$10, 100%, $F$10)</f>
        <v>12.0021</v>
      </c>
      <c r="I420" s="8">
        <f>CHOOSE( CONTROL!$C$33, 10.9017, 10.9001) * CHOOSE(CONTROL!$C$16, $D$10, 100%, $F$10)</f>
        <v>10.9017</v>
      </c>
      <c r="J420" s="4">
        <f>CHOOSE( CONTROL!$C$33, 10.7795, 10.7779) * CHOOSE(CONTROL!$C$16, $D$10, 100%, $F$10)</f>
        <v>10.779500000000001</v>
      </c>
      <c r="K420" s="4"/>
      <c r="L420" s="9">
        <v>29.7257</v>
      </c>
      <c r="M420" s="9">
        <v>11.6745</v>
      </c>
      <c r="N420" s="9">
        <v>4.7850000000000001</v>
      </c>
      <c r="O420" s="9">
        <v>0.36199999999999999</v>
      </c>
      <c r="P420" s="9">
        <v>1.2509999999999999</v>
      </c>
      <c r="Q420" s="9">
        <v>19.6128</v>
      </c>
      <c r="R420" s="9"/>
      <c r="S420" s="11"/>
    </row>
    <row r="421" spans="1:19" ht="15" customHeight="1">
      <c r="A421" s="13">
        <v>53996</v>
      </c>
      <c r="B421" s="8">
        <f>CHOOSE( CONTROL!$C$33, 11.6096, 11.6085) * CHOOSE(CONTROL!$C$16, $D$10, 100%, $F$10)</f>
        <v>11.6096</v>
      </c>
      <c r="C421" s="8">
        <f>CHOOSE( CONTROL!$C$33, 11.6149, 11.6138) * CHOOSE(CONTROL!$C$16, $D$10, 100%, $F$10)</f>
        <v>11.6149</v>
      </c>
      <c r="D421" s="8">
        <f>CHOOSE( CONTROL!$C$33, 11.6437, 11.6426) * CHOOSE( CONTROL!$C$16, $D$10, 100%, $F$10)</f>
        <v>11.643700000000001</v>
      </c>
      <c r="E421" s="12">
        <f>CHOOSE( CONTROL!$C$33, 11.6336, 11.6325) * CHOOSE( CONTROL!$C$16, $D$10, 100%, $F$10)</f>
        <v>11.633599999999999</v>
      </c>
      <c r="F421" s="4">
        <f>CHOOSE( CONTROL!$C$33, 12.3882, 12.3871) * CHOOSE(CONTROL!$C$16, $D$10, 100%, $F$10)</f>
        <v>12.388199999999999</v>
      </c>
      <c r="G421" s="8">
        <f>CHOOSE( CONTROL!$C$33, 11.5107, 11.5095) * CHOOSE( CONTROL!$C$16, $D$10, 100%, $F$10)</f>
        <v>11.5107</v>
      </c>
      <c r="H421" s="4">
        <f>CHOOSE( CONTROL!$C$33, 12.4892, 12.4881) * CHOOSE(CONTROL!$C$16, $D$10, 100%, $F$10)</f>
        <v>12.4892</v>
      </c>
      <c r="I421" s="8">
        <f>CHOOSE( CONTROL!$C$33, 11.3808, 11.3797) * CHOOSE(CONTROL!$C$16, $D$10, 100%, $F$10)</f>
        <v>11.380800000000001</v>
      </c>
      <c r="J421" s="4">
        <f>CHOOSE( CONTROL!$C$33, 11.2578, 11.2567) * CHOOSE(CONTROL!$C$16, $D$10, 100%, $F$10)</f>
        <v>11.2578</v>
      </c>
      <c r="K421" s="4"/>
      <c r="L421" s="9">
        <v>31.095300000000002</v>
      </c>
      <c r="M421" s="9">
        <v>12.063700000000001</v>
      </c>
      <c r="N421" s="9">
        <v>4.9444999999999997</v>
      </c>
      <c r="O421" s="9">
        <v>0.37409999999999999</v>
      </c>
      <c r="P421" s="9">
        <v>1.2927</v>
      </c>
      <c r="Q421" s="9">
        <v>20.2666</v>
      </c>
      <c r="R421" s="9"/>
      <c r="S421" s="11"/>
    </row>
    <row r="422" spans="1:19" ht="15" customHeight="1">
      <c r="A422" s="13">
        <v>54026</v>
      </c>
      <c r="B422" s="8">
        <f>CHOOSE( CONTROL!$C$33, 12.5219, 12.5208) * CHOOSE(CONTROL!$C$16, $D$10, 100%, $F$10)</f>
        <v>12.5219</v>
      </c>
      <c r="C422" s="8">
        <f>CHOOSE( CONTROL!$C$33, 12.527, 12.5258) * CHOOSE(CONTROL!$C$16, $D$10, 100%, $F$10)</f>
        <v>12.526999999999999</v>
      </c>
      <c r="D422" s="8">
        <f>CHOOSE( CONTROL!$C$33, 12.5066, 12.5055) * CHOOSE( CONTROL!$C$16, $D$10, 100%, $F$10)</f>
        <v>12.506600000000001</v>
      </c>
      <c r="E422" s="12">
        <f>CHOOSE( CONTROL!$C$33, 12.5135, 12.5124) * CHOOSE( CONTROL!$C$16, $D$10, 100%, $F$10)</f>
        <v>12.513500000000001</v>
      </c>
      <c r="F422" s="4">
        <f>CHOOSE( CONTROL!$C$33, 13.1847, 13.1836) * CHOOSE(CONTROL!$C$16, $D$10, 100%, $F$10)</f>
        <v>13.184699999999999</v>
      </c>
      <c r="G422" s="8">
        <f>CHOOSE( CONTROL!$C$33, 12.3831, 12.382) * CHOOSE( CONTROL!$C$16, $D$10, 100%, $F$10)</f>
        <v>12.383100000000001</v>
      </c>
      <c r="H422" s="4">
        <f>CHOOSE( CONTROL!$C$33, 13.2746, 13.2735) * CHOOSE(CONTROL!$C$16, $D$10, 100%, $F$10)</f>
        <v>13.2746</v>
      </c>
      <c r="I422" s="8">
        <f>CHOOSE( CONTROL!$C$33, 12.3128, 12.3117) * CHOOSE(CONTROL!$C$16, $D$10, 100%, $F$10)</f>
        <v>12.312799999999999</v>
      </c>
      <c r="J422" s="4">
        <f>CHOOSE( CONTROL!$C$33, 12.1416, 12.1405) * CHOOSE(CONTROL!$C$16, $D$10, 100%, $F$10)</f>
        <v>12.1416</v>
      </c>
      <c r="K422" s="4"/>
      <c r="L422" s="9">
        <v>28.360600000000002</v>
      </c>
      <c r="M422" s="9">
        <v>11.6745</v>
      </c>
      <c r="N422" s="9">
        <v>4.7850000000000001</v>
      </c>
      <c r="O422" s="9">
        <v>0.36199999999999999</v>
      </c>
      <c r="P422" s="9">
        <v>1.2509999999999999</v>
      </c>
      <c r="Q422" s="9">
        <v>19.6128</v>
      </c>
      <c r="R422" s="9"/>
      <c r="S422" s="11"/>
    </row>
    <row r="423" spans="1:19" ht="15" customHeight="1">
      <c r="A423" s="13">
        <v>54057</v>
      </c>
      <c r="B423" s="8">
        <f>CHOOSE( CONTROL!$C$33, 12.4991, 12.4979) * CHOOSE(CONTROL!$C$16, $D$10, 100%, $F$10)</f>
        <v>12.4991</v>
      </c>
      <c r="C423" s="8">
        <f>CHOOSE( CONTROL!$C$33, 12.5042, 12.503) * CHOOSE(CONTROL!$C$16, $D$10, 100%, $F$10)</f>
        <v>12.504200000000001</v>
      </c>
      <c r="D423" s="8">
        <f>CHOOSE( CONTROL!$C$33, 12.4853, 12.4842) * CHOOSE( CONTROL!$C$16, $D$10, 100%, $F$10)</f>
        <v>12.485300000000001</v>
      </c>
      <c r="E423" s="12">
        <f>CHOOSE( CONTROL!$C$33, 12.4917, 12.4905) * CHOOSE( CONTROL!$C$16, $D$10, 100%, $F$10)</f>
        <v>12.4917</v>
      </c>
      <c r="F423" s="4">
        <f>CHOOSE( CONTROL!$C$33, 13.1619, 13.1608) * CHOOSE(CONTROL!$C$16, $D$10, 100%, $F$10)</f>
        <v>13.161899999999999</v>
      </c>
      <c r="G423" s="8">
        <f>CHOOSE( CONTROL!$C$33, 12.3617, 12.3606) * CHOOSE( CONTROL!$C$16, $D$10, 100%, $F$10)</f>
        <v>12.361700000000001</v>
      </c>
      <c r="H423" s="4">
        <f>CHOOSE( CONTROL!$C$33, 13.2522, 13.2511) * CHOOSE(CONTROL!$C$16, $D$10, 100%, $F$10)</f>
        <v>13.2522</v>
      </c>
      <c r="I423" s="8">
        <f>CHOOSE( CONTROL!$C$33, 12.2953, 12.2942) * CHOOSE(CONTROL!$C$16, $D$10, 100%, $F$10)</f>
        <v>12.295299999999999</v>
      </c>
      <c r="J423" s="4">
        <f>CHOOSE( CONTROL!$C$33, 12.1195, 12.1184) * CHOOSE(CONTROL!$C$16, $D$10, 100%, $F$10)</f>
        <v>12.1195</v>
      </c>
      <c r="K423" s="4"/>
      <c r="L423" s="9">
        <v>29.306000000000001</v>
      </c>
      <c r="M423" s="9">
        <v>12.063700000000001</v>
      </c>
      <c r="N423" s="9">
        <v>4.9444999999999997</v>
      </c>
      <c r="O423" s="9">
        <v>0.37409999999999999</v>
      </c>
      <c r="P423" s="9">
        <v>1.2927</v>
      </c>
      <c r="Q423" s="9">
        <v>20.2666</v>
      </c>
      <c r="R423" s="9"/>
      <c r="S423" s="11"/>
    </row>
    <row r="424" spans="1:19" ht="15" customHeight="1">
      <c r="A424" s="13">
        <v>54088</v>
      </c>
      <c r="B424" s="8">
        <f>CHOOSE( CONTROL!$C$33, 12.8682, 12.8671) * CHOOSE(CONTROL!$C$16, $D$10, 100%, $F$10)</f>
        <v>12.8682</v>
      </c>
      <c r="C424" s="8">
        <f>CHOOSE( CONTROL!$C$33, 12.8733, 12.8722) * CHOOSE(CONTROL!$C$16, $D$10, 100%, $F$10)</f>
        <v>12.8733</v>
      </c>
      <c r="D424" s="8">
        <f>CHOOSE( CONTROL!$C$33, 12.8657, 12.8646) * CHOOSE( CONTROL!$C$16, $D$10, 100%, $F$10)</f>
        <v>12.8657</v>
      </c>
      <c r="E424" s="12">
        <f>CHOOSE( CONTROL!$C$33, 12.8679, 12.8668) * CHOOSE( CONTROL!$C$16, $D$10, 100%, $F$10)</f>
        <v>12.867900000000001</v>
      </c>
      <c r="F424" s="4">
        <f>CHOOSE( CONTROL!$C$33, 13.5311, 13.53) * CHOOSE(CONTROL!$C$16, $D$10, 100%, $F$10)</f>
        <v>13.5311</v>
      </c>
      <c r="G424" s="8">
        <f>CHOOSE( CONTROL!$C$33, 12.7316, 12.7304) * CHOOSE( CONTROL!$C$16, $D$10, 100%, $F$10)</f>
        <v>12.7316</v>
      </c>
      <c r="H424" s="4">
        <f>CHOOSE( CONTROL!$C$33, 13.6162, 13.6151) * CHOOSE(CONTROL!$C$16, $D$10, 100%, $F$10)</f>
        <v>13.616199999999999</v>
      </c>
      <c r="I424" s="8">
        <f>CHOOSE( CONTROL!$C$33, 12.6441, 12.6431) * CHOOSE(CONTROL!$C$16, $D$10, 100%, $F$10)</f>
        <v>12.6441</v>
      </c>
      <c r="J424" s="4">
        <f>CHOOSE( CONTROL!$C$33, 12.477, 12.4759) * CHOOSE(CONTROL!$C$16, $D$10, 100%, $F$10)</f>
        <v>12.477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20.201499999999999</v>
      </c>
      <c r="R424" s="9"/>
      <c r="S424" s="11"/>
    </row>
    <row r="425" spans="1:19" ht="15" customHeight="1">
      <c r="A425" s="13">
        <v>54116</v>
      </c>
      <c r="B425" s="8">
        <f>CHOOSE( CONTROL!$C$33, 12.0353, 12.0342) * CHOOSE(CONTROL!$C$16, $D$10, 100%, $F$10)</f>
        <v>12.035299999999999</v>
      </c>
      <c r="C425" s="8">
        <f>CHOOSE( CONTROL!$C$33, 12.0404, 12.0393) * CHOOSE(CONTROL!$C$16, $D$10, 100%, $F$10)</f>
        <v>12.0404</v>
      </c>
      <c r="D425" s="8">
        <f>CHOOSE( CONTROL!$C$33, 12.0326, 12.0314) * CHOOSE( CONTROL!$C$16, $D$10, 100%, $F$10)</f>
        <v>12.0326</v>
      </c>
      <c r="E425" s="12">
        <f>CHOOSE( CONTROL!$C$33, 12.0349, 12.0337) * CHOOSE( CONTROL!$C$16, $D$10, 100%, $F$10)</f>
        <v>12.0349</v>
      </c>
      <c r="F425" s="4">
        <f>CHOOSE( CONTROL!$C$33, 12.6981, 12.697) * CHOOSE(CONTROL!$C$16, $D$10, 100%, $F$10)</f>
        <v>12.6981</v>
      </c>
      <c r="G425" s="8">
        <f>CHOOSE( CONTROL!$C$33, 11.9101, 11.909) * CHOOSE( CONTROL!$C$16, $D$10, 100%, $F$10)</f>
        <v>11.9101</v>
      </c>
      <c r="H425" s="4">
        <f>CHOOSE( CONTROL!$C$33, 12.7948, 12.7937) * CHOOSE(CONTROL!$C$16, $D$10, 100%, $F$10)</f>
        <v>12.7948</v>
      </c>
      <c r="I425" s="8">
        <f>CHOOSE( CONTROL!$C$33, 11.8366, 11.8355) * CHOOSE(CONTROL!$C$16, $D$10, 100%, $F$10)</f>
        <v>11.836600000000001</v>
      </c>
      <c r="J425" s="4">
        <f>CHOOSE( CONTROL!$C$33, 11.6704, 11.6693) * CHOOSE(CONTROL!$C$16, $D$10, 100%, $F$10)</f>
        <v>11.670400000000001</v>
      </c>
      <c r="K425" s="4"/>
      <c r="L425" s="9">
        <v>27.415299999999998</v>
      </c>
      <c r="M425" s="9">
        <v>11.285299999999999</v>
      </c>
      <c r="N425" s="9">
        <v>4.6254999999999997</v>
      </c>
      <c r="O425" s="9">
        <v>0.34989999999999999</v>
      </c>
      <c r="P425" s="9">
        <v>1.2093</v>
      </c>
      <c r="Q425" s="9">
        <v>18.898099999999999</v>
      </c>
      <c r="R425" s="9"/>
      <c r="S425" s="11"/>
    </row>
    <row r="426" spans="1:19" ht="15" customHeight="1">
      <c r="A426" s="13">
        <v>54148</v>
      </c>
      <c r="B426" s="8">
        <f>CHOOSE( CONTROL!$C$33, 11.7787, 11.7776) * CHOOSE(CONTROL!$C$16, $D$10, 100%, $F$10)</f>
        <v>11.778700000000001</v>
      </c>
      <c r="C426" s="8">
        <f>CHOOSE( CONTROL!$C$33, 11.7838, 11.7827) * CHOOSE(CONTROL!$C$16, $D$10, 100%, $F$10)</f>
        <v>11.783799999999999</v>
      </c>
      <c r="D426" s="8">
        <f>CHOOSE( CONTROL!$C$33, 11.7753, 11.7742) * CHOOSE( CONTROL!$C$16, $D$10, 100%, $F$10)</f>
        <v>11.7753</v>
      </c>
      <c r="E426" s="12">
        <f>CHOOSE( CONTROL!$C$33, 11.7779, 11.7768) * CHOOSE( CONTROL!$C$16, $D$10, 100%, $F$10)</f>
        <v>11.777900000000001</v>
      </c>
      <c r="F426" s="4">
        <f>CHOOSE( CONTROL!$C$33, 12.4416, 12.4405) * CHOOSE(CONTROL!$C$16, $D$10, 100%, $F$10)</f>
        <v>12.441599999999999</v>
      </c>
      <c r="G426" s="8">
        <f>CHOOSE( CONTROL!$C$33, 11.6566, 11.6555) * CHOOSE( CONTROL!$C$16, $D$10, 100%, $F$10)</f>
        <v>11.656599999999999</v>
      </c>
      <c r="H426" s="4">
        <f>CHOOSE( CONTROL!$C$33, 12.5419, 12.5408) * CHOOSE(CONTROL!$C$16, $D$10, 100%, $F$10)</f>
        <v>12.5419</v>
      </c>
      <c r="I426" s="8">
        <f>CHOOSE( CONTROL!$C$33, 11.5858, 11.5847) * CHOOSE(CONTROL!$C$16, $D$10, 100%, $F$10)</f>
        <v>11.585800000000001</v>
      </c>
      <c r="J426" s="4">
        <f>CHOOSE( CONTROL!$C$33, 11.422, 11.4209) * CHOOSE(CONTROL!$C$16, $D$10, 100%, $F$10)</f>
        <v>11.422000000000001</v>
      </c>
      <c r="K426" s="4"/>
      <c r="L426" s="9">
        <v>29.306000000000001</v>
      </c>
      <c r="M426" s="9">
        <v>12.063700000000001</v>
      </c>
      <c r="N426" s="9">
        <v>4.9444999999999997</v>
      </c>
      <c r="O426" s="9">
        <v>0.37409999999999999</v>
      </c>
      <c r="P426" s="9">
        <v>1.2927</v>
      </c>
      <c r="Q426" s="9">
        <v>20.201499999999999</v>
      </c>
      <c r="R426" s="9"/>
      <c r="S426" s="11"/>
    </row>
    <row r="427" spans="1:19" ht="15" customHeight="1">
      <c r="A427" s="13">
        <v>54178</v>
      </c>
      <c r="B427" s="8">
        <f>CHOOSE( CONTROL!$C$33, 11.9588, 11.9576) * CHOOSE(CONTROL!$C$16, $D$10, 100%, $F$10)</f>
        <v>11.9588</v>
      </c>
      <c r="C427" s="8">
        <f>CHOOSE( CONTROL!$C$33, 11.9633, 11.9622) * CHOOSE(CONTROL!$C$16, $D$10, 100%, $F$10)</f>
        <v>11.9633</v>
      </c>
      <c r="D427" s="8">
        <f>CHOOSE( CONTROL!$C$33, 11.9922, 11.991) * CHOOSE( CONTROL!$C$16, $D$10, 100%, $F$10)</f>
        <v>11.9922</v>
      </c>
      <c r="E427" s="12">
        <f>CHOOSE( CONTROL!$C$33, 11.9821, 11.981) * CHOOSE( CONTROL!$C$16, $D$10, 100%, $F$10)</f>
        <v>11.982100000000001</v>
      </c>
      <c r="F427" s="4">
        <f>CHOOSE( CONTROL!$C$33, 12.7371, 12.7359) * CHOOSE(CONTROL!$C$16, $D$10, 100%, $F$10)</f>
        <v>12.7371</v>
      </c>
      <c r="G427" s="8">
        <f>CHOOSE( CONTROL!$C$33, 11.8543, 11.8532) * CHOOSE( CONTROL!$C$16, $D$10, 100%, $F$10)</f>
        <v>11.8543</v>
      </c>
      <c r="H427" s="4">
        <f>CHOOSE( CONTROL!$C$33, 12.8332, 12.8321) * CHOOSE(CONTROL!$C$16, $D$10, 100%, $F$10)</f>
        <v>12.8332</v>
      </c>
      <c r="I427" s="8">
        <f>CHOOSE( CONTROL!$C$33, 11.7175, 11.7164) * CHOOSE(CONTROL!$C$16, $D$10, 100%, $F$10)</f>
        <v>11.717499999999999</v>
      </c>
      <c r="J427" s="4">
        <f>CHOOSE( CONTROL!$C$33, 11.5956, 11.5945) * CHOOSE(CONTROL!$C$16, $D$10, 100%, $F$10)</f>
        <v>11.595599999999999</v>
      </c>
      <c r="K427" s="4"/>
      <c r="L427" s="9">
        <v>30.092199999999998</v>
      </c>
      <c r="M427" s="9">
        <v>11.6745</v>
      </c>
      <c r="N427" s="9">
        <v>4.7850000000000001</v>
      </c>
      <c r="O427" s="9">
        <v>0.36199999999999999</v>
      </c>
      <c r="P427" s="9">
        <v>1.2509999999999999</v>
      </c>
      <c r="Q427" s="9">
        <v>19.549800000000001</v>
      </c>
      <c r="R427" s="9"/>
      <c r="S427" s="11"/>
    </row>
    <row r="428" spans="1:19" ht="15" customHeight="1">
      <c r="A428" s="13">
        <v>54209</v>
      </c>
      <c r="B428" s="8">
        <f>CHOOSE( CONTROL!$C$33, 12.2796, 12.2781) * CHOOSE(CONTROL!$C$16, $D$10, 100%, $F$10)</f>
        <v>12.2796</v>
      </c>
      <c r="C428" s="8">
        <f>CHOOSE( CONTROL!$C$33, 12.2876, 12.2861) * CHOOSE(CONTROL!$C$16, $D$10, 100%, $F$10)</f>
        <v>12.287599999999999</v>
      </c>
      <c r="D428" s="8">
        <f>CHOOSE( CONTROL!$C$33, 12.3099, 12.3083) * CHOOSE( CONTROL!$C$16, $D$10, 100%, $F$10)</f>
        <v>12.309900000000001</v>
      </c>
      <c r="E428" s="12">
        <f>CHOOSE( CONTROL!$C$33, 12.3006, 12.299) * CHOOSE( CONTROL!$C$16, $D$10, 100%, $F$10)</f>
        <v>12.300599999999999</v>
      </c>
      <c r="F428" s="4">
        <f>CHOOSE( CONTROL!$C$33, 13.0566, 13.055) * CHOOSE(CONTROL!$C$16, $D$10, 100%, $F$10)</f>
        <v>13.0566</v>
      </c>
      <c r="G428" s="8">
        <f>CHOOSE( CONTROL!$C$33, 12.1693, 12.1677) * CHOOSE( CONTROL!$C$16, $D$10, 100%, $F$10)</f>
        <v>12.1693</v>
      </c>
      <c r="H428" s="4">
        <f>CHOOSE( CONTROL!$C$33, 13.1482, 13.1467) * CHOOSE(CONTROL!$C$16, $D$10, 100%, $F$10)</f>
        <v>13.148199999999999</v>
      </c>
      <c r="I428" s="8">
        <f>CHOOSE( CONTROL!$C$33, 12.0266, 12.0251) * CHOOSE(CONTROL!$C$16, $D$10, 100%, $F$10)</f>
        <v>12.0266</v>
      </c>
      <c r="J428" s="4">
        <f>CHOOSE( CONTROL!$C$33, 11.905, 11.9034) * CHOOSE(CONTROL!$C$16, $D$10, 100%, $F$10)</f>
        <v>11.904999999999999</v>
      </c>
      <c r="K428" s="4"/>
      <c r="L428" s="9">
        <v>30.7165</v>
      </c>
      <c r="M428" s="9">
        <v>12.063700000000001</v>
      </c>
      <c r="N428" s="9">
        <v>4.9444999999999997</v>
      </c>
      <c r="O428" s="9">
        <v>0.37409999999999999</v>
      </c>
      <c r="P428" s="9">
        <v>1.2927</v>
      </c>
      <c r="Q428" s="9">
        <v>20.201499999999999</v>
      </c>
      <c r="R428" s="9"/>
      <c r="S428" s="11"/>
    </row>
    <row r="429" spans="1:19" ht="15" customHeight="1">
      <c r="A429" s="13">
        <v>54239</v>
      </c>
      <c r="B429" s="8">
        <f>CHOOSE( CONTROL!$C$33, 12.082, 12.0804) * CHOOSE(CONTROL!$C$16, $D$10, 100%, $F$10)</f>
        <v>12.082000000000001</v>
      </c>
      <c r="C429" s="8">
        <f>CHOOSE( CONTROL!$C$33, 12.09, 12.0884) * CHOOSE(CONTROL!$C$16, $D$10, 100%, $F$10)</f>
        <v>12.09</v>
      </c>
      <c r="D429" s="8">
        <f>CHOOSE( CONTROL!$C$33, 12.1124, 12.1108) * CHOOSE( CONTROL!$C$16, $D$10, 100%, $F$10)</f>
        <v>12.112399999999999</v>
      </c>
      <c r="E429" s="12">
        <f>CHOOSE( CONTROL!$C$33, 12.1031, 12.1015) * CHOOSE( CONTROL!$C$16, $D$10, 100%, $F$10)</f>
        <v>12.1031</v>
      </c>
      <c r="F429" s="4">
        <f>CHOOSE( CONTROL!$C$33, 12.8589, 12.8573) * CHOOSE(CONTROL!$C$16, $D$10, 100%, $F$10)</f>
        <v>12.8589</v>
      </c>
      <c r="G429" s="8">
        <f>CHOOSE( CONTROL!$C$33, 11.9745, 11.973) * CHOOSE( CONTROL!$C$16, $D$10, 100%, $F$10)</f>
        <v>11.974500000000001</v>
      </c>
      <c r="H429" s="4">
        <f>CHOOSE( CONTROL!$C$33, 12.9534, 12.9518) * CHOOSE(CONTROL!$C$16, $D$10, 100%, $F$10)</f>
        <v>12.9534</v>
      </c>
      <c r="I429" s="8">
        <f>CHOOSE( CONTROL!$C$33, 11.8357, 11.8342) * CHOOSE(CONTROL!$C$16, $D$10, 100%, $F$10)</f>
        <v>11.835699999999999</v>
      </c>
      <c r="J429" s="4">
        <f>CHOOSE( CONTROL!$C$33, 11.7136, 11.7121) * CHOOSE(CONTROL!$C$16, $D$10, 100%, $F$10)</f>
        <v>11.7136</v>
      </c>
      <c r="K429" s="4"/>
      <c r="L429" s="9">
        <v>29.7257</v>
      </c>
      <c r="M429" s="9">
        <v>11.6745</v>
      </c>
      <c r="N429" s="9">
        <v>4.7850000000000001</v>
      </c>
      <c r="O429" s="9">
        <v>0.36199999999999999</v>
      </c>
      <c r="P429" s="9">
        <v>1.2509999999999999</v>
      </c>
      <c r="Q429" s="9">
        <v>19.549800000000001</v>
      </c>
      <c r="R429" s="9"/>
      <c r="S429" s="11"/>
    </row>
    <row r="430" spans="1:19" ht="15" customHeight="1">
      <c r="A430" s="13">
        <v>54270</v>
      </c>
      <c r="B430" s="8">
        <f>CHOOSE( CONTROL!$C$33, 12.6025, 12.6009) * CHOOSE(CONTROL!$C$16, $D$10, 100%, $F$10)</f>
        <v>12.602499999999999</v>
      </c>
      <c r="C430" s="8">
        <f>CHOOSE( CONTROL!$C$33, 12.6105, 12.6089) * CHOOSE(CONTROL!$C$16, $D$10, 100%, $F$10)</f>
        <v>12.6105</v>
      </c>
      <c r="D430" s="8">
        <f>CHOOSE( CONTROL!$C$33, 12.6331, 12.6315) * CHOOSE( CONTROL!$C$16, $D$10, 100%, $F$10)</f>
        <v>12.633100000000001</v>
      </c>
      <c r="E430" s="12">
        <f>CHOOSE( CONTROL!$C$33, 12.6237, 12.6221) * CHOOSE( CONTROL!$C$16, $D$10, 100%, $F$10)</f>
        <v>12.623699999999999</v>
      </c>
      <c r="F430" s="4">
        <f>CHOOSE( CONTROL!$C$33, 13.3794, 13.3778) * CHOOSE(CONTROL!$C$16, $D$10, 100%, $F$10)</f>
        <v>13.3794</v>
      </c>
      <c r="G430" s="8">
        <f>CHOOSE( CONTROL!$C$33, 12.4879, 12.4864) * CHOOSE( CONTROL!$C$16, $D$10, 100%, $F$10)</f>
        <v>12.4879</v>
      </c>
      <c r="H430" s="4">
        <f>CHOOSE( CONTROL!$C$33, 13.4666, 13.465) * CHOOSE(CONTROL!$C$16, $D$10, 100%, $F$10)</f>
        <v>13.4666</v>
      </c>
      <c r="I430" s="8">
        <f>CHOOSE( CONTROL!$C$33, 12.3407, 12.3392) * CHOOSE(CONTROL!$C$16, $D$10, 100%, $F$10)</f>
        <v>12.3407</v>
      </c>
      <c r="J430" s="4">
        <f>CHOOSE( CONTROL!$C$33, 12.2176, 12.216) * CHOOSE(CONTROL!$C$16, $D$10, 100%, $F$10)</f>
        <v>12.217599999999999</v>
      </c>
      <c r="K430" s="4"/>
      <c r="L430" s="9">
        <v>30.7165</v>
      </c>
      <c r="M430" s="9">
        <v>12.063700000000001</v>
      </c>
      <c r="N430" s="9">
        <v>4.9444999999999997</v>
      </c>
      <c r="O430" s="9">
        <v>0.37409999999999999</v>
      </c>
      <c r="P430" s="9">
        <v>1.2927</v>
      </c>
      <c r="Q430" s="9">
        <v>20.201499999999999</v>
      </c>
      <c r="R430" s="9"/>
      <c r="S430" s="11"/>
    </row>
    <row r="431" spans="1:19" ht="15" customHeight="1">
      <c r="A431" s="13">
        <v>54301</v>
      </c>
      <c r="B431" s="8">
        <f>CHOOSE( CONTROL!$C$33, 11.6286, 11.627) * CHOOSE(CONTROL!$C$16, $D$10, 100%, $F$10)</f>
        <v>11.6286</v>
      </c>
      <c r="C431" s="8">
        <f>CHOOSE( CONTROL!$C$33, 11.6366, 11.635) * CHOOSE(CONTROL!$C$16, $D$10, 100%, $F$10)</f>
        <v>11.6366</v>
      </c>
      <c r="D431" s="8">
        <f>CHOOSE( CONTROL!$C$33, 11.6593, 11.6577) * CHOOSE( CONTROL!$C$16, $D$10, 100%, $F$10)</f>
        <v>11.6593</v>
      </c>
      <c r="E431" s="12">
        <f>CHOOSE( CONTROL!$C$33, 11.6499, 11.6483) * CHOOSE( CONTROL!$C$16, $D$10, 100%, $F$10)</f>
        <v>11.649900000000001</v>
      </c>
      <c r="F431" s="4">
        <f>CHOOSE( CONTROL!$C$33, 12.4055, 12.404) * CHOOSE(CONTROL!$C$16, $D$10, 100%, $F$10)</f>
        <v>12.4055</v>
      </c>
      <c r="G431" s="8">
        <f>CHOOSE( CONTROL!$C$33, 11.5277, 11.5261) * CHOOSE( CONTROL!$C$16, $D$10, 100%, $F$10)</f>
        <v>11.527699999999999</v>
      </c>
      <c r="H431" s="4">
        <f>CHOOSE( CONTROL!$C$33, 12.5063, 12.5047) * CHOOSE(CONTROL!$C$16, $D$10, 100%, $F$10)</f>
        <v>12.5063</v>
      </c>
      <c r="I431" s="8">
        <f>CHOOSE( CONTROL!$C$33, 11.3974, 11.3959) * CHOOSE(CONTROL!$C$16, $D$10, 100%, $F$10)</f>
        <v>11.397399999999999</v>
      </c>
      <c r="J431" s="4">
        <f>CHOOSE( CONTROL!$C$33, 11.2746, 11.2731) * CHOOSE(CONTROL!$C$16, $D$10, 100%, $F$10)</f>
        <v>11.2746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1.2927</v>
      </c>
      <c r="Q431" s="9">
        <v>20.201499999999999</v>
      </c>
      <c r="R431" s="9"/>
      <c r="S431" s="11"/>
    </row>
    <row r="432" spans="1:19" ht="15" customHeight="1">
      <c r="A432" s="13">
        <v>54331</v>
      </c>
      <c r="B432" s="8">
        <f>CHOOSE( CONTROL!$C$33, 11.3847, 11.3832) * CHOOSE(CONTROL!$C$16, $D$10, 100%, $F$10)</f>
        <v>11.3847</v>
      </c>
      <c r="C432" s="8">
        <f>CHOOSE( CONTROL!$C$33, 11.3927, 11.3912) * CHOOSE(CONTROL!$C$16, $D$10, 100%, $F$10)</f>
        <v>11.3927</v>
      </c>
      <c r="D432" s="8">
        <f>CHOOSE( CONTROL!$C$33, 11.4153, 11.4137) * CHOOSE( CONTROL!$C$16, $D$10, 100%, $F$10)</f>
        <v>11.4153</v>
      </c>
      <c r="E432" s="12">
        <f>CHOOSE( CONTROL!$C$33, 11.4059, 11.4043) * CHOOSE( CONTROL!$C$16, $D$10, 100%, $F$10)</f>
        <v>11.405900000000001</v>
      </c>
      <c r="F432" s="4">
        <f>CHOOSE( CONTROL!$C$33, 12.1617, 12.1601) * CHOOSE(CONTROL!$C$16, $D$10, 100%, $F$10)</f>
        <v>12.1617</v>
      </c>
      <c r="G432" s="8">
        <f>CHOOSE( CONTROL!$C$33, 11.2871, 11.2856) * CHOOSE( CONTROL!$C$16, $D$10, 100%, $F$10)</f>
        <v>11.287100000000001</v>
      </c>
      <c r="H432" s="4">
        <f>CHOOSE( CONTROL!$C$33, 12.2658, 12.2643) * CHOOSE(CONTROL!$C$16, $D$10, 100%, $F$10)</f>
        <v>12.2658</v>
      </c>
      <c r="I432" s="8">
        <f>CHOOSE( CONTROL!$C$33, 11.1608, 11.1592) * CHOOSE(CONTROL!$C$16, $D$10, 100%, $F$10)</f>
        <v>11.1608</v>
      </c>
      <c r="J432" s="4">
        <f>CHOOSE( CONTROL!$C$33, 11.0384, 11.0369) * CHOOSE(CONTROL!$C$16, $D$10, 100%, $F$10)</f>
        <v>11.038399999999999</v>
      </c>
      <c r="K432" s="4"/>
      <c r="L432" s="9">
        <v>29.7257</v>
      </c>
      <c r="M432" s="9">
        <v>11.6745</v>
      </c>
      <c r="N432" s="9">
        <v>4.7850000000000001</v>
      </c>
      <c r="O432" s="9">
        <v>0.36199999999999999</v>
      </c>
      <c r="P432" s="9">
        <v>1.2509999999999999</v>
      </c>
      <c r="Q432" s="9">
        <v>19.549800000000001</v>
      </c>
      <c r="R432" s="9"/>
      <c r="S432" s="11"/>
    </row>
    <row r="433" spans="1:19" ht="15" customHeight="1">
      <c r="A433" s="13">
        <v>54362</v>
      </c>
      <c r="B433" s="8">
        <f>CHOOSE( CONTROL!$C$33, 11.8889, 11.8878) * CHOOSE(CONTROL!$C$16, $D$10, 100%, $F$10)</f>
        <v>11.8889</v>
      </c>
      <c r="C433" s="8">
        <f>CHOOSE( CONTROL!$C$33, 11.8943, 11.8931) * CHOOSE(CONTROL!$C$16, $D$10, 100%, $F$10)</f>
        <v>11.894299999999999</v>
      </c>
      <c r="D433" s="8">
        <f>CHOOSE( CONTROL!$C$33, 11.923, 11.9219) * CHOOSE( CONTROL!$C$16, $D$10, 100%, $F$10)</f>
        <v>11.923</v>
      </c>
      <c r="E433" s="12">
        <f>CHOOSE( CONTROL!$C$33, 11.913, 11.9118) * CHOOSE( CONTROL!$C$16, $D$10, 100%, $F$10)</f>
        <v>11.913</v>
      </c>
      <c r="F433" s="4">
        <f>CHOOSE( CONTROL!$C$33, 12.6676, 12.6664) * CHOOSE(CONTROL!$C$16, $D$10, 100%, $F$10)</f>
        <v>12.6676</v>
      </c>
      <c r="G433" s="8">
        <f>CHOOSE( CONTROL!$C$33, 11.7861, 11.785) * CHOOSE( CONTROL!$C$16, $D$10, 100%, $F$10)</f>
        <v>11.786099999999999</v>
      </c>
      <c r="H433" s="4">
        <f>CHOOSE( CONTROL!$C$33, 12.7647, 12.7636) * CHOOSE(CONTROL!$C$16, $D$10, 100%, $F$10)</f>
        <v>12.764699999999999</v>
      </c>
      <c r="I433" s="8">
        <f>CHOOSE( CONTROL!$C$33, 11.6514, 11.6504) * CHOOSE(CONTROL!$C$16, $D$10, 100%, $F$10)</f>
        <v>11.651400000000001</v>
      </c>
      <c r="J433" s="4">
        <f>CHOOSE( CONTROL!$C$33, 11.5283, 11.5272) * CHOOSE(CONTROL!$C$16, $D$10, 100%, $F$10)</f>
        <v>11.5283</v>
      </c>
      <c r="K433" s="4"/>
      <c r="L433" s="9">
        <v>31.095300000000002</v>
      </c>
      <c r="M433" s="9">
        <v>12.063700000000001</v>
      </c>
      <c r="N433" s="9">
        <v>4.9444999999999997</v>
      </c>
      <c r="O433" s="9">
        <v>0.37409999999999999</v>
      </c>
      <c r="P433" s="9">
        <v>1.2927</v>
      </c>
      <c r="Q433" s="9">
        <v>20.201499999999999</v>
      </c>
      <c r="R433" s="9"/>
      <c r="S433" s="11"/>
    </row>
    <row r="434" spans="1:19" ht="15" customHeight="1">
      <c r="A434" s="13">
        <v>54392</v>
      </c>
      <c r="B434" s="8">
        <f>CHOOSE( CONTROL!$C$33, 12.8231, 12.822) * CHOOSE(CONTROL!$C$16, $D$10, 100%, $F$10)</f>
        <v>12.8231</v>
      </c>
      <c r="C434" s="8">
        <f>CHOOSE( CONTROL!$C$33, 12.8282, 12.8271) * CHOOSE(CONTROL!$C$16, $D$10, 100%, $F$10)</f>
        <v>12.828200000000001</v>
      </c>
      <c r="D434" s="8">
        <f>CHOOSE( CONTROL!$C$33, 12.8079, 12.8068) * CHOOSE( CONTROL!$C$16, $D$10, 100%, $F$10)</f>
        <v>12.8079</v>
      </c>
      <c r="E434" s="12">
        <f>CHOOSE( CONTROL!$C$33, 12.8148, 12.8137) * CHOOSE( CONTROL!$C$16, $D$10, 100%, $F$10)</f>
        <v>12.8148</v>
      </c>
      <c r="F434" s="4">
        <f>CHOOSE( CONTROL!$C$33, 13.486, 13.4849) * CHOOSE(CONTROL!$C$16, $D$10, 100%, $F$10)</f>
        <v>13.486000000000001</v>
      </c>
      <c r="G434" s="8">
        <f>CHOOSE( CONTROL!$C$33, 12.6802, 12.6791) * CHOOSE( CONTROL!$C$16, $D$10, 100%, $F$10)</f>
        <v>12.680199999999999</v>
      </c>
      <c r="H434" s="4">
        <f>CHOOSE( CONTROL!$C$33, 13.5717, 13.5706) * CHOOSE(CONTROL!$C$16, $D$10, 100%, $F$10)</f>
        <v>13.5717</v>
      </c>
      <c r="I434" s="8">
        <f>CHOOSE( CONTROL!$C$33, 12.6047, 12.6036) * CHOOSE(CONTROL!$C$16, $D$10, 100%, $F$10)</f>
        <v>12.604699999999999</v>
      </c>
      <c r="J434" s="4">
        <f>CHOOSE( CONTROL!$C$33, 12.4333, 12.4322) * CHOOSE(CONTROL!$C$16, $D$10, 100%, $F$10)</f>
        <v>12.433299999999999</v>
      </c>
      <c r="K434" s="4"/>
      <c r="L434" s="9">
        <v>28.360600000000002</v>
      </c>
      <c r="M434" s="9">
        <v>11.6745</v>
      </c>
      <c r="N434" s="9">
        <v>4.7850000000000001</v>
      </c>
      <c r="O434" s="9">
        <v>0.36199999999999999</v>
      </c>
      <c r="P434" s="9">
        <v>1.2509999999999999</v>
      </c>
      <c r="Q434" s="9">
        <v>19.549800000000001</v>
      </c>
      <c r="R434" s="9"/>
      <c r="S434" s="11"/>
    </row>
    <row r="435" spans="1:19" ht="15" customHeight="1">
      <c r="A435" s="13">
        <v>54423</v>
      </c>
      <c r="B435" s="8">
        <f>CHOOSE( CONTROL!$C$33, 12.7998, 12.7987) * CHOOSE(CONTROL!$C$16, $D$10, 100%, $F$10)</f>
        <v>12.799799999999999</v>
      </c>
      <c r="C435" s="8">
        <f>CHOOSE( CONTROL!$C$33, 12.8049, 12.8038) * CHOOSE(CONTROL!$C$16, $D$10, 100%, $F$10)</f>
        <v>12.8049</v>
      </c>
      <c r="D435" s="8">
        <f>CHOOSE( CONTROL!$C$33, 12.786, 12.7849) * CHOOSE( CONTROL!$C$16, $D$10, 100%, $F$10)</f>
        <v>12.786</v>
      </c>
      <c r="E435" s="12">
        <f>CHOOSE( CONTROL!$C$33, 12.7924, 12.7913) * CHOOSE( CONTROL!$C$16, $D$10, 100%, $F$10)</f>
        <v>12.792400000000001</v>
      </c>
      <c r="F435" s="4">
        <f>CHOOSE( CONTROL!$C$33, 13.4626, 13.4615) * CHOOSE(CONTROL!$C$16, $D$10, 100%, $F$10)</f>
        <v>13.4626</v>
      </c>
      <c r="G435" s="8">
        <f>CHOOSE( CONTROL!$C$33, 12.6582, 12.6571) * CHOOSE( CONTROL!$C$16, $D$10, 100%, $F$10)</f>
        <v>12.658200000000001</v>
      </c>
      <c r="H435" s="4">
        <f>CHOOSE( CONTROL!$C$33, 13.5487, 13.5476) * CHOOSE(CONTROL!$C$16, $D$10, 100%, $F$10)</f>
        <v>13.5487</v>
      </c>
      <c r="I435" s="8">
        <f>CHOOSE( CONTROL!$C$33, 12.5866, 12.5855) * CHOOSE(CONTROL!$C$16, $D$10, 100%, $F$10)</f>
        <v>12.586600000000001</v>
      </c>
      <c r="J435" s="4">
        <f>CHOOSE( CONTROL!$C$33, 12.4107, 12.4096) * CHOOSE(CONTROL!$C$16, $D$10, 100%, $F$10)</f>
        <v>12.4107</v>
      </c>
      <c r="K435" s="4"/>
      <c r="L435" s="9">
        <v>29.306000000000001</v>
      </c>
      <c r="M435" s="9">
        <v>12.063700000000001</v>
      </c>
      <c r="N435" s="9">
        <v>4.9444999999999997</v>
      </c>
      <c r="O435" s="9">
        <v>0.37409999999999999</v>
      </c>
      <c r="P435" s="9">
        <v>1.2927</v>
      </c>
      <c r="Q435" s="9">
        <v>20.201499999999999</v>
      </c>
      <c r="R435" s="9"/>
      <c r="S435" s="11"/>
    </row>
    <row r="436" spans="1:19" ht="15" customHeight="1">
      <c r="A436" s="13">
        <v>54454</v>
      </c>
      <c r="B436" s="8">
        <f>CHOOSE( CONTROL!$C$33, 13.1778, 13.1767) * CHOOSE(CONTROL!$C$16, $D$10, 100%, $F$10)</f>
        <v>13.1778</v>
      </c>
      <c r="C436" s="8">
        <f>CHOOSE( CONTROL!$C$33, 13.1829, 13.1818) * CHOOSE(CONTROL!$C$16, $D$10, 100%, $F$10)</f>
        <v>13.1829</v>
      </c>
      <c r="D436" s="8">
        <f>CHOOSE( CONTROL!$C$33, 13.1753, 13.1741) * CHOOSE( CONTROL!$C$16, $D$10, 100%, $F$10)</f>
        <v>13.1753</v>
      </c>
      <c r="E436" s="12">
        <f>CHOOSE( CONTROL!$C$33, 13.1775, 13.1764) * CHOOSE( CONTROL!$C$16, $D$10, 100%, $F$10)</f>
        <v>13.1775</v>
      </c>
      <c r="F436" s="4">
        <f>CHOOSE( CONTROL!$C$33, 13.8407, 13.8395) * CHOOSE(CONTROL!$C$16, $D$10, 100%, $F$10)</f>
        <v>13.8407</v>
      </c>
      <c r="G436" s="8">
        <f>CHOOSE( CONTROL!$C$33, 13.0368, 13.0357) * CHOOSE( CONTROL!$C$16, $D$10, 100%, $F$10)</f>
        <v>13.036799999999999</v>
      </c>
      <c r="H436" s="4">
        <f>CHOOSE( CONTROL!$C$33, 13.9214, 13.9203) * CHOOSE(CONTROL!$C$16, $D$10, 100%, $F$10)</f>
        <v>13.9214</v>
      </c>
      <c r="I436" s="8">
        <f>CHOOSE( CONTROL!$C$33, 12.9441, 12.943) * CHOOSE(CONTROL!$C$16, $D$10, 100%, $F$10)</f>
        <v>12.944100000000001</v>
      </c>
      <c r="J436" s="4">
        <f>CHOOSE( CONTROL!$C$33, 12.7767, 12.7756) * CHOOSE(CONTROL!$C$16, $D$10, 100%, $F$10)</f>
        <v>12.7767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20.136399999999998</v>
      </c>
      <c r="R436" s="9"/>
      <c r="S436" s="11"/>
    </row>
    <row r="437" spans="1:19" ht="15" customHeight="1">
      <c r="A437" s="13">
        <v>54482</v>
      </c>
      <c r="B437" s="8">
        <f>CHOOSE( CONTROL!$C$33, 12.3248, 12.3237) * CHOOSE(CONTROL!$C$16, $D$10, 100%, $F$10)</f>
        <v>12.3248</v>
      </c>
      <c r="C437" s="8">
        <f>CHOOSE( CONTROL!$C$33, 12.3299, 12.3288) * CHOOSE(CONTROL!$C$16, $D$10, 100%, $F$10)</f>
        <v>12.3299</v>
      </c>
      <c r="D437" s="8">
        <f>CHOOSE( CONTROL!$C$33, 12.3221, 12.321) * CHOOSE( CONTROL!$C$16, $D$10, 100%, $F$10)</f>
        <v>12.322100000000001</v>
      </c>
      <c r="E437" s="12">
        <f>CHOOSE( CONTROL!$C$33, 12.3244, 12.3233) * CHOOSE( CONTROL!$C$16, $D$10, 100%, $F$10)</f>
        <v>12.324400000000001</v>
      </c>
      <c r="F437" s="4">
        <f>CHOOSE( CONTROL!$C$33, 12.9877, 12.9866) * CHOOSE(CONTROL!$C$16, $D$10, 100%, $F$10)</f>
        <v>12.9877</v>
      </c>
      <c r="G437" s="8">
        <f>CHOOSE( CONTROL!$C$33, 12.1956, 12.1945) * CHOOSE( CONTROL!$C$16, $D$10, 100%, $F$10)</f>
        <v>12.195600000000001</v>
      </c>
      <c r="H437" s="4">
        <f>CHOOSE( CONTROL!$C$33, 13.0804, 13.0793) * CHOOSE(CONTROL!$C$16, $D$10, 100%, $F$10)</f>
        <v>13.080399999999999</v>
      </c>
      <c r="I437" s="8">
        <f>CHOOSE( CONTROL!$C$33, 12.1171, 12.1161) * CHOOSE(CONTROL!$C$16, $D$10, 100%, $F$10)</f>
        <v>12.117100000000001</v>
      </c>
      <c r="J437" s="4">
        <f>CHOOSE( CONTROL!$C$33, 11.9508, 11.9497) * CHOOSE(CONTROL!$C$16, $D$10, 100%, $F$10)</f>
        <v>11.950799999999999</v>
      </c>
      <c r="K437" s="4"/>
      <c r="L437" s="9">
        <v>26.469899999999999</v>
      </c>
      <c r="M437" s="9">
        <v>10.8962</v>
      </c>
      <c r="N437" s="9">
        <v>4.4660000000000002</v>
      </c>
      <c r="O437" s="9">
        <v>0.33789999999999998</v>
      </c>
      <c r="P437" s="9">
        <v>1.1676</v>
      </c>
      <c r="Q437" s="9">
        <v>18.1877</v>
      </c>
      <c r="R437" s="9"/>
      <c r="S437" s="11"/>
    </row>
    <row r="438" spans="1:19" ht="15" customHeight="1">
      <c r="A438" s="13">
        <v>54513</v>
      </c>
      <c r="B438" s="8">
        <f>CHOOSE( CONTROL!$C$33, 12.0621, 12.061) * CHOOSE(CONTROL!$C$16, $D$10, 100%, $F$10)</f>
        <v>12.062099999999999</v>
      </c>
      <c r="C438" s="8">
        <f>CHOOSE( CONTROL!$C$33, 12.0672, 12.0661) * CHOOSE(CONTROL!$C$16, $D$10, 100%, $F$10)</f>
        <v>12.0672</v>
      </c>
      <c r="D438" s="8">
        <f>CHOOSE( CONTROL!$C$33, 12.0587, 12.0576) * CHOOSE( CONTROL!$C$16, $D$10, 100%, $F$10)</f>
        <v>12.0587</v>
      </c>
      <c r="E438" s="12">
        <f>CHOOSE( CONTROL!$C$33, 12.0613, 12.0602) * CHOOSE( CONTROL!$C$16, $D$10, 100%, $F$10)</f>
        <v>12.061299999999999</v>
      </c>
      <c r="F438" s="4">
        <f>CHOOSE( CONTROL!$C$33, 12.725, 12.7239) * CHOOSE(CONTROL!$C$16, $D$10, 100%, $F$10)</f>
        <v>12.725</v>
      </c>
      <c r="G438" s="8">
        <f>CHOOSE( CONTROL!$C$33, 11.936, 11.9349) * CHOOSE( CONTROL!$C$16, $D$10, 100%, $F$10)</f>
        <v>11.936</v>
      </c>
      <c r="H438" s="4">
        <f>CHOOSE( CONTROL!$C$33, 12.8213, 12.8202) * CHOOSE(CONTROL!$C$16, $D$10, 100%, $F$10)</f>
        <v>12.821300000000001</v>
      </c>
      <c r="I438" s="8">
        <f>CHOOSE( CONTROL!$C$33, 11.8604, 11.8593) * CHOOSE(CONTROL!$C$16, $D$10, 100%, $F$10)</f>
        <v>11.8604</v>
      </c>
      <c r="J438" s="4">
        <f>CHOOSE( CONTROL!$C$33, 11.6964, 11.6953) * CHOOSE(CONTROL!$C$16, $D$10, 100%, $F$10)</f>
        <v>11.696400000000001</v>
      </c>
      <c r="K438" s="4"/>
      <c r="L438" s="9">
        <v>29.306000000000001</v>
      </c>
      <c r="M438" s="9">
        <v>12.063700000000001</v>
      </c>
      <c r="N438" s="9">
        <v>4.9444999999999997</v>
      </c>
      <c r="O438" s="9">
        <v>0.37409999999999999</v>
      </c>
      <c r="P438" s="9">
        <v>1.2927</v>
      </c>
      <c r="Q438" s="9">
        <v>20.136399999999998</v>
      </c>
      <c r="R438" s="9"/>
      <c r="S438" s="11"/>
    </row>
    <row r="439" spans="1:19" ht="15" customHeight="1">
      <c r="A439" s="13">
        <v>54543</v>
      </c>
      <c r="B439" s="8">
        <f>CHOOSE( CONTROL!$C$33, 12.2465, 12.2454) * CHOOSE(CONTROL!$C$16, $D$10, 100%, $F$10)</f>
        <v>12.246499999999999</v>
      </c>
      <c r="C439" s="8">
        <f>CHOOSE( CONTROL!$C$33, 12.251, 12.2499) * CHOOSE(CONTROL!$C$16, $D$10, 100%, $F$10)</f>
        <v>12.250999999999999</v>
      </c>
      <c r="D439" s="8">
        <f>CHOOSE( CONTROL!$C$33, 12.2799, 12.2787) * CHOOSE( CONTROL!$C$16, $D$10, 100%, $F$10)</f>
        <v>12.2799</v>
      </c>
      <c r="E439" s="12">
        <f>CHOOSE( CONTROL!$C$33, 12.2698, 12.2687) * CHOOSE( CONTROL!$C$16, $D$10, 100%, $F$10)</f>
        <v>12.2698</v>
      </c>
      <c r="F439" s="4">
        <f>CHOOSE( CONTROL!$C$33, 13.0248, 13.0236) * CHOOSE(CONTROL!$C$16, $D$10, 100%, $F$10)</f>
        <v>13.024800000000001</v>
      </c>
      <c r="G439" s="8">
        <f>CHOOSE( CONTROL!$C$33, 12.138, 12.1369) * CHOOSE( CONTROL!$C$16, $D$10, 100%, $F$10)</f>
        <v>12.138</v>
      </c>
      <c r="H439" s="4">
        <f>CHOOSE( CONTROL!$C$33, 13.1169, 13.1158) * CHOOSE(CONTROL!$C$16, $D$10, 100%, $F$10)</f>
        <v>13.116899999999999</v>
      </c>
      <c r="I439" s="8">
        <f>CHOOSE( CONTROL!$C$33, 11.9962, 11.9951) * CHOOSE(CONTROL!$C$16, $D$10, 100%, $F$10)</f>
        <v>11.9962</v>
      </c>
      <c r="J439" s="4">
        <f>CHOOSE( CONTROL!$C$33, 11.8742, 11.8731) * CHOOSE(CONTROL!$C$16, $D$10, 100%, $F$10)</f>
        <v>11.8742</v>
      </c>
      <c r="K439" s="4"/>
      <c r="L439" s="9">
        <v>30.092199999999998</v>
      </c>
      <c r="M439" s="9">
        <v>11.6745</v>
      </c>
      <c r="N439" s="9">
        <v>4.7850000000000001</v>
      </c>
      <c r="O439" s="9">
        <v>0.36199999999999999</v>
      </c>
      <c r="P439" s="9">
        <v>1.2509999999999999</v>
      </c>
      <c r="Q439" s="9">
        <v>19.486799999999999</v>
      </c>
      <c r="R439" s="9"/>
      <c r="S439" s="11"/>
    </row>
    <row r="440" spans="1:19" ht="15" customHeight="1">
      <c r="A440" s="13">
        <v>54574</v>
      </c>
      <c r="B440" s="8">
        <f>CHOOSE( CONTROL!$C$33, 12.575, 12.5734) * CHOOSE(CONTROL!$C$16, $D$10, 100%, $F$10)</f>
        <v>12.574999999999999</v>
      </c>
      <c r="C440" s="8">
        <f>CHOOSE( CONTROL!$C$33, 12.583, 12.5814) * CHOOSE(CONTROL!$C$16, $D$10, 100%, $F$10)</f>
        <v>12.583</v>
      </c>
      <c r="D440" s="8">
        <f>CHOOSE( CONTROL!$C$33, 12.6052, 12.6037) * CHOOSE( CONTROL!$C$16, $D$10, 100%, $F$10)</f>
        <v>12.6052</v>
      </c>
      <c r="E440" s="12">
        <f>CHOOSE( CONTROL!$C$33, 12.5959, 12.5944) * CHOOSE( CONTROL!$C$16, $D$10, 100%, $F$10)</f>
        <v>12.5959</v>
      </c>
      <c r="F440" s="4">
        <f>CHOOSE( CONTROL!$C$33, 13.3519, 13.3504) * CHOOSE(CONTROL!$C$16, $D$10, 100%, $F$10)</f>
        <v>13.351900000000001</v>
      </c>
      <c r="G440" s="8">
        <f>CHOOSE( CONTROL!$C$33, 12.4605, 12.459) * CHOOSE( CONTROL!$C$16, $D$10, 100%, $F$10)</f>
        <v>12.4605</v>
      </c>
      <c r="H440" s="4">
        <f>CHOOSE( CONTROL!$C$33, 13.4395, 13.438) * CHOOSE(CONTROL!$C$16, $D$10, 100%, $F$10)</f>
        <v>13.439500000000001</v>
      </c>
      <c r="I440" s="8">
        <f>CHOOSE( CONTROL!$C$33, 12.3128, 12.3113) * CHOOSE(CONTROL!$C$16, $D$10, 100%, $F$10)</f>
        <v>12.312799999999999</v>
      </c>
      <c r="J440" s="4">
        <f>CHOOSE( CONTROL!$C$33, 12.191, 12.1895) * CHOOSE(CONTROL!$C$16, $D$10, 100%, $F$10)</f>
        <v>12.191000000000001</v>
      </c>
      <c r="K440" s="4"/>
      <c r="L440" s="9">
        <v>30.7165</v>
      </c>
      <c r="M440" s="9">
        <v>12.063700000000001</v>
      </c>
      <c r="N440" s="9">
        <v>4.9444999999999997</v>
      </c>
      <c r="O440" s="9">
        <v>0.37409999999999999</v>
      </c>
      <c r="P440" s="9">
        <v>1.2927</v>
      </c>
      <c r="Q440" s="9">
        <v>20.136399999999998</v>
      </c>
      <c r="R440" s="9"/>
      <c r="S440" s="11"/>
    </row>
    <row r="441" spans="1:19" ht="15" customHeight="1">
      <c r="A441" s="13">
        <v>54604</v>
      </c>
      <c r="B441" s="8">
        <f>CHOOSE( CONTROL!$C$33, 12.3726, 12.371) * CHOOSE(CONTROL!$C$16, $D$10, 100%, $F$10)</f>
        <v>12.3726</v>
      </c>
      <c r="C441" s="8">
        <f>CHOOSE( CONTROL!$C$33, 12.3806, 12.379) * CHOOSE(CONTROL!$C$16, $D$10, 100%, $F$10)</f>
        <v>12.380599999999999</v>
      </c>
      <c r="D441" s="8">
        <f>CHOOSE( CONTROL!$C$33, 12.403, 12.4014) * CHOOSE( CONTROL!$C$16, $D$10, 100%, $F$10)</f>
        <v>12.403</v>
      </c>
      <c r="E441" s="12">
        <f>CHOOSE( CONTROL!$C$33, 12.3937, 12.3921) * CHOOSE( CONTROL!$C$16, $D$10, 100%, $F$10)</f>
        <v>12.393700000000001</v>
      </c>
      <c r="F441" s="4">
        <f>CHOOSE( CONTROL!$C$33, 13.1495, 13.148) * CHOOSE(CONTROL!$C$16, $D$10, 100%, $F$10)</f>
        <v>13.1495</v>
      </c>
      <c r="G441" s="8">
        <f>CHOOSE( CONTROL!$C$33, 12.2611, 12.2596) * CHOOSE( CONTROL!$C$16, $D$10, 100%, $F$10)</f>
        <v>12.261100000000001</v>
      </c>
      <c r="H441" s="4">
        <f>CHOOSE( CONTROL!$C$33, 13.2399, 13.2384) * CHOOSE(CONTROL!$C$16, $D$10, 100%, $F$10)</f>
        <v>13.2399</v>
      </c>
      <c r="I441" s="8">
        <f>CHOOSE( CONTROL!$C$33, 12.1173, 12.1158) * CHOOSE(CONTROL!$C$16, $D$10, 100%, $F$10)</f>
        <v>12.1173</v>
      </c>
      <c r="J441" s="4">
        <f>CHOOSE( CONTROL!$C$33, 11.995, 11.9935) * CHOOSE(CONTROL!$C$16, $D$10, 100%, $F$10)</f>
        <v>11.994999999999999</v>
      </c>
      <c r="K441" s="4"/>
      <c r="L441" s="9">
        <v>29.7257</v>
      </c>
      <c r="M441" s="9">
        <v>11.6745</v>
      </c>
      <c r="N441" s="9">
        <v>4.7850000000000001</v>
      </c>
      <c r="O441" s="9">
        <v>0.36199999999999999</v>
      </c>
      <c r="P441" s="9">
        <v>1.2509999999999999</v>
      </c>
      <c r="Q441" s="9">
        <v>19.486799999999999</v>
      </c>
      <c r="R441" s="9"/>
      <c r="S441" s="11"/>
    </row>
    <row r="442" spans="1:19" ht="15" customHeight="1">
      <c r="A442" s="13">
        <v>54635</v>
      </c>
      <c r="B442" s="8">
        <f>CHOOSE( CONTROL!$C$33, 12.9056, 12.904) * CHOOSE(CONTROL!$C$16, $D$10, 100%, $F$10)</f>
        <v>12.9056</v>
      </c>
      <c r="C442" s="8">
        <f>CHOOSE( CONTROL!$C$33, 12.9136, 12.912) * CHOOSE(CONTROL!$C$16, $D$10, 100%, $F$10)</f>
        <v>12.913600000000001</v>
      </c>
      <c r="D442" s="8">
        <f>CHOOSE( CONTROL!$C$33, 12.9362, 12.9346) * CHOOSE( CONTROL!$C$16, $D$10, 100%, $F$10)</f>
        <v>12.936199999999999</v>
      </c>
      <c r="E442" s="12">
        <f>CHOOSE( CONTROL!$C$33, 12.9268, 12.9252) * CHOOSE( CONTROL!$C$16, $D$10, 100%, $F$10)</f>
        <v>12.9268</v>
      </c>
      <c r="F442" s="4">
        <f>CHOOSE( CONTROL!$C$33, 13.6825, 13.6809) * CHOOSE(CONTROL!$C$16, $D$10, 100%, $F$10)</f>
        <v>13.682499999999999</v>
      </c>
      <c r="G442" s="8">
        <f>CHOOSE( CONTROL!$C$33, 12.7868, 12.7853) * CHOOSE( CONTROL!$C$16, $D$10, 100%, $F$10)</f>
        <v>12.786799999999999</v>
      </c>
      <c r="H442" s="4">
        <f>CHOOSE( CONTROL!$C$33, 13.7655, 13.7639) * CHOOSE(CONTROL!$C$16, $D$10, 100%, $F$10)</f>
        <v>13.765499999999999</v>
      </c>
      <c r="I442" s="8">
        <f>CHOOSE( CONTROL!$C$33, 12.6344, 12.6329) * CHOOSE(CONTROL!$C$16, $D$10, 100%, $F$10)</f>
        <v>12.634399999999999</v>
      </c>
      <c r="J442" s="4">
        <f>CHOOSE( CONTROL!$C$33, 12.5111, 12.5096) * CHOOSE(CONTROL!$C$16, $D$10, 100%, $F$10)</f>
        <v>12.511100000000001</v>
      </c>
      <c r="K442" s="4"/>
      <c r="L442" s="9">
        <v>30.7165</v>
      </c>
      <c r="M442" s="9">
        <v>12.063700000000001</v>
      </c>
      <c r="N442" s="9">
        <v>4.9444999999999997</v>
      </c>
      <c r="O442" s="9">
        <v>0.37409999999999999</v>
      </c>
      <c r="P442" s="9">
        <v>1.2927</v>
      </c>
      <c r="Q442" s="9">
        <v>20.136399999999998</v>
      </c>
      <c r="R442" s="9"/>
      <c r="S442" s="11"/>
    </row>
    <row r="443" spans="1:19" ht="15" customHeight="1">
      <c r="A443" s="13">
        <v>54666</v>
      </c>
      <c r="B443" s="8">
        <f>CHOOSE( CONTROL!$C$33, 11.9083, 11.9068) * CHOOSE(CONTROL!$C$16, $D$10, 100%, $F$10)</f>
        <v>11.908300000000001</v>
      </c>
      <c r="C443" s="8">
        <f>CHOOSE( CONTROL!$C$33, 11.9163, 11.9148) * CHOOSE(CONTROL!$C$16, $D$10, 100%, $F$10)</f>
        <v>11.9163</v>
      </c>
      <c r="D443" s="8">
        <f>CHOOSE( CONTROL!$C$33, 11.939, 11.9374) * CHOOSE( CONTROL!$C$16, $D$10, 100%, $F$10)</f>
        <v>11.939</v>
      </c>
      <c r="E443" s="12">
        <f>CHOOSE( CONTROL!$C$33, 11.9296, 11.928) * CHOOSE( CONTROL!$C$16, $D$10, 100%, $F$10)</f>
        <v>11.929600000000001</v>
      </c>
      <c r="F443" s="4">
        <f>CHOOSE( CONTROL!$C$33, 12.6853, 12.6837) * CHOOSE(CONTROL!$C$16, $D$10, 100%, $F$10)</f>
        <v>12.6853</v>
      </c>
      <c r="G443" s="8">
        <f>CHOOSE( CONTROL!$C$33, 11.8035, 11.802) * CHOOSE( CONTROL!$C$16, $D$10, 100%, $F$10)</f>
        <v>11.8035</v>
      </c>
      <c r="H443" s="4">
        <f>CHOOSE( CONTROL!$C$33, 12.7821, 12.7806) * CHOOSE(CONTROL!$C$16, $D$10, 100%, $F$10)</f>
        <v>12.7821</v>
      </c>
      <c r="I443" s="8">
        <f>CHOOSE( CONTROL!$C$33, 11.6684, 11.6669) * CHOOSE(CONTROL!$C$16, $D$10, 100%, $F$10)</f>
        <v>11.6684</v>
      </c>
      <c r="J443" s="4">
        <f>CHOOSE( CONTROL!$C$33, 11.5454, 11.5439) * CHOOSE(CONTROL!$C$16, $D$10, 100%, $F$10)</f>
        <v>11.545400000000001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1.2927</v>
      </c>
      <c r="Q443" s="9">
        <v>20.136399999999998</v>
      </c>
      <c r="R443" s="9"/>
      <c r="S443" s="11"/>
    </row>
    <row r="444" spans="1:19" ht="15" customHeight="1">
      <c r="A444" s="13">
        <v>54696</v>
      </c>
      <c r="B444" s="8">
        <f>CHOOSE( CONTROL!$C$33, 11.6586, 11.657) * CHOOSE(CONTROL!$C$16, $D$10, 100%, $F$10)</f>
        <v>11.6586</v>
      </c>
      <c r="C444" s="8">
        <f>CHOOSE( CONTROL!$C$33, 11.6666, 11.665) * CHOOSE(CONTROL!$C$16, $D$10, 100%, $F$10)</f>
        <v>11.666600000000001</v>
      </c>
      <c r="D444" s="8">
        <f>CHOOSE( CONTROL!$C$33, 11.6892, 11.6876) * CHOOSE( CONTROL!$C$16, $D$10, 100%, $F$10)</f>
        <v>11.6892</v>
      </c>
      <c r="E444" s="12">
        <f>CHOOSE( CONTROL!$C$33, 11.6798, 11.6782) * CHOOSE( CONTROL!$C$16, $D$10, 100%, $F$10)</f>
        <v>11.6798</v>
      </c>
      <c r="F444" s="4">
        <f>CHOOSE( CONTROL!$C$33, 12.4355, 12.434) * CHOOSE(CONTROL!$C$16, $D$10, 100%, $F$10)</f>
        <v>12.435499999999999</v>
      </c>
      <c r="G444" s="8">
        <f>CHOOSE( CONTROL!$C$33, 11.5572, 11.5556) * CHOOSE( CONTROL!$C$16, $D$10, 100%, $F$10)</f>
        <v>11.5572</v>
      </c>
      <c r="H444" s="4">
        <f>CHOOSE( CONTROL!$C$33, 12.5359, 12.5343) * CHOOSE(CONTROL!$C$16, $D$10, 100%, $F$10)</f>
        <v>12.5359</v>
      </c>
      <c r="I444" s="8">
        <f>CHOOSE( CONTROL!$C$33, 11.4261, 11.4246) * CHOOSE(CONTROL!$C$16, $D$10, 100%, $F$10)</f>
        <v>11.4261</v>
      </c>
      <c r="J444" s="4">
        <f>CHOOSE( CONTROL!$C$33, 11.3036, 11.3021) * CHOOSE(CONTROL!$C$16, $D$10, 100%, $F$10)</f>
        <v>11.303599999999999</v>
      </c>
      <c r="K444" s="4"/>
      <c r="L444" s="9">
        <v>29.7257</v>
      </c>
      <c r="M444" s="9">
        <v>11.6745</v>
      </c>
      <c r="N444" s="9">
        <v>4.7850000000000001</v>
      </c>
      <c r="O444" s="9">
        <v>0.36199999999999999</v>
      </c>
      <c r="P444" s="9">
        <v>1.2509999999999999</v>
      </c>
      <c r="Q444" s="9">
        <v>19.486799999999999</v>
      </c>
      <c r="R444" s="9"/>
      <c r="S444" s="11"/>
    </row>
    <row r="445" spans="1:19" ht="15" customHeight="1">
      <c r="A445" s="13">
        <v>54727</v>
      </c>
      <c r="B445" s="8">
        <f>CHOOSE( CONTROL!$C$33, 12.175, 12.1738) * CHOOSE(CONTROL!$C$16, $D$10, 100%, $F$10)</f>
        <v>12.175000000000001</v>
      </c>
      <c r="C445" s="8">
        <f>CHOOSE( CONTROL!$C$33, 12.1803, 12.1792) * CHOOSE(CONTROL!$C$16, $D$10, 100%, $F$10)</f>
        <v>12.180300000000001</v>
      </c>
      <c r="D445" s="8">
        <f>CHOOSE( CONTROL!$C$33, 12.2091, 12.208) * CHOOSE( CONTROL!$C$16, $D$10, 100%, $F$10)</f>
        <v>12.209099999999999</v>
      </c>
      <c r="E445" s="12">
        <f>CHOOSE( CONTROL!$C$33, 12.199, 12.1979) * CHOOSE( CONTROL!$C$16, $D$10, 100%, $F$10)</f>
        <v>12.199</v>
      </c>
      <c r="F445" s="4">
        <f>CHOOSE( CONTROL!$C$33, 12.9536, 12.9525) * CHOOSE(CONTROL!$C$16, $D$10, 100%, $F$10)</f>
        <v>12.9536</v>
      </c>
      <c r="G445" s="8">
        <f>CHOOSE( CONTROL!$C$33, 12.0681, 12.067) * CHOOSE( CONTROL!$C$16, $D$10, 100%, $F$10)</f>
        <v>12.068099999999999</v>
      </c>
      <c r="H445" s="4">
        <f>CHOOSE( CONTROL!$C$33, 13.0467, 13.0456) * CHOOSE(CONTROL!$C$16, $D$10, 100%, $F$10)</f>
        <v>13.0467</v>
      </c>
      <c r="I445" s="8">
        <f>CHOOSE( CONTROL!$C$33, 11.9285, 11.9275) * CHOOSE(CONTROL!$C$16, $D$10, 100%, $F$10)</f>
        <v>11.9285</v>
      </c>
      <c r="J445" s="4">
        <f>CHOOSE( CONTROL!$C$33, 11.8053, 11.8042) * CHOOSE(CONTROL!$C$16, $D$10, 100%, $F$10)</f>
        <v>11.805300000000001</v>
      </c>
      <c r="K445" s="4"/>
      <c r="L445" s="9">
        <v>31.095300000000002</v>
      </c>
      <c r="M445" s="9">
        <v>12.063700000000001</v>
      </c>
      <c r="N445" s="9">
        <v>4.9444999999999997</v>
      </c>
      <c r="O445" s="9">
        <v>0.37409999999999999</v>
      </c>
      <c r="P445" s="9">
        <v>1.2927</v>
      </c>
      <c r="Q445" s="9">
        <v>20.136399999999998</v>
      </c>
      <c r="R445" s="9"/>
      <c r="S445" s="11"/>
    </row>
    <row r="446" spans="1:19" ht="15" customHeight="1">
      <c r="A446" s="13">
        <v>54757</v>
      </c>
      <c r="B446" s="8">
        <f>CHOOSE( CONTROL!$C$33, 13.1316, 13.1305) * CHOOSE(CONTROL!$C$16, $D$10, 100%, $F$10)</f>
        <v>13.131600000000001</v>
      </c>
      <c r="C446" s="8">
        <f>CHOOSE( CONTROL!$C$33, 13.1367, 13.1356) * CHOOSE(CONTROL!$C$16, $D$10, 100%, $F$10)</f>
        <v>13.136699999999999</v>
      </c>
      <c r="D446" s="8">
        <f>CHOOSE( CONTROL!$C$33, 13.1164, 13.1153) * CHOOSE( CONTROL!$C$16, $D$10, 100%, $F$10)</f>
        <v>13.116400000000001</v>
      </c>
      <c r="E446" s="12">
        <f>CHOOSE( CONTROL!$C$33, 13.1233, 13.1222) * CHOOSE( CONTROL!$C$16, $D$10, 100%, $F$10)</f>
        <v>13.1233</v>
      </c>
      <c r="F446" s="4">
        <f>CHOOSE( CONTROL!$C$33, 13.7945, 13.7934) * CHOOSE(CONTROL!$C$16, $D$10, 100%, $F$10)</f>
        <v>13.794499999999999</v>
      </c>
      <c r="G446" s="8">
        <f>CHOOSE( CONTROL!$C$33, 12.9844, 12.9833) * CHOOSE( CONTROL!$C$16, $D$10, 100%, $F$10)</f>
        <v>12.984400000000001</v>
      </c>
      <c r="H446" s="4">
        <f>CHOOSE( CONTROL!$C$33, 13.8759, 13.8748) * CHOOSE(CONTROL!$C$16, $D$10, 100%, $F$10)</f>
        <v>13.8759</v>
      </c>
      <c r="I446" s="8">
        <f>CHOOSE( CONTROL!$C$33, 12.9035, 12.9025) * CHOOSE(CONTROL!$C$16, $D$10, 100%, $F$10)</f>
        <v>12.903499999999999</v>
      </c>
      <c r="J446" s="4">
        <f>CHOOSE( CONTROL!$C$33, 12.732, 12.7309) * CHOOSE(CONTROL!$C$16, $D$10, 100%, $F$10)</f>
        <v>12.731999999999999</v>
      </c>
      <c r="K446" s="4"/>
      <c r="L446" s="9">
        <v>28.360600000000002</v>
      </c>
      <c r="M446" s="9">
        <v>11.6745</v>
      </c>
      <c r="N446" s="9">
        <v>4.7850000000000001</v>
      </c>
      <c r="O446" s="9">
        <v>0.36199999999999999</v>
      </c>
      <c r="P446" s="9">
        <v>1.2509999999999999</v>
      </c>
      <c r="Q446" s="9">
        <v>19.486799999999999</v>
      </c>
      <c r="R446" s="9"/>
      <c r="S446" s="11"/>
    </row>
    <row r="447" spans="1:19" ht="15" customHeight="1">
      <c r="A447" s="13">
        <v>54788</v>
      </c>
      <c r="B447" s="8">
        <f>CHOOSE( CONTROL!$C$33, 13.1077, 13.1066) * CHOOSE(CONTROL!$C$16, $D$10, 100%, $F$10)</f>
        <v>13.107699999999999</v>
      </c>
      <c r="C447" s="8">
        <f>CHOOSE( CONTROL!$C$33, 13.1128, 13.1117) * CHOOSE(CONTROL!$C$16, $D$10, 100%, $F$10)</f>
        <v>13.1128</v>
      </c>
      <c r="D447" s="8">
        <f>CHOOSE( CONTROL!$C$33, 13.0939, 13.0928) * CHOOSE( CONTROL!$C$16, $D$10, 100%, $F$10)</f>
        <v>13.0939</v>
      </c>
      <c r="E447" s="12">
        <f>CHOOSE( CONTROL!$C$33, 13.1003, 13.0992) * CHOOSE( CONTROL!$C$16, $D$10, 100%, $F$10)</f>
        <v>13.100300000000001</v>
      </c>
      <c r="F447" s="4">
        <f>CHOOSE( CONTROL!$C$33, 13.7706, 13.7695) * CHOOSE(CONTROL!$C$16, $D$10, 100%, $F$10)</f>
        <v>13.7706</v>
      </c>
      <c r="G447" s="8">
        <f>CHOOSE( CONTROL!$C$33, 12.9618, 12.9607) * CHOOSE( CONTROL!$C$16, $D$10, 100%, $F$10)</f>
        <v>12.9618</v>
      </c>
      <c r="H447" s="4">
        <f>CHOOSE( CONTROL!$C$33, 13.8523, 13.8512) * CHOOSE(CONTROL!$C$16, $D$10, 100%, $F$10)</f>
        <v>13.8523</v>
      </c>
      <c r="I447" s="8">
        <f>CHOOSE( CONTROL!$C$33, 12.8849, 12.8838) * CHOOSE(CONTROL!$C$16, $D$10, 100%, $F$10)</f>
        <v>12.8849</v>
      </c>
      <c r="J447" s="4">
        <f>CHOOSE( CONTROL!$C$33, 12.7089, 12.7078) * CHOOSE(CONTROL!$C$16, $D$10, 100%, $F$10)</f>
        <v>12.7089</v>
      </c>
      <c r="K447" s="4"/>
      <c r="L447" s="9">
        <v>29.306000000000001</v>
      </c>
      <c r="M447" s="9">
        <v>12.063700000000001</v>
      </c>
      <c r="N447" s="9">
        <v>4.9444999999999997</v>
      </c>
      <c r="O447" s="9">
        <v>0.37409999999999999</v>
      </c>
      <c r="P447" s="9">
        <v>1.2927</v>
      </c>
      <c r="Q447" s="9">
        <v>20.136399999999998</v>
      </c>
      <c r="R447" s="9"/>
      <c r="S447" s="11"/>
    </row>
    <row r="448" spans="1:19" ht="15" customHeight="1">
      <c r="A448" s="13">
        <v>54819</v>
      </c>
      <c r="B448" s="8">
        <f>CHOOSE( CONTROL!$C$33, 13.4948, 13.4937) * CHOOSE(CONTROL!$C$16, $D$10, 100%, $F$10)</f>
        <v>13.4948</v>
      </c>
      <c r="C448" s="8">
        <f>CHOOSE( CONTROL!$C$33, 13.4999, 13.4988) * CHOOSE(CONTROL!$C$16, $D$10, 100%, $F$10)</f>
        <v>13.4999</v>
      </c>
      <c r="D448" s="8">
        <f>CHOOSE( CONTROL!$C$33, 13.4923, 13.4912) * CHOOSE( CONTROL!$C$16, $D$10, 100%, $F$10)</f>
        <v>13.4923</v>
      </c>
      <c r="E448" s="12">
        <f>CHOOSE( CONTROL!$C$33, 13.4945, 13.4934) * CHOOSE( CONTROL!$C$16, $D$10, 100%, $F$10)</f>
        <v>13.4945</v>
      </c>
      <c r="F448" s="4">
        <f>CHOOSE( CONTROL!$C$33, 14.1577, 14.1566) * CHOOSE(CONTROL!$C$16, $D$10, 100%, $F$10)</f>
        <v>14.1577</v>
      </c>
      <c r="G448" s="8">
        <f>CHOOSE( CONTROL!$C$33, 13.3494, 13.3483) * CHOOSE( CONTROL!$C$16, $D$10, 100%, $F$10)</f>
        <v>13.349399999999999</v>
      </c>
      <c r="H448" s="4">
        <f>CHOOSE( CONTROL!$C$33, 14.234, 14.2329) * CHOOSE(CONTROL!$C$16, $D$10, 100%, $F$10)</f>
        <v>14.234</v>
      </c>
      <c r="I448" s="8">
        <f>CHOOSE( CONTROL!$C$33, 13.2512, 13.2501) * CHOOSE(CONTROL!$C$16, $D$10, 100%, $F$10)</f>
        <v>13.251200000000001</v>
      </c>
      <c r="J448" s="4">
        <f>CHOOSE( CONTROL!$C$33, 13.0837, 13.0826) * CHOOSE(CONTROL!$C$16, $D$10, 100%, $F$10)</f>
        <v>13.0837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20.071300000000001</v>
      </c>
      <c r="R448" s="9"/>
      <c r="S448" s="11"/>
    </row>
    <row r="449" spans="1:19" ht="15" customHeight="1">
      <c r="A449" s="13">
        <v>54847</v>
      </c>
      <c r="B449" s="8">
        <f>CHOOSE( CONTROL!$C$33, 12.6214, 12.6202) * CHOOSE(CONTROL!$C$16, $D$10, 100%, $F$10)</f>
        <v>12.6214</v>
      </c>
      <c r="C449" s="8">
        <f>CHOOSE( CONTROL!$C$33, 12.6265, 12.6253) * CHOOSE(CONTROL!$C$16, $D$10, 100%, $F$10)</f>
        <v>12.6265</v>
      </c>
      <c r="D449" s="8">
        <f>CHOOSE( CONTROL!$C$33, 12.6186, 12.6175) * CHOOSE( CONTROL!$C$16, $D$10, 100%, $F$10)</f>
        <v>12.618600000000001</v>
      </c>
      <c r="E449" s="12">
        <f>CHOOSE( CONTROL!$C$33, 12.6209, 12.6198) * CHOOSE( CONTROL!$C$16, $D$10, 100%, $F$10)</f>
        <v>12.620900000000001</v>
      </c>
      <c r="F449" s="4">
        <f>CHOOSE( CONTROL!$C$33, 13.2842, 13.2831) * CHOOSE(CONTROL!$C$16, $D$10, 100%, $F$10)</f>
        <v>13.2842</v>
      </c>
      <c r="G449" s="8">
        <f>CHOOSE( CONTROL!$C$33, 12.488, 12.4869) * CHOOSE( CONTROL!$C$16, $D$10, 100%, $F$10)</f>
        <v>12.488</v>
      </c>
      <c r="H449" s="4">
        <f>CHOOSE( CONTROL!$C$33, 13.3727, 13.3716) * CHOOSE(CONTROL!$C$16, $D$10, 100%, $F$10)</f>
        <v>13.3727</v>
      </c>
      <c r="I449" s="8">
        <f>CHOOSE( CONTROL!$C$33, 12.4044, 12.4033) * CHOOSE(CONTROL!$C$16, $D$10, 100%, $F$10)</f>
        <v>12.404400000000001</v>
      </c>
      <c r="J449" s="4">
        <f>CHOOSE( CONTROL!$C$33, 12.2379, 12.2368) * CHOOSE(CONTROL!$C$16, $D$10, 100%, $F$10)</f>
        <v>12.2379</v>
      </c>
      <c r="K449" s="4"/>
      <c r="L449" s="9">
        <v>26.469899999999999</v>
      </c>
      <c r="M449" s="9">
        <v>10.8962</v>
      </c>
      <c r="N449" s="9">
        <v>4.4660000000000002</v>
      </c>
      <c r="O449" s="9">
        <v>0.33789999999999998</v>
      </c>
      <c r="P449" s="9">
        <v>1.1676</v>
      </c>
      <c r="Q449" s="9">
        <v>18.128900000000002</v>
      </c>
      <c r="R449" s="9"/>
      <c r="S449" s="11"/>
    </row>
    <row r="450" spans="1:19" ht="15" customHeight="1">
      <c r="A450" s="13">
        <v>54878</v>
      </c>
      <c r="B450" s="8">
        <f>CHOOSE( CONTROL!$C$33, 12.3523, 12.3512) * CHOOSE(CONTROL!$C$16, $D$10, 100%, $F$10)</f>
        <v>12.3523</v>
      </c>
      <c r="C450" s="8">
        <f>CHOOSE( CONTROL!$C$33, 12.3574, 12.3563) * CHOOSE(CONTROL!$C$16, $D$10, 100%, $F$10)</f>
        <v>12.3574</v>
      </c>
      <c r="D450" s="8">
        <f>CHOOSE( CONTROL!$C$33, 12.3489, 12.3478) * CHOOSE( CONTROL!$C$16, $D$10, 100%, $F$10)</f>
        <v>12.3489</v>
      </c>
      <c r="E450" s="12">
        <f>CHOOSE( CONTROL!$C$33, 12.3515, 12.3504) * CHOOSE( CONTROL!$C$16, $D$10, 100%, $F$10)</f>
        <v>12.3515</v>
      </c>
      <c r="F450" s="4">
        <f>CHOOSE( CONTROL!$C$33, 13.0152, 13.0141) * CHOOSE(CONTROL!$C$16, $D$10, 100%, $F$10)</f>
        <v>13.0152</v>
      </c>
      <c r="G450" s="8">
        <f>CHOOSE( CONTROL!$C$33, 12.2222, 12.2211) * CHOOSE( CONTROL!$C$16, $D$10, 100%, $F$10)</f>
        <v>12.222200000000001</v>
      </c>
      <c r="H450" s="4">
        <f>CHOOSE( CONTROL!$C$33, 13.1075, 13.1064) * CHOOSE(CONTROL!$C$16, $D$10, 100%, $F$10)</f>
        <v>13.1075</v>
      </c>
      <c r="I450" s="8">
        <f>CHOOSE( CONTROL!$C$33, 12.1415, 12.1404) * CHOOSE(CONTROL!$C$16, $D$10, 100%, $F$10)</f>
        <v>12.141500000000001</v>
      </c>
      <c r="J450" s="4">
        <f>CHOOSE( CONTROL!$C$33, 11.9774, 11.9763) * CHOOSE(CONTROL!$C$16, $D$10, 100%, $F$10)</f>
        <v>11.977399999999999</v>
      </c>
      <c r="K450" s="4"/>
      <c r="L450" s="9">
        <v>29.306000000000001</v>
      </c>
      <c r="M450" s="9">
        <v>12.063700000000001</v>
      </c>
      <c r="N450" s="9">
        <v>4.9444999999999997</v>
      </c>
      <c r="O450" s="9">
        <v>0.37409999999999999</v>
      </c>
      <c r="P450" s="9">
        <v>1.2927</v>
      </c>
      <c r="Q450" s="9">
        <v>20.071300000000001</v>
      </c>
      <c r="R450" s="9"/>
      <c r="S450" s="11"/>
    </row>
    <row r="451" spans="1:19" ht="15" customHeight="1">
      <c r="A451" s="13">
        <v>54908</v>
      </c>
      <c r="B451" s="8">
        <f>CHOOSE( CONTROL!$C$33, 12.5411, 12.54) * CHOOSE(CONTROL!$C$16, $D$10, 100%, $F$10)</f>
        <v>12.5411</v>
      </c>
      <c r="C451" s="8">
        <f>CHOOSE( CONTROL!$C$33, 12.5456, 12.5445) * CHOOSE(CONTROL!$C$16, $D$10, 100%, $F$10)</f>
        <v>12.5456</v>
      </c>
      <c r="D451" s="8">
        <f>CHOOSE( CONTROL!$C$33, 12.5745, 12.5734) * CHOOSE( CONTROL!$C$16, $D$10, 100%, $F$10)</f>
        <v>12.5745</v>
      </c>
      <c r="E451" s="12">
        <f>CHOOSE( CONTROL!$C$33, 12.5644, 12.5633) * CHOOSE( CONTROL!$C$16, $D$10, 100%, $F$10)</f>
        <v>12.564399999999999</v>
      </c>
      <c r="F451" s="4">
        <f>CHOOSE( CONTROL!$C$33, 13.3194, 13.3183) * CHOOSE(CONTROL!$C$16, $D$10, 100%, $F$10)</f>
        <v>13.3194</v>
      </c>
      <c r="G451" s="8">
        <f>CHOOSE( CONTROL!$C$33, 12.4285, 12.4274) * CHOOSE( CONTROL!$C$16, $D$10, 100%, $F$10)</f>
        <v>12.4285</v>
      </c>
      <c r="H451" s="4">
        <f>CHOOSE( CONTROL!$C$33, 13.4074, 13.4063) * CHOOSE(CONTROL!$C$16, $D$10, 100%, $F$10)</f>
        <v>13.407400000000001</v>
      </c>
      <c r="I451" s="8">
        <f>CHOOSE( CONTROL!$C$33, 12.2816, 12.2805) * CHOOSE(CONTROL!$C$16, $D$10, 100%, $F$10)</f>
        <v>12.281599999999999</v>
      </c>
      <c r="J451" s="4">
        <f>CHOOSE( CONTROL!$C$33, 12.1595, 12.1584) * CHOOSE(CONTROL!$C$16, $D$10, 100%, $F$10)</f>
        <v>12.1595</v>
      </c>
      <c r="K451" s="4"/>
      <c r="L451" s="9">
        <v>30.092199999999998</v>
      </c>
      <c r="M451" s="9">
        <v>11.6745</v>
      </c>
      <c r="N451" s="9">
        <v>4.7850000000000001</v>
      </c>
      <c r="O451" s="9">
        <v>0.36199999999999999</v>
      </c>
      <c r="P451" s="9">
        <v>1.2509999999999999</v>
      </c>
      <c r="Q451" s="9">
        <v>19.4238</v>
      </c>
      <c r="R451" s="9"/>
      <c r="S451" s="11"/>
    </row>
    <row r="452" spans="1:19" ht="15" customHeight="1">
      <c r="A452" s="13">
        <v>54939</v>
      </c>
      <c r="B452" s="8">
        <f>CHOOSE( CONTROL!$C$33, 12.8775, 12.8759) * CHOOSE(CONTROL!$C$16, $D$10, 100%, $F$10)</f>
        <v>12.8775</v>
      </c>
      <c r="C452" s="8">
        <f>CHOOSE( CONTROL!$C$33, 12.8855, 12.8839) * CHOOSE(CONTROL!$C$16, $D$10, 100%, $F$10)</f>
        <v>12.8855</v>
      </c>
      <c r="D452" s="8">
        <f>CHOOSE( CONTROL!$C$33, 12.9077, 12.9061) * CHOOSE( CONTROL!$C$16, $D$10, 100%, $F$10)</f>
        <v>12.9077</v>
      </c>
      <c r="E452" s="12">
        <f>CHOOSE( CONTROL!$C$33, 12.8984, 12.8968) * CHOOSE( CONTROL!$C$16, $D$10, 100%, $F$10)</f>
        <v>12.898400000000001</v>
      </c>
      <c r="F452" s="4">
        <f>CHOOSE( CONTROL!$C$33, 13.6544, 13.6528) * CHOOSE(CONTROL!$C$16, $D$10, 100%, $F$10)</f>
        <v>13.654400000000001</v>
      </c>
      <c r="G452" s="8">
        <f>CHOOSE( CONTROL!$C$33, 12.7588, 12.7572) * CHOOSE( CONTROL!$C$16, $D$10, 100%, $F$10)</f>
        <v>12.758800000000001</v>
      </c>
      <c r="H452" s="4">
        <f>CHOOSE( CONTROL!$C$33, 13.7377, 13.7362) * CHOOSE(CONTROL!$C$16, $D$10, 100%, $F$10)</f>
        <v>13.7377</v>
      </c>
      <c r="I452" s="8">
        <f>CHOOSE( CONTROL!$C$33, 12.6058, 12.6043) * CHOOSE(CONTROL!$C$16, $D$10, 100%, $F$10)</f>
        <v>12.6058</v>
      </c>
      <c r="J452" s="4">
        <f>CHOOSE( CONTROL!$C$33, 12.4839, 12.4823) * CHOOSE(CONTROL!$C$16, $D$10, 100%, $F$10)</f>
        <v>12.4839</v>
      </c>
      <c r="K452" s="4"/>
      <c r="L452" s="9">
        <v>30.7165</v>
      </c>
      <c r="M452" s="9">
        <v>12.063700000000001</v>
      </c>
      <c r="N452" s="9">
        <v>4.9444999999999997</v>
      </c>
      <c r="O452" s="9">
        <v>0.37409999999999999</v>
      </c>
      <c r="P452" s="9">
        <v>1.2927</v>
      </c>
      <c r="Q452" s="9">
        <v>20.071300000000001</v>
      </c>
      <c r="R452" s="9"/>
      <c r="S452" s="11"/>
    </row>
    <row r="453" spans="1:19" ht="15" customHeight="1">
      <c r="A453" s="13">
        <v>54969</v>
      </c>
      <c r="B453" s="8">
        <f>CHOOSE( CONTROL!$C$33, 12.6702, 12.6687) * CHOOSE(CONTROL!$C$16, $D$10, 100%, $F$10)</f>
        <v>12.670199999999999</v>
      </c>
      <c r="C453" s="8">
        <f>CHOOSE( CONTROL!$C$33, 12.6782, 12.6766) * CHOOSE(CONTROL!$C$16, $D$10, 100%, $F$10)</f>
        <v>12.6782</v>
      </c>
      <c r="D453" s="8">
        <f>CHOOSE( CONTROL!$C$33, 12.7006, 12.699) * CHOOSE( CONTROL!$C$16, $D$10, 100%, $F$10)</f>
        <v>12.7006</v>
      </c>
      <c r="E453" s="12">
        <f>CHOOSE( CONTROL!$C$33, 12.6913, 12.6897) * CHOOSE( CONTROL!$C$16, $D$10, 100%, $F$10)</f>
        <v>12.6913</v>
      </c>
      <c r="F453" s="4">
        <f>CHOOSE( CONTROL!$C$33, 13.4471, 13.4456) * CHOOSE(CONTROL!$C$16, $D$10, 100%, $F$10)</f>
        <v>13.447100000000001</v>
      </c>
      <c r="G453" s="8">
        <f>CHOOSE( CONTROL!$C$33, 12.5546, 12.553) * CHOOSE( CONTROL!$C$16, $D$10, 100%, $F$10)</f>
        <v>12.554600000000001</v>
      </c>
      <c r="H453" s="4">
        <f>CHOOSE( CONTROL!$C$33, 13.5334, 13.5318) * CHOOSE(CONTROL!$C$16, $D$10, 100%, $F$10)</f>
        <v>13.5334</v>
      </c>
      <c r="I453" s="8">
        <f>CHOOSE( CONTROL!$C$33, 12.4056, 12.4041) * CHOOSE(CONTROL!$C$16, $D$10, 100%, $F$10)</f>
        <v>12.4056</v>
      </c>
      <c r="J453" s="4">
        <f>CHOOSE( CONTROL!$C$33, 12.2832, 12.2817) * CHOOSE(CONTROL!$C$16, $D$10, 100%, $F$10)</f>
        <v>12.283200000000001</v>
      </c>
      <c r="K453" s="4"/>
      <c r="L453" s="9">
        <v>29.7257</v>
      </c>
      <c r="M453" s="9">
        <v>11.6745</v>
      </c>
      <c r="N453" s="9">
        <v>4.7850000000000001</v>
      </c>
      <c r="O453" s="9">
        <v>0.36199999999999999</v>
      </c>
      <c r="P453" s="9">
        <v>1.2509999999999999</v>
      </c>
      <c r="Q453" s="9">
        <v>19.4238</v>
      </c>
      <c r="R453" s="9"/>
      <c r="S453" s="11"/>
    </row>
    <row r="454" spans="1:19" ht="15" customHeight="1">
      <c r="A454" s="13">
        <v>55000</v>
      </c>
      <c r="B454" s="8">
        <f>CHOOSE( CONTROL!$C$33, 13.216, 13.2144) * CHOOSE(CONTROL!$C$16, $D$10, 100%, $F$10)</f>
        <v>13.215999999999999</v>
      </c>
      <c r="C454" s="8">
        <f>CHOOSE( CONTROL!$C$33, 13.224, 13.2224) * CHOOSE(CONTROL!$C$16, $D$10, 100%, $F$10)</f>
        <v>13.224</v>
      </c>
      <c r="D454" s="8">
        <f>CHOOSE( CONTROL!$C$33, 13.2466, 13.2451) * CHOOSE( CONTROL!$C$16, $D$10, 100%, $F$10)</f>
        <v>13.246600000000001</v>
      </c>
      <c r="E454" s="12">
        <f>CHOOSE( CONTROL!$C$33, 13.2372, 13.2357) * CHOOSE( CONTROL!$C$16, $D$10, 100%, $F$10)</f>
        <v>13.2372</v>
      </c>
      <c r="F454" s="4">
        <f>CHOOSE( CONTROL!$C$33, 13.9929, 13.9914) * CHOOSE(CONTROL!$C$16, $D$10, 100%, $F$10)</f>
        <v>13.992900000000001</v>
      </c>
      <c r="G454" s="8">
        <f>CHOOSE( CONTROL!$C$33, 13.0929, 13.0914) * CHOOSE( CONTROL!$C$16, $D$10, 100%, $F$10)</f>
        <v>13.0929</v>
      </c>
      <c r="H454" s="4">
        <f>CHOOSE( CONTROL!$C$33, 14.0716, 14.07) * CHOOSE(CONTROL!$C$16, $D$10, 100%, $F$10)</f>
        <v>14.0716</v>
      </c>
      <c r="I454" s="8">
        <f>CHOOSE( CONTROL!$C$33, 12.9351, 12.9336) * CHOOSE(CONTROL!$C$16, $D$10, 100%, $F$10)</f>
        <v>12.9351</v>
      </c>
      <c r="J454" s="4">
        <f>CHOOSE( CONTROL!$C$33, 12.8117, 12.8101) * CHOOSE(CONTROL!$C$16, $D$10, 100%, $F$10)</f>
        <v>12.8117</v>
      </c>
      <c r="K454" s="4"/>
      <c r="L454" s="9">
        <v>30.7165</v>
      </c>
      <c r="M454" s="9">
        <v>12.063700000000001</v>
      </c>
      <c r="N454" s="9">
        <v>4.9444999999999997</v>
      </c>
      <c r="O454" s="9">
        <v>0.37409999999999999</v>
      </c>
      <c r="P454" s="9">
        <v>1.2927</v>
      </c>
      <c r="Q454" s="9">
        <v>20.071300000000001</v>
      </c>
      <c r="R454" s="9"/>
      <c r="S454" s="11"/>
    </row>
    <row r="455" spans="1:19" ht="15" customHeight="1">
      <c r="A455" s="13">
        <v>55031</v>
      </c>
      <c r="B455" s="8">
        <f>CHOOSE( CONTROL!$C$33, 12.1948, 12.1932) * CHOOSE(CONTROL!$C$16, $D$10, 100%, $F$10)</f>
        <v>12.194800000000001</v>
      </c>
      <c r="C455" s="8">
        <f>CHOOSE( CONTROL!$C$33, 12.2028, 12.2012) * CHOOSE(CONTROL!$C$16, $D$10, 100%, $F$10)</f>
        <v>12.2028</v>
      </c>
      <c r="D455" s="8">
        <f>CHOOSE( CONTROL!$C$33, 12.2255, 12.2239) * CHOOSE( CONTROL!$C$16, $D$10, 100%, $F$10)</f>
        <v>12.2255</v>
      </c>
      <c r="E455" s="12">
        <f>CHOOSE( CONTROL!$C$33, 12.2161, 12.2145) * CHOOSE( CONTROL!$C$16, $D$10, 100%, $F$10)</f>
        <v>12.216100000000001</v>
      </c>
      <c r="F455" s="4">
        <f>CHOOSE( CONTROL!$C$33, 12.9717, 12.9701) * CHOOSE(CONTROL!$C$16, $D$10, 100%, $F$10)</f>
        <v>12.9717</v>
      </c>
      <c r="G455" s="8">
        <f>CHOOSE( CONTROL!$C$33, 12.086, 12.0844) * CHOOSE( CONTROL!$C$16, $D$10, 100%, $F$10)</f>
        <v>12.086</v>
      </c>
      <c r="H455" s="4">
        <f>CHOOSE( CONTROL!$C$33, 13.0646, 13.063) * CHOOSE(CONTROL!$C$16, $D$10, 100%, $F$10)</f>
        <v>13.0646</v>
      </c>
      <c r="I455" s="8">
        <f>CHOOSE( CONTROL!$C$33, 11.9459, 11.9444) * CHOOSE(CONTROL!$C$16, $D$10, 100%, $F$10)</f>
        <v>11.9459</v>
      </c>
      <c r="J455" s="4">
        <f>CHOOSE( CONTROL!$C$33, 11.8228, 11.8213) * CHOOSE(CONTROL!$C$16, $D$10, 100%, $F$10)</f>
        <v>11.822800000000001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1.2927</v>
      </c>
      <c r="Q455" s="9">
        <v>20.071300000000001</v>
      </c>
      <c r="R455" s="9"/>
      <c r="S455" s="11"/>
    </row>
    <row r="456" spans="1:19" ht="15" customHeight="1">
      <c r="A456" s="13">
        <v>55061</v>
      </c>
      <c r="B456" s="8">
        <f>CHOOSE( CONTROL!$C$33, 11.9391, 11.9375) * CHOOSE(CONTROL!$C$16, $D$10, 100%, $F$10)</f>
        <v>11.9391</v>
      </c>
      <c r="C456" s="8">
        <f>CHOOSE( CONTROL!$C$33, 11.9471, 11.9455) * CHOOSE(CONTROL!$C$16, $D$10, 100%, $F$10)</f>
        <v>11.947100000000001</v>
      </c>
      <c r="D456" s="8">
        <f>CHOOSE( CONTROL!$C$33, 11.9696, 11.968) * CHOOSE( CONTROL!$C$16, $D$10, 100%, $F$10)</f>
        <v>11.9696</v>
      </c>
      <c r="E456" s="12">
        <f>CHOOSE( CONTROL!$C$33, 11.9602, 11.9586) * CHOOSE( CONTROL!$C$16, $D$10, 100%, $F$10)</f>
        <v>11.9602</v>
      </c>
      <c r="F456" s="4">
        <f>CHOOSE( CONTROL!$C$33, 12.716, 12.7144) * CHOOSE(CONTROL!$C$16, $D$10, 100%, $F$10)</f>
        <v>12.715999999999999</v>
      </c>
      <c r="G456" s="8">
        <f>CHOOSE( CONTROL!$C$33, 11.8337, 11.8322) * CHOOSE( CONTROL!$C$16, $D$10, 100%, $F$10)</f>
        <v>11.8337</v>
      </c>
      <c r="H456" s="4">
        <f>CHOOSE( CONTROL!$C$33, 12.8124, 12.8109) * CHOOSE(CONTROL!$C$16, $D$10, 100%, $F$10)</f>
        <v>12.8124</v>
      </c>
      <c r="I456" s="8">
        <f>CHOOSE( CONTROL!$C$33, 11.6978, 11.6963) * CHOOSE(CONTROL!$C$16, $D$10, 100%, $F$10)</f>
        <v>11.697800000000001</v>
      </c>
      <c r="J456" s="4">
        <f>CHOOSE( CONTROL!$C$33, 11.5752, 11.5737) * CHOOSE(CONTROL!$C$16, $D$10, 100%, $F$10)</f>
        <v>11.575200000000001</v>
      </c>
      <c r="K456" s="4"/>
      <c r="L456" s="9">
        <v>29.7257</v>
      </c>
      <c r="M456" s="9">
        <v>11.6745</v>
      </c>
      <c r="N456" s="9">
        <v>4.7850000000000001</v>
      </c>
      <c r="O456" s="9">
        <v>0.36199999999999999</v>
      </c>
      <c r="P456" s="9">
        <v>1.2509999999999999</v>
      </c>
      <c r="Q456" s="9">
        <v>19.4238</v>
      </c>
      <c r="R456" s="9"/>
      <c r="S456" s="11"/>
    </row>
    <row r="457" spans="1:19" ht="15" customHeight="1">
      <c r="A457" s="13">
        <v>55092</v>
      </c>
      <c r="B457" s="8">
        <f>CHOOSE( CONTROL!$C$33, 12.4679, 12.4667) * CHOOSE(CONTROL!$C$16, $D$10, 100%, $F$10)</f>
        <v>12.4679</v>
      </c>
      <c r="C457" s="8">
        <f>CHOOSE( CONTROL!$C$33, 12.4732, 12.4721) * CHOOSE(CONTROL!$C$16, $D$10, 100%, $F$10)</f>
        <v>12.4732</v>
      </c>
      <c r="D457" s="8">
        <f>CHOOSE( CONTROL!$C$33, 12.502, 12.5009) * CHOOSE( CONTROL!$C$16, $D$10, 100%, $F$10)</f>
        <v>12.502000000000001</v>
      </c>
      <c r="E457" s="12">
        <f>CHOOSE( CONTROL!$C$33, 12.4919, 12.4908) * CHOOSE( CONTROL!$C$16, $D$10, 100%, $F$10)</f>
        <v>12.491899999999999</v>
      </c>
      <c r="F457" s="4">
        <f>CHOOSE( CONTROL!$C$33, 13.2465, 13.2454) * CHOOSE(CONTROL!$C$16, $D$10, 100%, $F$10)</f>
        <v>13.246499999999999</v>
      </c>
      <c r="G457" s="8">
        <f>CHOOSE( CONTROL!$C$33, 12.357, 12.3558) * CHOOSE( CONTROL!$C$16, $D$10, 100%, $F$10)</f>
        <v>12.356999999999999</v>
      </c>
      <c r="H457" s="4">
        <f>CHOOSE( CONTROL!$C$33, 13.3355, 13.3344) * CHOOSE(CONTROL!$C$16, $D$10, 100%, $F$10)</f>
        <v>13.3355</v>
      </c>
      <c r="I457" s="8">
        <f>CHOOSE( CONTROL!$C$33, 12.2123, 12.2112) * CHOOSE(CONTROL!$C$16, $D$10, 100%, $F$10)</f>
        <v>12.212300000000001</v>
      </c>
      <c r="J457" s="4">
        <f>CHOOSE( CONTROL!$C$33, 12.0889, 12.0878) * CHOOSE(CONTROL!$C$16, $D$10, 100%, $F$10)</f>
        <v>12.088900000000001</v>
      </c>
      <c r="K457" s="4"/>
      <c r="L457" s="9">
        <v>31.095300000000002</v>
      </c>
      <c r="M457" s="9">
        <v>12.063700000000001</v>
      </c>
      <c r="N457" s="9">
        <v>4.9444999999999997</v>
      </c>
      <c r="O457" s="9">
        <v>0.37409999999999999</v>
      </c>
      <c r="P457" s="9">
        <v>1.2927</v>
      </c>
      <c r="Q457" s="9">
        <v>20.071300000000001</v>
      </c>
      <c r="R457" s="9"/>
      <c r="S457" s="11"/>
    </row>
    <row r="458" spans="1:19" ht="15" customHeight="1">
      <c r="A458" s="13">
        <v>55122</v>
      </c>
      <c r="B458" s="8">
        <f>CHOOSE( CONTROL!$C$33, 13.4475, 13.4464) * CHOOSE(CONTROL!$C$16, $D$10, 100%, $F$10)</f>
        <v>13.4475</v>
      </c>
      <c r="C458" s="8">
        <f>CHOOSE( CONTROL!$C$33, 13.4526, 13.4515) * CHOOSE(CONTROL!$C$16, $D$10, 100%, $F$10)</f>
        <v>13.4526</v>
      </c>
      <c r="D458" s="8">
        <f>CHOOSE( CONTROL!$C$33, 13.4323, 13.4312) * CHOOSE( CONTROL!$C$16, $D$10, 100%, $F$10)</f>
        <v>13.4323</v>
      </c>
      <c r="E458" s="12">
        <f>CHOOSE( CONTROL!$C$33, 13.4392, 13.4381) * CHOOSE( CONTROL!$C$16, $D$10, 100%, $F$10)</f>
        <v>13.4392</v>
      </c>
      <c r="F458" s="4">
        <f>CHOOSE( CONTROL!$C$33, 14.1104, 14.1093) * CHOOSE(CONTROL!$C$16, $D$10, 100%, $F$10)</f>
        <v>14.1104</v>
      </c>
      <c r="G458" s="8">
        <f>CHOOSE( CONTROL!$C$33, 13.2959, 13.2948) * CHOOSE( CONTROL!$C$16, $D$10, 100%, $F$10)</f>
        <v>13.2959</v>
      </c>
      <c r="H458" s="4">
        <f>CHOOSE( CONTROL!$C$33, 14.1874, 14.1863) * CHOOSE(CONTROL!$C$16, $D$10, 100%, $F$10)</f>
        <v>14.1874</v>
      </c>
      <c r="I458" s="8">
        <f>CHOOSE( CONTROL!$C$33, 13.2096, 13.2085) * CHOOSE(CONTROL!$C$16, $D$10, 100%, $F$10)</f>
        <v>13.2096</v>
      </c>
      <c r="J458" s="4">
        <f>CHOOSE( CONTROL!$C$33, 13.0379, 13.0368) * CHOOSE(CONTROL!$C$16, $D$10, 100%, $F$10)</f>
        <v>13.0379</v>
      </c>
      <c r="K458" s="4"/>
      <c r="L458" s="9">
        <v>28.360600000000002</v>
      </c>
      <c r="M458" s="9">
        <v>11.6745</v>
      </c>
      <c r="N458" s="9">
        <v>4.7850000000000001</v>
      </c>
      <c r="O458" s="9">
        <v>0.36199999999999999</v>
      </c>
      <c r="P458" s="9">
        <v>1.2509999999999999</v>
      </c>
      <c r="Q458" s="9">
        <v>19.4238</v>
      </c>
      <c r="R458" s="9"/>
      <c r="S458" s="11"/>
    </row>
    <row r="459" spans="1:19" ht="15" customHeight="1">
      <c r="A459" s="13">
        <v>55153</v>
      </c>
      <c r="B459" s="8">
        <f>CHOOSE( CONTROL!$C$33, 13.423, 13.4219) * CHOOSE(CONTROL!$C$16, $D$10, 100%, $F$10)</f>
        <v>13.423</v>
      </c>
      <c r="C459" s="8">
        <f>CHOOSE( CONTROL!$C$33, 13.4281, 13.427) * CHOOSE(CONTROL!$C$16, $D$10, 100%, $F$10)</f>
        <v>13.428100000000001</v>
      </c>
      <c r="D459" s="8">
        <f>CHOOSE( CONTROL!$C$33, 13.4093, 13.4081) * CHOOSE( CONTROL!$C$16, $D$10, 100%, $F$10)</f>
        <v>13.4093</v>
      </c>
      <c r="E459" s="12">
        <f>CHOOSE( CONTROL!$C$33, 13.4156, 13.4145) * CHOOSE( CONTROL!$C$16, $D$10, 100%, $F$10)</f>
        <v>13.4156</v>
      </c>
      <c r="F459" s="4">
        <f>CHOOSE( CONTROL!$C$33, 14.0859, 14.0848) * CHOOSE(CONTROL!$C$16, $D$10, 100%, $F$10)</f>
        <v>14.085900000000001</v>
      </c>
      <c r="G459" s="8">
        <f>CHOOSE( CONTROL!$C$33, 13.2728, 13.2717) * CHOOSE( CONTROL!$C$16, $D$10, 100%, $F$10)</f>
        <v>13.2728</v>
      </c>
      <c r="H459" s="4">
        <f>CHOOSE( CONTROL!$C$33, 14.1632, 14.1621) * CHOOSE(CONTROL!$C$16, $D$10, 100%, $F$10)</f>
        <v>14.1632</v>
      </c>
      <c r="I459" s="8">
        <f>CHOOSE( CONTROL!$C$33, 13.1904, 13.1893) * CHOOSE(CONTROL!$C$16, $D$10, 100%, $F$10)</f>
        <v>13.1904</v>
      </c>
      <c r="J459" s="4">
        <f>CHOOSE( CONTROL!$C$33, 13.0142, 13.0131) * CHOOSE(CONTROL!$C$16, $D$10, 100%, $F$10)</f>
        <v>13.014200000000001</v>
      </c>
      <c r="K459" s="4"/>
      <c r="L459" s="9">
        <v>29.306000000000001</v>
      </c>
      <c r="M459" s="9">
        <v>12.063700000000001</v>
      </c>
      <c r="N459" s="9">
        <v>4.9444999999999997</v>
      </c>
      <c r="O459" s="9">
        <v>0.37409999999999999</v>
      </c>
      <c r="P459" s="9">
        <v>1.2927</v>
      </c>
      <c r="Q459" s="9">
        <v>20.071300000000001</v>
      </c>
      <c r="R459" s="9"/>
      <c r="S459" s="11"/>
    </row>
    <row r="460" spans="1:19" ht="15" customHeight="1">
      <c r="A460" s="13">
        <v>55184</v>
      </c>
      <c r="B460" s="8">
        <f>CHOOSE( CONTROL!$C$33, 13.8195, 13.8183) * CHOOSE(CONTROL!$C$16, $D$10, 100%, $F$10)</f>
        <v>13.8195</v>
      </c>
      <c r="C460" s="8">
        <f>CHOOSE( CONTROL!$C$33, 13.8246, 13.8234) * CHOOSE(CONTROL!$C$16, $D$10, 100%, $F$10)</f>
        <v>13.8246</v>
      </c>
      <c r="D460" s="8">
        <f>CHOOSE( CONTROL!$C$33, 13.8169, 13.8158) * CHOOSE( CONTROL!$C$16, $D$10, 100%, $F$10)</f>
        <v>13.8169</v>
      </c>
      <c r="E460" s="12">
        <f>CHOOSE( CONTROL!$C$33, 13.8192, 13.818) * CHOOSE( CONTROL!$C$16, $D$10, 100%, $F$10)</f>
        <v>13.8192</v>
      </c>
      <c r="F460" s="4">
        <f>CHOOSE( CONTROL!$C$33, 14.4823, 14.4812) * CHOOSE(CONTROL!$C$16, $D$10, 100%, $F$10)</f>
        <v>14.4823</v>
      </c>
      <c r="G460" s="8">
        <f>CHOOSE( CONTROL!$C$33, 13.6695, 13.6684) * CHOOSE( CONTROL!$C$16, $D$10, 100%, $F$10)</f>
        <v>13.669499999999999</v>
      </c>
      <c r="H460" s="4">
        <f>CHOOSE( CONTROL!$C$33, 14.5541, 14.553) * CHOOSE(CONTROL!$C$16, $D$10, 100%, $F$10)</f>
        <v>14.5541</v>
      </c>
      <c r="I460" s="8">
        <f>CHOOSE( CONTROL!$C$33, 13.5657, 13.5646) * CHOOSE(CONTROL!$C$16, $D$10, 100%, $F$10)</f>
        <v>13.5657</v>
      </c>
      <c r="J460" s="4">
        <f>CHOOSE( CONTROL!$C$33, 13.398, 13.3969) * CHOOSE(CONTROL!$C$16, $D$10, 100%, $F$10)</f>
        <v>13.398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20.007999999999999</v>
      </c>
      <c r="R460" s="9"/>
      <c r="S460" s="11"/>
    </row>
    <row r="461" spans="1:19" ht="15" customHeight="1">
      <c r="A461" s="13">
        <v>55212</v>
      </c>
      <c r="B461" s="8">
        <f>CHOOSE( CONTROL!$C$33, 12.925, 12.9239) * CHOOSE(CONTROL!$C$16, $D$10, 100%, $F$10)</f>
        <v>12.925000000000001</v>
      </c>
      <c r="C461" s="8">
        <f>CHOOSE( CONTROL!$C$33, 12.9301, 12.929) * CHOOSE(CONTROL!$C$16, $D$10, 100%, $F$10)</f>
        <v>12.930099999999999</v>
      </c>
      <c r="D461" s="8">
        <f>CHOOSE( CONTROL!$C$33, 12.9223, 12.9212) * CHOOSE( CONTROL!$C$16, $D$10, 100%, $F$10)</f>
        <v>12.9223</v>
      </c>
      <c r="E461" s="12">
        <f>CHOOSE( CONTROL!$C$33, 12.9246, 12.9235) * CHOOSE( CONTROL!$C$16, $D$10, 100%, $F$10)</f>
        <v>12.9246</v>
      </c>
      <c r="F461" s="4">
        <f>CHOOSE( CONTROL!$C$33, 13.5879, 13.5868) * CHOOSE(CONTROL!$C$16, $D$10, 100%, $F$10)</f>
        <v>13.587899999999999</v>
      </c>
      <c r="G461" s="8">
        <f>CHOOSE( CONTROL!$C$33, 12.7874, 12.7863) * CHOOSE( CONTROL!$C$16, $D$10, 100%, $F$10)</f>
        <v>12.7874</v>
      </c>
      <c r="H461" s="4">
        <f>CHOOSE( CONTROL!$C$33, 13.6722, 13.671) * CHOOSE(CONTROL!$C$16, $D$10, 100%, $F$10)</f>
        <v>13.6722</v>
      </c>
      <c r="I461" s="8">
        <f>CHOOSE( CONTROL!$C$33, 12.6986, 12.6975) * CHOOSE(CONTROL!$C$16, $D$10, 100%, $F$10)</f>
        <v>12.698600000000001</v>
      </c>
      <c r="J461" s="4">
        <f>CHOOSE( CONTROL!$C$33, 12.5319, 12.5309) * CHOOSE(CONTROL!$C$16, $D$10, 100%, $F$10)</f>
        <v>12.5319</v>
      </c>
      <c r="K461" s="4"/>
      <c r="L461" s="9">
        <v>26.469899999999999</v>
      </c>
      <c r="M461" s="9">
        <v>10.8962</v>
      </c>
      <c r="N461" s="9">
        <v>4.4660000000000002</v>
      </c>
      <c r="O461" s="9">
        <v>0.33789999999999998</v>
      </c>
      <c r="P461" s="9">
        <v>1.1676</v>
      </c>
      <c r="Q461" s="9">
        <v>18.0718</v>
      </c>
      <c r="R461" s="9"/>
      <c r="S461" s="11"/>
    </row>
    <row r="462" spans="1:19" ht="15" customHeight="1">
      <c r="A462" s="13">
        <v>55243</v>
      </c>
      <c r="B462" s="8">
        <f>CHOOSE( CONTROL!$C$33, 12.6495, 12.6484) * CHOOSE(CONTROL!$C$16, $D$10, 100%, $F$10)</f>
        <v>12.6495</v>
      </c>
      <c r="C462" s="8">
        <f>CHOOSE( CONTROL!$C$33, 12.6546, 12.6535) * CHOOSE(CONTROL!$C$16, $D$10, 100%, $F$10)</f>
        <v>12.6546</v>
      </c>
      <c r="D462" s="8">
        <f>CHOOSE( CONTROL!$C$33, 12.6461, 12.6449) * CHOOSE( CONTROL!$C$16, $D$10, 100%, $F$10)</f>
        <v>12.646100000000001</v>
      </c>
      <c r="E462" s="12">
        <f>CHOOSE( CONTROL!$C$33, 12.6487, 12.6475) * CHOOSE( CONTROL!$C$16, $D$10, 100%, $F$10)</f>
        <v>12.6487</v>
      </c>
      <c r="F462" s="4">
        <f>CHOOSE( CONTROL!$C$33, 13.3124, 13.3113) * CHOOSE(CONTROL!$C$16, $D$10, 100%, $F$10)</f>
        <v>13.3124</v>
      </c>
      <c r="G462" s="8">
        <f>CHOOSE( CONTROL!$C$33, 12.5152, 12.5141) * CHOOSE( CONTROL!$C$16, $D$10, 100%, $F$10)</f>
        <v>12.5152</v>
      </c>
      <c r="H462" s="4">
        <f>CHOOSE( CONTROL!$C$33, 13.4005, 13.3994) * CHOOSE(CONTROL!$C$16, $D$10, 100%, $F$10)</f>
        <v>13.400499999999999</v>
      </c>
      <c r="I462" s="8">
        <f>CHOOSE( CONTROL!$C$33, 12.4294, 12.4283) * CHOOSE(CONTROL!$C$16, $D$10, 100%, $F$10)</f>
        <v>12.429399999999999</v>
      </c>
      <c r="J462" s="4">
        <f>CHOOSE( CONTROL!$C$33, 12.2652, 12.2641) * CHOOSE(CONTROL!$C$16, $D$10, 100%, $F$10)</f>
        <v>12.2652</v>
      </c>
      <c r="K462" s="4"/>
      <c r="L462" s="9">
        <v>29.306000000000001</v>
      </c>
      <c r="M462" s="9">
        <v>12.063700000000001</v>
      </c>
      <c r="N462" s="9">
        <v>4.9444999999999997</v>
      </c>
      <c r="O462" s="9">
        <v>0.37409999999999999</v>
      </c>
      <c r="P462" s="9">
        <v>1.2927</v>
      </c>
      <c r="Q462" s="9">
        <v>20.007999999999999</v>
      </c>
      <c r="R462" s="9"/>
      <c r="S462" s="11"/>
    </row>
    <row r="463" spans="1:19" ht="15" customHeight="1">
      <c r="A463" s="13">
        <v>55273</v>
      </c>
      <c r="B463" s="8">
        <f>CHOOSE( CONTROL!$C$33, 12.8428, 12.8417) * CHOOSE(CONTROL!$C$16, $D$10, 100%, $F$10)</f>
        <v>12.8428</v>
      </c>
      <c r="C463" s="8">
        <f>CHOOSE( CONTROL!$C$33, 12.8473, 12.8462) * CHOOSE(CONTROL!$C$16, $D$10, 100%, $F$10)</f>
        <v>12.847300000000001</v>
      </c>
      <c r="D463" s="8">
        <f>CHOOSE( CONTROL!$C$33, 12.8762, 12.8751) * CHOOSE( CONTROL!$C$16, $D$10, 100%, $F$10)</f>
        <v>12.876200000000001</v>
      </c>
      <c r="E463" s="12">
        <f>CHOOSE( CONTROL!$C$33, 12.8661, 12.865) * CHOOSE( CONTROL!$C$16, $D$10, 100%, $F$10)</f>
        <v>12.866099999999999</v>
      </c>
      <c r="F463" s="4">
        <f>CHOOSE( CONTROL!$C$33, 13.6211, 13.62) * CHOOSE(CONTROL!$C$16, $D$10, 100%, $F$10)</f>
        <v>13.6211</v>
      </c>
      <c r="G463" s="8">
        <f>CHOOSE( CONTROL!$C$33, 12.726, 12.7249) * CHOOSE( CONTROL!$C$16, $D$10, 100%, $F$10)</f>
        <v>12.726000000000001</v>
      </c>
      <c r="H463" s="4">
        <f>CHOOSE( CONTROL!$C$33, 13.7049, 13.7038) * CHOOSE(CONTROL!$C$16, $D$10, 100%, $F$10)</f>
        <v>13.7049</v>
      </c>
      <c r="I463" s="8">
        <f>CHOOSE( CONTROL!$C$33, 12.5739, 12.5728) * CHOOSE(CONTROL!$C$16, $D$10, 100%, $F$10)</f>
        <v>12.5739</v>
      </c>
      <c r="J463" s="4">
        <f>CHOOSE( CONTROL!$C$33, 12.4516, 12.4505) * CHOOSE(CONTROL!$C$16, $D$10, 100%, $F$10)</f>
        <v>12.451599999999999</v>
      </c>
      <c r="K463" s="4"/>
      <c r="L463" s="9">
        <v>30.092199999999998</v>
      </c>
      <c r="M463" s="9">
        <v>11.6745</v>
      </c>
      <c r="N463" s="9">
        <v>4.7850000000000001</v>
      </c>
      <c r="O463" s="9">
        <v>0.36199999999999999</v>
      </c>
      <c r="P463" s="9">
        <v>1.2509999999999999</v>
      </c>
      <c r="Q463" s="9">
        <v>19.3626</v>
      </c>
      <c r="R463" s="9"/>
      <c r="S463" s="11"/>
    </row>
    <row r="464" spans="1:19" ht="15" customHeight="1">
      <c r="A464" s="13">
        <v>55304</v>
      </c>
      <c r="B464" s="8">
        <f>CHOOSE( CONTROL!$C$33, 13.1872, 13.1856) * CHOOSE(CONTROL!$C$16, $D$10, 100%, $F$10)</f>
        <v>13.187200000000001</v>
      </c>
      <c r="C464" s="8">
        <f>CHOOSE( CONTROL!$C$33, 13.1952, 13.1936) * CHOOSE(CONTROL!$C$16, $D$10, 100%, $F$10)</f>
        <v>13.1952</v>
      </c>
      <c r="D464" s="8">
        <f>CHOOSE( CONTROL!$C$33, 13.2174, 13.2159) * CHOOSE( CONTROL!$C$16, $D$10, 100%, $F$10)</f>
        <v>13.2174</v>
      </c>
      <c r="E464" s="12">
        <f>CHOOSE( CONTROL!$C$33, 13.2081, 13.2066) * CHOOSE( CONTROL!$C$16, $D$10, 100%, $F$10)</f>
        <v>13.2081</v>
      </c>
      <c r="F464" s="4">
        <f>CHOOSE( CONTROL!$C$33, 13.9641, 13.9626) * CHOOSE(CONTROL!$C$16, $D$10, 100%, $F$10)</f>
        <v>13.9641</v>
      </c>
      <c r="G464" s="8">
        <f>CHOOSE( CONTROL!$C$33, 13.0642, 13.0627) * CHOOSE( CONTROL!$C$16, $D$10, 100%, $F$10)</f>
        <v>13.0642</v>
      </c>
      <c r="H464" s="4">
        <f>CHOOSE( CONTROL!$C$33, 14.0432, 14.0416) * CHOOSE(CONTROL!$C$16, $D$10, 100%, $F$10)</f>
        <v>14.043200000000001</v>
      </c>
      <c r="I464" s="8">
        <f>CHOOSE( CONTROL!$C$33, 12.9059, 12.9044) * CHOOSE(CONTROL!$C$16, $D$10, 100%, $F$10)</f>
        <v>12.905900000000001</v>
      </c>
      <c r="J464" s="4">
        <f>CHOOSE( CONTROL!$C$33, 12.7838, 12.7823) * CHOOSE(CONTROL!$C$16, $D$10, 100%, $F$10)</f>
        <v>12.783799999999999</v>
      </c>
      <c r="K464" s="4"/>
      <c r="L464" s="9">
        <v>30.7165</v>
      </c>
      <c r="M464" s="9">
        <v>12.063700000000001</v>
      </c>
      <c r="N464" s="9">
        <v>4.9444999999999997</v>
      </c>
      <c r="O464" s="9">
        <v>0.37409999999999999</v>
      </c>
      <c r="P464" s="9">
        <v>1.2927</v>
      </c>
      <c r="Q464" s="9">
        <v>20.007999999999999</v>
      </c>
      <c r="R464" s="9"/>
      <c r="S464" s="11"/>
    </row>
    <row r="465" spans="1:19" ht="15" customHeight="1">
      <c r="A465" s="13">
        <v>55334</v>
      </c>
      <c r="B465" s="8">
        <f>CHOOSE( CONTROL!$C$33, 12.975, 12.9734) * CHOOSE(CONTROL!$C$16, $D$10, 100%, $F$10)</f>
        <v>12.975</v>
      </c>
      <c r="C465" s="8">
        <f>CHOOSE( CONTROL!$C$33, 12.983, 12.9814) * CHOOSE(CONTROL!$C$16, $D$10, 100%, $F$10)</f>
        <v>12.983000000000001</v>
      </c>
      <c r="D465" s="8">
        <f>CHOOSE( CONTROL!$C$33, 13.0054, 13.0038) * CHOOSE( CONTROL!$C$16, $D$10, 100%, $F$10)</f>
        <v>13.0054</v>
      </c>
      <c r="E465" s="12">
        <f>CHOOSE( CONTROL!$C$33, 12.9961, 12.9945) * CHOOSE( CONTROL!$C$16, $D$10, 100%, $F$10)</f>
        <v>12.9961</v>
      </c>
      <c r="F465" s="4">
        <f>CHOOSE( CONTROL!$C$33, 13.7519, 13.7503) * CHOOSE(CONTROL!$C$16, $D$10, 100%, $F$10)</f>
        <v>13.751899999999999</v>
      </c>
      <c r="G465" s="8">
        <f>CHOOSE( CONTROL!$C$33, 12.8551, 12.8535) * CHOOSE( CONTROL!$C$16, $D$10, 100%, $F$10)</f>
        <v>12.8551</v>
      </c>
      <c r="H465" s="4">
        <f>CHOOSE( CONTROL!$C$33, 13.8339, 13.8323) * CHOOSE(CONTROL!$C$16, $D$10, 100%, $F$10)</f>
        <v>13.8339</v>
      </c>
      <c r="I465" s="8">
        <f>CHOOSE( CONTROL!$C$33, 12.7008, 12.6993) * CHOOSE(CONTROL!$C$16, $D$10, 100%, $F$10)</f>
        <v>12.700799999999999</v>
      </c>
      <c r="J465" s="4">
        <f>CHOOSE( CONTROL!$C$33, 12.5783, 12.5767) * CHOOSE(CONTROL!$C$16, $D$10, 100%, $F$10)</f>
        <v>12.5783</v>
      </c>
      <c r="K465" s="4"/>
      <c r="L465" s="9">
        <v>29.7257</v>
      </c>
      <c r="M465" s="9">
        <v>11.6745</v>
      </c>
      <c r="N465" s="9">
        <v>4.7850000000000001</v>
      </c>
      <c r="O465" s="9">
        <v>0.36199999999999999</v>
      </c>
      <c r="P465" s="9">
        <v>1.2509999999999999</v>
      </c>
      <c r="Q465" s="9">
        <v>19.3626</v>
      </c>
      <c r="R465" s="9"/>
      <c r="S465" s="11"/>
    </row>
    <row r="466" spans="1:19" ht="15" customHeight="1">
      <c r="A466" s="13">
        <v>55365</v>
      </c>
      <c r="B466" s="8">
        <f>CHOOSE( CONTROL!$C$33, 13.5339, 13.5323) * CHOOSE(CONTROL!$C$16, $D$10, 100%, $F$10)</f>
        <v>13.533899999999999</v>
      </c>
      <c r="C466" s="8">
        <f>CHOOSE( CONTROL!$C$33, 13.5419, 13.5403) * CHOOSE(CONTROL!$C$16, $D$10, 100%, $F$10)</f>
        <v>13.5419</v>
      </c>
      <c r="D466" s="8">
        <f>CHOOSE( CONTROL!$C$33, 13.5645, 13.5629) * CHOOSE( CONTROL!$C$16, $D$10, 100%, $F$10)</f>
        <v>13.564500000000001</v>
      </c>
      <c r="E466" s="12">
        <f>CHOOSE( CONTROL!$C$33, 13.5551, 13.5535) * CHOOSE( CONTROL!$C$16, $D$10, 100%, $F$10)</f>
        <v>13.555099999999999</v>
      </c>
      <c r="F466" s="4">
        <f>CHOOSE( CONTROL!$C$33, 14.3108, 14.3092) * CHOOSE(CONTROL!$C$16, $D$10, 100%, $F$10)</f>
        <v>14.3108</v>
      </c>
      <c r="G466" s="8">
        <f>CHOOSE( CONTROL!$C$33, 13.4064, 13.4048) * CHOOSE( CONTROL!$C$16, $D$10, 100%, $F$10)</f>
        <v>13.4064</v>
      </c>
      <c r="H466" s="4">
        <f>CHOOSE( CONTROL!$C$33, 14.385, 14.3834) * CHOOSE(CONTROL!$C$16, $D$10, 100%, $F$10)</f>
        <v>14.385</v>
      </c>
      <c r="I466" s="8">
        <f>CHOOSE( CONTROL!$C$33, 13.2431, 13.2415) * CHOOSE(CONTROL!$C$16, $D$10, 100%, $F$10)</f>
        <v>13.2431</v>
      </c>
      <c r="J466" s="4">
        <f>CHOOSE( CONTROL!$C$33, 13.1194, 13.1179) * CHOOSE(CONTROL!$C$16, $D$10, 100%, $F$10)</f>
        <v>13.119400000000001</v>
      </c>
      <c r="K466" s="4"/>
      <c r="L466" s="9">
        <v>30.7165</v>
      </c>
      <c r="M466" s="9">
        <v>12.063700000000001</v>
      </c>
      <c r="N466" s="9">
        <v>4.9444999999999997</v>
      </c>
      <c r="O466" s="9">
        <v>0.37409999999999999</v>
      </c>
      <c r="P466" s="9">
        <v>1.2927</v>
      </c>
      <c r="Q466" s="9">
        <v>20.007999999999999</v>
      </c>
      <c r="R466" s="9"/>
      <c r="S466" s="11"/>
    </row>
    <row r="467" spans="1:19" ht="15" customHeight="1">
      <c r="A467" s="13">
        <v>55396</v>
      </c>
      <c r="B467" s="8">
        <f>CHOOSE( CONTROL!$C$33, 12.4881, 12.4865) * CHOOSE(CONTROL!$C$16, $D$10, 100%, $F$10)</f>
        <v>12.488099999999999</v>
      </c>
      <c r="C467" s="8">
        <f>CHOOSE( CONTROL!$C$33, 12.4961, 12.4945) * CHOOSE(CONTROL!$C$16, $D$10, 100%, $F$10)</f>
        <v>12.4961</v>
      </c>
      <c r="D467" s="8">
        <f>CHOOSE( CONTROL!$C$33, 12.5188, 12.5172) * CHOOSE( CONTROL!$C$16, $D$10, 100%, $F$10)</f>
        <v>12.518800000000001</v>
      </c>
      <c r="E467" s="12">
        <f>CHOOSE( CONTROL!$C$33, 12.5094, 12.5078) * CHOOSE( CONTROL!$C$16, $D$10, 100%, $F$10)</f>
        <v>12.509399999999999</v>
      </c>
      <c r="F467" s="4">
        <f>CHOOSE( CONTROL!$C$33, 13.265, 13.2635) * CHOOSE(CONTROL!$C$16, $D$10, 100%, $F$10)</f>
        <v>13.265000000000001</v>
      </c>
      <c r="G467" s="8">
        <f>CHOOSE( CONTROL!$C$33, 12.3752, 12.3737) * CHOOSE( CONTROL!$C$16, $D$10, 100%, $F$10)</f>
        <v>12.3752</v>
      </c>
      <c r="H467" s="4">
        <f>CHOOSE( CONTROL!$C$33, 13.3538, 13.3523) * CHOOSE(CONTROL!$C$16, $D$10, 100%, $F$10)</f>
        <v>13.3538</v>
      </c>
      <c r="I467" s="8">
        <f>CHOOSE( CONTROL!$C$33, 12.2301, 12.2286) * CHOOSE(CONTROL!$C$16, $D$10, 100%, $F$10)</f>
        <v>12.2301</v>
      </c>
      <c r="J467" s="4">
        <f>CHOOSE( CONTROL!$C$33, 12.1068, 12.1053) * CHOOSE(CONTROL!$C$16, $D$10, 100%, $F$10)</f>
        <v>12.1068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1.2927</v>
      </c>
      <c r="Q467" s="9">
        <v>20.007999999999999</v>
      </c>
      <c r="R467" s="9"/>
      <c r="S467" s="11"/>
    </row>
    <row r="468" spans="1:19" ht="15" customHeight="1">
      <c r="A468" s="13">
        <v>55426</v>
      </c>
      <c r="B468" s="8">
        <f>CHOOSE( CONTROL!$C$33, 12.2262, 12.2247) * CHOOSE(CONTROL!$C$16, $D$10, 100%, $F$10)</f>
        <v>12.2262</v>
      </c>
      <c r="C468" s="8">
        <f>CHOOSE( CONTROL!$C$33, 12.2342, 12.2327) * CHOOSE(CONTROL!$C$16, $D$10, 100%, $F$10)</f>
        <v>12.2342</v>
      </c>
      <c r="D468" s="8">
        <f>CHOOSE( CONTROL!$C$33, 12.2568, 12.2552) * CHOOSE( CONTROL!$C$16, $D$10, 100%, $F$10)</f>
        <v>12.2568</v>
      </c>
      <c r="E468" s="12">
        <f>CHOOSE( CONTROL!$C$33, 12.2474, 12.2458) * CHOOSE( CONTROL!$C$16, $D$10, 100%, $F$10)</f>
        <v>12.247400000000001</v>
      </c>
      <c r="F468" s="4">
        <f>CHOOSE( CONTROL!$C$33, 13.0032, 13.0016) * CHOOSE(CONTROL!$C$16, $D$10, 100%, $F$10)</f>
        <v>13.0032</v>
      </c>
      <c r="G468" s="8">
        <f>CHOOSE( CONTROL!$C$33, 12.1169, 12.1154) * CHOOSE( CONTROL!$C$16, $D$10, 100%, $F$10)</f>
        <v>12.116899999999999</v>
      </c>
      <c r="H468" s="4">
        <f>CHOOSE( CONTROL!$C$33, 13.0956, 13.0941) * CHOOSE(CONTROL!$C$16, $D$10, 100%, $F$10)</f>
        <v>13.095599999999999</v>
      </c>
      <c r="I468" s="8">
        <f>CHOOSE( CONTROL!$C$33, 11.976, 11.9745) * CHOOSE(CONTROL!$C$16, $D$10, 100%, $F$10)</f>
        <v>11.976000000000001</v>
      </c>
      <c r="J468" s="4">
        <f>CHOOSE( CONTROL!$C$33, 11.8533, 11.8518) * CHOOSE(CONTROL!$C$16, $D$10, 100%, $F$10)</f>
        <v>11.853300000000001</v>
      </c>
      <c r="K468" s="4"/>
      <c r="L468" s="9">
        <v>29.7257</v>
      </c>
      <c r="M468" s="9">
        <v>11.6745</v>
      </c>
      <c r="N468" s="9">
        <v>4.7850000000000001</v>
      </c>
      <c r="O468" s="9">
        <v>0.36199999999999999</v>
      </c>
      <c r="P468" s="9">
        <v>1.2509999999999999</v>
      </c>
      <c r="Q468" s="9">
        <v>19.3626</v>
      </c>
      <c r="R468" s="9"/>
      <c r="S468" s="11"/>
    </row>
    <row r="469" spans="1:19" ht="15" customHeight="1">
      <c r="A469" s="13">
        <v>55457</v>
      </c>
      <c r="B469" s="8">
        <f>CHOOSE( CONTROL!$C$33, 12.7678, 12.7667) * CHOOSE(CONTROL!$C$16, $D$10, 100%, $F$10)</f>
        <v>12.767799999999999</v>
      </c>
      <c r="C469" s="8">
        <f>CHOOSE( CONTROL!$C$33, 12.7732, 12.772) * CHOOSE(CONTROL!$C$16, $D$10, 100%, $F$10)</f>
        <v>12.773199999999999</v>
      </c>
      <c r="D469" s="8">
        <f>CHOOSE( CONTROL!$C$33, 12.8019, 12.8008) * CHOOSE( CONTROL!$C$16, $D$10, 100%, $F$10)</f>
        <v>12.8019</v>
      </c>
      <c r="E469" s="12">
        <f>CHOOSE( CONTROL!$C$33, 12.7919, 12.7907) * CHOOSE( CONTROL!$C$16, $D$10, 100%, $F$10)</f>
        <v>12.7919</v>
      </c>
      <c r="F469" s="4">
        <f>CHOOSE( CONTROL!$C$33, 13.5465, 13.5453) * CHOOSE(CONTROL!$C$16, $D$10, 100%, $F$10)</f>
        <v>13.5465</v>
      </c>
      <c r="G469" s="8">
        <f>CHOOSE( CONTROL!$C$33, 12.6527, 12.6516) * CHOOSE( CONTROL!$C$16, $D$10, 100%, $F$10)</f>
        <v>12.652699999999999</v>
      </c>
      <c r="H469" s="4">
        <f>CHOOSE( CONTROL!$C$33, 13.6313, 13.6302) * CHOOSE(CONTROL!$C$16, $D$10, 100%, $F$10)</f>
        <v>13.6313</v>
      </c>
      <c r="I469" s="8">
        <f>CHOOSE( CONTROL!$C$33, 12.5029, 12.5018) * CHOOSE(CONTROL!$C$16, $D$10, 100%, $F$10)</f>
        <v>12.5029</v>
      </c>
      <c r="J469" s="4">
        <f>CHOOSE( CONTROL!$C$33, 12.3793, 12.3782) * CHOOSE(CONTROL!$C$16, $D$10, 100%, $F$10)</f>
        <v>12.379300000000001</v>
      </c>
      <c r="K469" s="4"/>
      <c r="L469" s="9">
        <v>31.095300000000002</v>
      </c>
      <c r="M469" s="9">
        <v>12.063700000000001</v>
      </c>
      <c r="N469" s="9">
        <v>4.9444999999999997</v>
      </c>
      <c r="O469" s="9">
        <v>0.37409999999999999</v>
      </c>
      <c r="P469" s="9">
        <v>1.2927</v>
      </c>
      <c r="Q469" s="9">
        <v>20.007999999999999</v>
      </c>
      <c r="R469" s="9"/>
      <c r="S469" s="11"/>
    </row>
    <row r="470" spans="1:19" ht="15" customHeight="1">
      <c r="A470" s="13">
        <v>55487</v>
      </c>
      <c r="B470" s="8">
        <f>CHOOSE( CONTROL!$C$33, 13.771, 13.7699) * CHOOSE(CONTROL!$C$16, $D$10, 100%, $F$10)</f>
        <v>13.771000000000001</v>
      </c>
      <c r="C470" s="8">
        <f>CHOOSE( CONTROL!$C$33, 13.7761, 13.775) * CHOOSE(CONTROL!$C$16, $D$10, 100%, $F$10)</f>
        <v>13.7761</v>
      </c>
      <c r="D470" s="8">
        <f>CHOOSE( CONTROL!$C$33, 13.7558, 13.7547) * CHOOSE( CONTROL!$C$16, $D$10, 100%, $F$10)</f>
        <v>13.755800000000001</v>
      </c>
      <c r="E470" s="12">
        <f>CHOOSE( CONTROL!$C$33, 13.7627, 13.7616) * CHOOSE( CONTROL!$C$16, $D$10, 100%, $F$10)</f>
        <v>13.762700000000001</v>
      </c>
      <c r="F470" s="4">
        <f>CHOOSE( CONTROL!$C$33, 14.4339, 14.4328) * CHOOSE(CONTROL!$C$16, $D$10, 100%, $F$10)</f>
        <v>14.4339</v>
      </c>
      <c r="G470" s="8">
        <f>CHOOSE( CONTROL!$C$33, 13.6149, 13.6137) * CHOOSE( CONTROL!$C$16, $D$10, 100%, $F$10)</f>
        <v>13.6149</v>
      </c>
      <c r="H470" s="4">
        <f>CHOOSE( CONTROL!$C$33, 14.5064, 14.5053) * CHOOSE(CONTROL!$C$16, $D$10, 100%, $F$10)</f>
        <v>14.506399999999999</v>
      </c>
      <c r="I470" s="8">
        <f>CHOOSE( CONTROL!$C$33, 13.523, 13.5219) * CHOOSE(CONTROL!$C$16, $D$10, 100%, $F$10)</f>
        <v>13.523</v>
      </c>
      <c r="J470" s="4">
        <f>CHOOSE( CONTROL!$C$33, 13.3511, 13.3501) * CHOOSE(CONTROL!$C$16, $D$10, 100%, $F$10)</f>
        <v>13.351100000000001</v>
      </c>
      <c r="K470" s="4"/>
      <c r="L470" s="9">
        <v>28.360600000000002</v>
      </c>
      <c r="M470" s="9">
        <v>11.6745</v>
      </c>
      <c r="N470" s="9">
        <v>4.7850000000000001</v>
      </c>
      <c r="O470" s="9">
        <v>0.36199999999999999</v>
      </c>
      <c r="P470" s="9">
        <v>1.2509999999999999</v>
      </c>
      <c r="Q470" s="9">
        <v>19.3626</v>
      </c>
      <c r="R470" s="9"/>
      <c r="S470" s="11"/>
    </row>
    <row r="471" spans="1:19" ht="15" customHeight="1">
      <c r="A471" s="13">
        <v>55518</v>
      </c>
      <c r="B471" s="8">
        <f>CHOOSE( CONTROL!$C$33, 13.7459, 13.7448) * CHOOSE(CONTROL!$C$16, $D$10, 100%, $F$10)</f>
        <v>13.745900000000001</v>
      </c>
      <c r="C471" s="8">
        <f>CHOOSE( CONTROL!$C$33, 13.751, 13.7499) * CHOOSE(CONTROL!$C$16, $D$10, 100%, $F$10)</f>
        <v>13.750999999999999</v>
      </c>
      <c r="D471" s="8">
        <f>CHOOSE( CONTROL!$C$33, 13.7322, 13.7311) * CHOOSE( CONTROL!$C$16, $D$10, 100%, $F$10)</f>
        <v>13.732200000000001</v>
      </c>
      <c r="E471" s="12">
        <f>CHOOSE( CONTROL!$C$33, 13.7385, 13.7374) * CHOOSE( CONTROL!$C$16, $D$10, 100%, $F$10)</f>
        <v>13.7385</v>
      </c>
      <c r="F471" s="4">
        <f>CHOOSE( CONTROL!$C$33, 14.4088, 14.4077) * CHOOSE(CONTROL!$C$16, $D$10, 100%, $F$10)</f>
        <v>14.408799999999999</v>
      </c>
      <c r="G471" s="8">
        <f>CHOOSE( CONTROL!$C$33, 13.5912, 13.5901) * CHOOSE( CONTROL!$C$16, $D$10, 100%, $F$10)</f>
        <v>13.591200000000001</v>
      </c>
      <c r="H471" s="4">
        <f>CHOOSE( CONTROL!$C$33, 14.4816, 14.4805) * CHOOSE(CONTROL!$C$16, $D$10, 100%, $F$10)</f>
        <v>14.4816</v>
      </c>
      <c r="I471" s="8">
        <f>CHOOSE( CONTROL!$C$33, 13.5032, 13.5021) * CHOOSE(CONTROL!$C$16, $D$10, 100%, $F$10)</f>
        <v>13.5032</v>
      </c>
      <c r="J471" s="4">
        <f>CHOOSE( CONTROL!$C$33, 13.3269, 13.3258) * CHOOSE(CONTROL!$C$16, $D$10, 100%, $F$10)</f>
        <v>13.3269</v>
      </c>
      <c r="K471" s="4"/>
      <c r="L471" s="9">
        <v>29.306000000000001</v>
      </c>
      <c r="M471" s="9">
        <v>12.063700000000001</v>
      </c>
      <c r="N471" s="9">
        <v>4.9444999999999997</v>
      </c>
      <c r="O471" s="9">
        <v>0.37409999999999999</v>
      </c>
      <c r="P471" s="9">
        <v>1.2927</v>
      </c>
      <c r="Q471" s="9">
        <v>20.007999999999999</v>
      </c>
      <c r="R471" s="9"/>
      <c r="S471" s="11"/>
    </row>
    <row r="472" spans="1:19" ht="15" customHeight="1">
      <c r="A472" s="13">
        <v>55549</v>
      </c>
      <c r="B472" s="8">
        <f>CHOOSE( CONTROL!$C$33, 14.1519, 14.1508) * CHOOSE(CONTROL!$C$16, $D$10, 100%, $F$10)</f>
        <v>14.151899999999999</v>
      </c>
      <c r="C472" s="8">
        <f>CHOOSE( CONTROL!$C$33, 14.157, 14.1559) * CHOOSE(CONTROL!$C$16, $D$10, 100%, $F$10)</f>
        <v>14.157</v>
      </c>
      <c r="D472" s="8">
        <f>CHOOSE( CONTROL!$C$33, 14.1493, 14.1482) * CHOOSE( CONTROL!$C$16, $D$10, 100%, $F$10)</f>
        <v>14.1493</v>
      </c>
      <c r="E472" s="12">
        <f>CHOOSE( CONTROL!$C$33, 14.1516, 14.1505) * CHOOSE( CONTROL!$C$16, $D$10, 100%, $F$10)</f>
        <v>14.1516</v>
      </c>
      <c r="F472" s="4">
        <f>CHOOSE( CONTROL!$C$33, 14.8148, 14.8136) * CHOOSE(CONTROL!$C$16, $D$10, 100%, $F$10)</f>
        <v>14.8148</v>
      </c>
      <c r="G472" s="8">
        <f>CHOOSE( CONTROL!$C$33, 13.9973, 13.9962) * CHOOSE( CONTROL!$C$16, $D$10, 100%, $F$10)</f>
        <v>13.997299999999999</v>
      </c>
      <c r="H472" s="4">
        <f>CHOOSE( CONTROL!$C$33, 14.8819, 14.8808) * CHOOSE(CONTROL!$C$16, $D$10, 100%, $F$10)</f>
        <v>14.8819</v>
      </c>
      <c r="I472" s="8">
        <f>CHOOSE( CONTROL!$C$33, 13.8877, 13.8866) * CHOOSE(CONTROL!$C$16, $D$10, 100%, $F$10)</f>
        <v>13.887700000000001</v>
      </c>
      <c r="J472" s="4">
        <f>CHOOSE( CONTROL!$C$33, 13.7199, 13.7188) * CHOOSE(CONTROL!$C$16, $D$10, 100%, $F$10)</f>
        <v>13.719900000000001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19.942900000000002</v>
      </c>
      <c r="R472" s="9"/>
      <c r="S472" s="11"/>
    </row>
    <row r="473" spans="1:19" ht="15" customHeight="1">
      <c r="A473" s="13">
        <v>55577</v>
      </c>
      <c r="B473" s="8">
        <f>CHOOSE( CONTROL!$C$33, 13.2359, 13.2348) * CHOOSE(CONTROL!$C$16, $D$10, 100%, $F$10)</f>
        <v>13.235900000000001</v>
      </c>
      <c r="C473" s="8">
        <f>CHOOSE( CONTROL!$C$33, 13.241, 13.2399) * CHOOSE(CONTROL!$C$16, $D$10, 100%, $F$10)</f>
        <v>13.241</v>
      </c>
      <c r="D473" s="8">
        <f>CHOOSE( CONTROL!$C$33, 13.2332, 13.2321) * CHOOSE( CONTROL!$C$16, $D$10, 100%, $F$10)</f>
        <v>13.2332</v>
      </c>
      <c r="E473" s="12">
        <f>CHOOSE( CONTROL!$C$33, 13.2355, 13.2344) * CHOOSE( CONTROL!$C$16, $D$10, 100%, $F$10)</f>
        <v>13.2355</v>
      </c>
      <c r="F473" s="4">
        <f>CHOOSE( CONTROL!$C$33, 13.8988, 13.8977) * CHOOSE(CONTROL!$C$16, $D$10, 100%, $F$10)</f>
        <v>13.8988</v>
      </c>
      <c r="G473" s="8">
        <f>CHOOSE( CONTROL!$C$33, 13.094, 13.0929) * CHOOSE( CONTROL!$C$16, $D$10, 100%, $F$10)</f>
        <v>13.093999999999999</v>
      </c>
      <c r="H473" s="4">
        <f>CHOOSE( CONTROL!$C$33, 13.9788, 13.9777) * CHOOSE(CONTROL!$C$16, $D$10, 100%, $F$10)</f>
        <v>13.9788</v>
      </c>
      <c r="I473" s="8">
        <f>CHOOSE( CONTROL!$C$33, 12.9998, 12.9987) * CHOOSE(CONTROL!$C$16, $D$10, 100%, $F$10)</f>
        <v>12.9998</v>
      </c>
      <c r="J473" s="4">
        <f>CHOOSE( CONTROL!$C$33, 12.833, 12.8319) * CHOOSE(CONTROL!$C$16, $D$10, 100%, $F$10)</f>
        <v>12.833</v>
      </c>
      <c r="K473" s="4"/>
      <c r="L473" s="9">
        <v>27.415299999999998</v>
      </c>
      <c r="M473" s="9">
        <v>11.285299999999999</v>
      </c>
      <c r="N473" s="9">
        <v>4.6254999999999997</v>
      </c>
      <c r="O473" s="9">
        <v>0.34989999999999999</v>
      </c>
      <c r="P473" s="9">
        <v>1.2093</v>
      </c>
      <c r="Q473" s="9">
        <v>18.656300000000002</v>
      </c>
      <c r="R473" s="9"/>
      <c r="S473" s="11"/>
    </row>
    <row r="474" spans="1:19" ht="15" customHeight="1">
      <c r="A474" s="13">
        <v>55609</v>
      </c>
      <c r="B474" s="8">
        <f>CHOOSE( CONTROL!$C$33, 12.9538, 12.9527) * CHOOSE(CONTROL!$C$16, $D$10, 100%, $F$10)</f>
        <v>12.953799999999999</v>
      </c>
      <c r="C474" s="8">
        <f>CHOOSE( CONTROL!$C$33, 12.9589, 12.9578) * CHOOSE(CONTROL!$C$16, $D$10, 100%, $F$10)</f>
        <v>12.9589</v>
      </c>
      <c r="D474" s="8">
        <f>CHOOSE( CONTROL!$C$33, 12.9504, 12.9493) * CHOOSE( CONTROL!$C$16, $D$10, 100%, $F$10)</f>
        <v>12.9504</v>
      </c>
      <c r="E474" s="12">
        <f>CHOOSE( CONTROL!$C$33, 12.953, 12.9519) * CHOOSE( CONTROL!$C$16, $D$10, 100%, $F$10)</f>
        <v>12.952999999999999</v>
      </c>
      <c r="F474" s="4">
        <f>CHOOSE( CONTROL!$C$33, 13.6167, 13.6156) * CHOOSE(CONTROL!$C$16, $D$10, 100%, $F$10)</f>
        <v>13.6167</v>
      </c>
      <c r="G474" s="8">
        <f>CHOOSE( CONTROL!$C$33, 12.8153, 12.8142) * CHOOSE( CONTROL!$C$16, $D$10, 100%, $F$10)</f>
        <v>12.815300000000001</v>
      </c>
      <c r="H474" s="4">
        <f>CHOOSE( CONTROL!$C$33, 13.7006, 13.6995) * CHOOSE(CONTROL!$C$16, $D$10, 100%, $F$10)</f>
        <v>13.7006</v>
      </c>
      <c r="I474" s="8">
        <f>CHOOSE( CONTROL!$C$33, 12.7242, 12.7231) * CHOOSE(CONTROL!$C$16, $D$10, 100%, $F$10)</f>
        <v>12.7242</v>
      </c>
      <c r="J474" s="4">
        <f>CHOOSE( CONTROL!$C$33, 12.5599, 12.5588) * CHOOSE(CONTROL!$C$16, $D$10, 100%, $F$10)</f>
        <v>12.559900000000001</v>
      </c>
      <c r="K474" s="4"/>
      <c r="L474" s="9">
        <v>29.306000000000001</v>
      </c>
      <c r="M474" s="9">
        <v>12.063700000000001</v>
      </c>
      <c r="N474" s="9">
        <v>4.9444999999999997</v>
      </c>
      <c r="O474" s="9">
        <v>0.37409999999999999</v>
      </c>
      <c r="P474" s="9">
        <v>1.2927</v>
      </c>
      <c r="Q474" s="9">
        <v>19.942900000000002</v>
      </c>
      <c r="R474" s="9"/>
      <c r="S474" s="11"/>
    </row>
    <row r="475" spans="1:19" ht="15" customHeight="1">
      <c r="A475" s="13">
        <v>55639</v>
      </c>
      <c r="B475" s="8">
        <f>CHOOSE( CONTROL!$C$33, 13.1517, 13.1506) * CHOOSE(CONTROL!$C$16, $D$10, 100%, $F$10)</f>
        <v>13.1517</v>
      </c>
      <c r="C475" s="8">
        <f>CHOOSE( CONTROL!$C$33, 13.1563, 13.1551) * CHOOSE(CONTROL!$C$16, $D$10, 100%, $F$10)</f>
        <v>13.1563</v>
      </c>
      <c r="D475" s="8">
        <f>CHOOSE( CONTROL!$C$33, 13.1851, 13.184) * CHOOSE( CONTROL!$C$16, $D$10, 100%, $F$10)</f>
        <v>13.1851</v>
      </c>
      <c r="E475" s="12">
        <f>CHOOSE( CONTROL!$C$33, 13.1751, 13.1739) * CHOOSE( CONTROL!$C$16, $D$10, 100%, $F$10)</f>
        <v>13.1751</v>
      </c>
      <c r="F475" s="4">
        <f>CHOOSE( CONTROL!$C$33, 13.93, 13.9289) * CHOOSE(CONTROL!$C$16, $D$10, 100%, $F$10)</f>
        <v>13.93</v>
      </c>
      <c r="G475" s="8">
        <f>CHOOSE( CONTROL!$C$33, 13.0306, 13.0295) * CHOOSE( CONTROL!$C$16, $D$10, 100%, $F$10)</f>
        <v>13.0306</v>
      </c>
      <c r="H475" s="4">
        <f>CHOOSE( CONTROL!$C$33, 14.0095, 14.0084) * CHOOSE(CONTROL!$C$16, $D$10, 100%, $F$10)</f>
        <v>14.009499999999999</v>
      </c>
      <c r="I475" s="8">
        <f>CHOOSE( CONTROL!$C$33, 12.8732, 12.8721) * CHOOSE(CONTROL!$C$16, $D$10, 100%, $F$10)</f>
        <v>12.873200000000001</v>
      </c>
      <c r="J475" s="4">
        <f>CHOOSE( CONTROL!$C$33, 12.7507, 12.7497) * CHOOSE(CONTROL!$C$16, $D$10, 100%, $F$10)</f>
        <v>12.7507</v>
      </c>
      <c r="K475" s="4"/>
      <c r="L475" s="9">
        <v>30.092199999999998</v>
      </c>
      <c r="M475" s="9">
        <v>11.6745</v>
      </c>
      <c r="N475" s="9">
        <v>4.7850000000000001</v>
      </c>
      <c r="O475" s="9">
        <v>0.36199999999999999</v>
      </c>
      <c r="P475" s="9">
        <v>1.2509999999999999</v>
      </c>
      <c r="Q475" s="9">
        <v>19.299600000000002</v>
      </c>
      <c r="R475" s="9"/>
      <c r="S475" s="11"/>
    </row>
    <row r="476" spans="1:19" ht="15" customHeight="1">
      <c r="A476" s="13">
        <v>55670</v>
      </c>
      <c r="B476" s="8">
        <f>CHOOSE( CONTROL!$C$33, 13.5044, 13.5028) * CHOOSE(CONTROL!$C$16, $D$10, 100%, $F$10)</f>
        <v>13.5044</v>
      </c>
      <c r="C476" s="8">
        <f>CHOOSE( CONTROL!$C$33, 13.5124, 13.5108) * CHOOSE(CONTROL!$C$16, $D$10, 100%, $F$10)</f>
        <v>13.5124</v>
      </c>
      <c r="D476" s="8">
        <f>CHOOSE( CONTROL!$C$33, 13.5346, 13.5331) * CHOOSE( CONTROL!$C$16, $D$10, 100%, $F$10)</f>
        <v>13.534599999999999</v>
      </c>
      <c r="E476" s="12">
        <f>CHOOSE( CONTROL!$C$33, 13.5253, 13.5238) * CHOOSE( CONTROL!$C$16, $D$10, 100%, $F$10)</f>
        <v>13.5253</v>
      </c>
      <c r="F476" s="4">
        <f>CHOOSE( CONTROL!$C$33, 14.2813, 14.2797) * CHOOSE(CONTROL!$C$16, $D$10, 100%, $F$10)</f>
        <v>14.2813</v>
      </c>
      <c r="G476" s="8">
        <f>CHOOSE( CONTROL!$C$33, 13.377, 13.3754) * CHOOSE( CONTROL!$C$16, $D$10, 100%, $F$10)</f>
        <v>13.377000000000001</v>
      </c>
      <c r="H476" s="4">
        <f>CHOOSE( CONTROL!$C$33, 14.3559, 14.3544) * CHOOSE(CONTROL!$C$16, $D$10, 100%, $F$10)</f>
        <v>14.3559</v>
      </c>
      <c r="I476" s="8">
        <f>CHOOSE( CONTROL!$C$33, 13.2132, 13.2116) * CHOOSE(CONTROL!$C$16, $D$10, 100%, $F$10)</f>
        <v>13.213200000000001</v>
      </c>
      <c r="J476" s="4">
        <f>CHOOSE( CONTROL!$C$33, 13.0909, 13.0894) * CHOOSE(CONTROL!$C$16, $D$10, 100%, $F$10)</f>
        <v>13.0909</v>
      </c>
      <c r="K476" s="4"/>
      <c r="L476" s="9">
        <v>30.7165</v>
      </c>
      <c r="M476" s="9">
        <v>12.063700000000001</v>
      </c>
      <c r="N476" s="9">
        <v>4.9444999999999997</v>
      </c>
      <c r="O476" s="9">
        <v>0.37409999999999999</v>
      </c>
      <c r="P476" s="9">
        <v>1.2927</v>
      </c>
      <c r="Q476" s="9">
        <v>19.942900000000002</v>
      </c>
      <c r="R476" s="9"/>
      <c r="S476" s="11"/>
    </row>
    <row r="477" spans="1:19" ht="15" customHeight="1">
      <c r="A477" s="13">
        <v>55700</v>
      </c>
      <c r="B477" s="8">
        <f>CHOOSE( CONTROL!$C$33, 13.2871, 13.2855) * CHOOSE(CONTROL!$C$16, $D$10, 100%, $F$10)</f>
        <v>13.287100000000001</v>
      </c>
      <c r="C477" s="8">
        <f>CHOOSE( CONTROL!$C$33, 13.2951, 13.2935) * CHOOSE(CONTROL!$C$16, $D$10, 100%, $F$10)</f>
        <v>13.2951</v>
      </c>
      <c r="D477" s="8">
        <f>CHOOSE( CONTROL!$C$33, 13.3175, 13.3159) * CHOOSE( CONTROL!$C$16, $D$10, 100%, $F$10)</f>
        <v>13.317500000000001</v>
      </c>
      <c r="E477" s="12">
        <f>CHOOSE( CONTROL!$C$33, 13.3082, 13.3066) * CHOOSE( CONTROL!$C$16, $D$10, 100%, $F$10)</f>
        <v>13.308199999999999</v>
      </c>
      <c r="F477" s="4">
        <f>CHOOSE( CONTROL!$C$33, 14.064, 14.0624) * CHOOSE(CONTROL!$C$16, $D$10, 100%, $F$10)</f>
        <v>14.064</v>
      </c>
      <c r="G477" s="8">
        <f>CHOOSE( CONTROL!$C$33, 13.1628, 13.1612) * CHOOSE( CONTROL!$C$16, $D$10, 100%, $F$10)</f>
        <v>13.162800000000001</v>
      </c>
      <c r="H477" s="4">
        <f>CHOOSE( CONTROL!$C$33, 14.1416, 14.1401) * CHOOSE(CONTROL!$C$16, $D$10, 100%, $F$10)</f>
        <v>14.1416</v>
      </c>
      <c r="I477" s="8">
        <f>CHOOSE( CONTROL!$C$33, 13.0032, 13.0017) * CHOOSE(CONTROL!$C$16, $D$10, 100%, $F$10)</f>
        <v>13.0032</v>
      </c>
      <c r="J477" s="4">
        <f>CHOOSE( CONTROL!$C$33, 12.8805, 12.8789) * CHOOSE(CONTROL!$C$16, $D$10, 100%, $F$10)</f>
        <v>12.8805</v>
      </c>
      <c r="K477" s="4"/>
      <c r="L477" s="9">
        <v>29.7257</v>
      </c>
      <c r="M477" s="9">
        <v>11.6745</v>
      </c>
      <c r="N477" s="9">
        <v>4.7850000000000001</v>
      </c>
      <c r="O477" s="9">
        <v>0.36199999999999999</v>
      </c>
      <c r="P477" s="9">
        <v>1.2509999999999999</v>
      </c>
      <c r="Q477" s="9">
        <v>19.299600000000002</v>
      </c>
      <c r="R477" s="9"/>
      <c r="S477" s="11"/>
    </row>
    <row r="478" spans="1:19" ht="15" customHeight="1">
      <c r="A478" s="13">
        <v>55731</v>
      </c>
      <c r="B478" s="8">
        <f>CHOOSE( CONTROL!$C$33, 13.8594, 13.8578) * CHOOSE(CONTROL!$C$16, $D$10, 100%, $F$10)</f>
        <v>13.859400000000001</v>
      </c>
      <c r="C478" s="8">
        <f>CHOOSE( CONTROL!$C$33, 13.8674, 13.8658) * CHOOSE(CONTROL!$C$16, $D$10, 100%, $F$10)</f>
        <v>13.8674</v>
      </c>
      <c r="D478" s="8">
        <f>CHOOSE( CONTROL!$C$33, 13.89, 13.8884) * CHOOSE( CONTROL!$C$16, $D$10, 100%, $F$10)</f>
        <v>13.89</v>
      </c>
      <c r="E478" s="12">
        <f>CHOOSE( CONTROL!$C$33, 13.8806, 13.879) * CHOOSE( CONTROL!$C$16, $D$10, 100%, $F$10)</f>
        <v>13.880599999999999</v>
      </c>
      <c r="F478" s="4">
        <f>CHOOSE( CONTROL!$C$33, 14.6363, 14.6347) * CHOOSE(CONTROL!$C$16, $D$10, 100%, $F$10)</f>
        <v>14.6363</v>
      </c>
      <c r="G478" s="8">
        <f>CHOOSE( CONTROL!$C$33, 13.7273, 13.7258) * CHOOSE( CONTROL!$C$16, $D$10, 100%, $F$10)</f>
        <v>13.7273</v>
      </c>
      <c r="H478" s="4">
        <f>CHOOSE( CONTROL!$C$33, 14.706, 14.7044) * CHOOSE(CONTROL!$C$16, $D$10, 100%, $F$10)</f>
        <v>14.706</v>
      </c>
      <c r="I478" s="8">
        <f>CHOOSE( CONTROL!$C$33, 13.5584, 13.5569) * CHOOSE(CONTROL!$C$16, $D$10, 100%, $F$10)</f>
        <v>13.558400000000001</v>
      </c>
      <c r="J478" s="4">
        <f>CHOOSE( CONTROL!$C$33, 13.4346, 13.4331) * CHOOSE(CONTROL!$C$16, $D$10, 100%, $F$10)</f>
        <v>13.4346</v>
      </c>
      <c r="K478" s="4"/>
      <c r="L478" s="9">
        <v>30.7165</v>
      </c>
      <c r="M478" s="9">
        <v>12.063700000000001</v>
      </c>
      <c r="N478" s="9">
        <v>4.9444999999999997</v>
      </c>
      <c r="O478" s="9">
        <v>0.37409999999999999</v>
      </c>
      <c r="P478" s="9">
        <v>1.2927</v>
      </c>
      <c r="Q478" s="9">
        <v>19.942900000000002</v>
      </c>
      <c r="R478" s="9"/>
      <c r="S478" s="11"/>
    </row>
    <row r="479" spans="1:19" ht="15" customHeight="1">
      <c r="A479" s="13">
        <v>55762</v>
      </c>
      <c r="B479" s="8">
        <f>CHOOSE( CONTROL!$C$33, 12.7885, 12.7869) * CHOOSE(CONTROL!$C$16, $D$10, 100%, $F$10)</f>
        <v>12.788500000000001</v>
      </c>
      <c r="C479" s="8">
        <f>CHOOSE( CONTROL!$C$33, 12.7965, 12.7949) * CHOOSE(CONTROL!$C$16, $D$10, 100%, $F$10)</f>
        <v>12.7965</v>
      </c>
      <c r="D479" s="8">
        <f>CHOOSE( CONTROL!$C$33, 12.8192, 12.8176) * CHOOSE( CONTROL!$C$16, $D$10, 100%, $F$10)</f>
        <v>12.8192</v>
      </c>
      <c r="E479" s="12">
        <f>CHOOSE( CONTROL!$C$33, 12.8098, 12.8082) * CHOOSE( CONTROL!$C$16, $D$10, 100%, $F$10)</f>
        <v>12.809799999999999</v>
      </c>
      <c r="F479" s="4">
        <f>CHOOSE( CONTROL!$C$33, 13.5654, 13.5639) * CHOOSE(CONTROL!$C$16, $D$10, 100%, $F$10)</f>
        <v>13.5654</v>
      </c>
      <c r="G479" s="8">
        <f>CHOOSE( CONTROL!$C$33, 12.6714, 12.6699) * CHOOSE( CONTROL!$C$16, $D$10, 100%, $F$10)</f>
        <v>12.6714</v>
      </c>
      <c r="H479" s="4">
        <f>CHOOSE( CONTROL!$C$33, 13.65, 13.6485) * CHOOSE(CONTROL!$C$16, $D$10, 100%, $F$10)</f>
        <v>13.65</v>
      </c>
      <c r="I479" s="8">
        <f>CHOOSE( CONTROL!$C$33, 12.5211, 12.5196) * CHOOSE(CONTROL!$C$16, $D$10, 100%, $F$10)</f>
        <v>12.521100000000001</v>
      </c>
      <c r="J479" s="4">
        <f>CHOOSE( CONTROL!$C$33, 12.3977, 12.3962) * CHOOSE(CONTROL!$C$16, $D$10, 100%, $F$10)</f>
        <v>12.3977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1.2927</v>
      </c>
      <c r="Q479" s="9">
        <v>19.942900000000002</v>
      </c>
      <c r="R479" s="9"/>
      <c r="S479" s="11"/>
    </row>
    <row r="480" spans="1:19" ht="15" customHeight="1">
      <c r="A480" s="13">
        <v>55792</v>
      </c>
      <c r="B480" s="8">
        <f>CHOOSE( CONTROL!$C$33, 12.5203, 12.5188) * CHOOSE(CONTROL!$C$16, $D$10, 100%, $F$10)</f>
        <v>12.520300000000001</v>
      </c>
      <c r="C480" s="8">
        <f>CHOOSE( CONTROL!$C$33, 12.5283, 12.5268) * CHOOSE(CONTROL!$C$16, $D$10, 100%, $F$10)</f>
        <v>12.5283</v>
      </c>
      <c r="D480" s="8">
        <f>CHOOSE( CONTROL!$C$33, 12.5509, 12.5493) * CHOOSE( CONTROL!$C$16, $D$10, 100%, $F$10)</f>
        <v>12.5509</v>
      </c>
      <c r="E480" s="12">
        <f>CHOOSE( CONTROL!$C$33, 12.5415, 12.5399) * CHOOSE( CONTROL!$C$16, $D$10, 100%, $F$10)</f>
        <v>12.541499999999999</v>
      </c>
      <c r="F480" s="4">
        <f>CHOOSE( CONTROL!$C$33, 13.2973, 13.2957) * CHOOSE(CONTROL!$C$16, $D$10, 100%, $F$10)</f>
        <v>13.2973</v>
      </c>
      <c r="G480" s="8">
        <f>CHOOSE( CONTROL!$C$33, 12.4069, 12.4053) * CHOOSE( CONTROL!$C$16, $D$10, 100%, $F$10)</f>
        <v>12.4069</v>
      </c>
      <c r="H480" s="4">
        <f>CHOOSE( CONTROL!$C$33, 13.3856, 13.384) * CHOOSE(CONTROL!$C$16, $D$10, 100%, $F$10)</f>
        <v>13.3856</v>
      </c>
      <c r="I480" s="8">
        <f>CHOOSE( CONTROL!$C$33, 12.2609, 12.2594) * CHOOSE(CONTROL!$C$16, $D$10, 100%, $F$10)</f>
        <v>12.260899999999999</v>
      </c>
      <c r="J480" s="4">
        <f>CHOOSE( CONTROL!$C$33, 12.138, 12.1365) * CHOOSE(CONTROL!$C$16, $D$10, 100%, $F$10)</f>
        <v>12.138</v>
      </c>
      <c r="K480" s="4"/>
      <c r="L480" s="9">
        <v>29.7257</v>
      </c>
      <c r="M480" s="9">
        <v>11.6745</v>
      </c>
      <c r="N480" s="9">
        <v>4.7850000000000001</v>
      </c>
      <c r="O480" s="9">
        <v>0.36199999999999999</v>
      </c>
      <c r="P480" s="9">
        <v>1.2509999999999999</v>
      </c>
      <c r="Q480" s="9">
        <v>19.299600000000002</v>
      </c>
      <c r="R480" s="9"/>
      <c r="S480" s="11"/>
    </row>
    <row r="481" spans="1:19" ht="15" customHeight="1">
      <c r="A481" s="13">
        <v>55823</v>
      </c>
      <c r="B481" s="8">
        <f>CHOOSE( CONTROL!$C$33, 13.075, 13.0738) * CHOOSE(CONTROL!$C$16, $D$10, 100%, $F$10)</f>
        <v>13.074999999999999</v>
      </c>
      <c r="C481" s="8">
        <f>CHOOSE( CONTROL!$C$33, 13.0803, 13.0792) * CHOOSE(CONTROL!$C$16, $D$10, 100%, $F$10)</f>
        <v>13.080299999999999</v>
      </c>
      <c r="D481" s="8">
        <f>CHOOSE( CONTROL!$C$33, 13.1091, 13.108) * CHOOSE( CONTROL!$C$16, $D$10, 100%, $F$10)</f>
        <v>13.1091</v>
      </c>
      <c r="E481" s="12">
        <f>CHOOSE( CONTROL!$C$33, 13.099, 13.0979) * CHOOSE( CONTROL!$C$16, $D$10, 100%, $F$10)</f>
        <v>13.099</v>
      </c>
      <c r="F481" s="4">
        <f>CHOOSE( CONTROL!$C$33, 13.8536, 13.8525) * CHOOSE(CONTROL!$C$16, $D$10, 100%, $F$10)</f>
        <v>13.8536</v>
      </c>
      <c r="G481" s="8">
        <f>CHOOSE( CONTROL!$C$33, 12.9556, 12.9545) * CHOOSE( CONTROL!$C$16, $D$10, 100%, $F$10)</f>
        <v>12.9556</v>
      </c>
      <c r="H481" s="4">
        <f>CHOOSE( CONTROL!$C$33, 13.9342, 13.9331) * CHOOSE(CONTROL!$C$16, $D$10, 100%, $F$10)</f>
        <v>13.934200000000001</v>
      </c>
      <c r="I481" s="8">
        <f>CHOOSE( CONTROL!$C$33, 12.8005, 12.7994) * CHOOSE(CONTROL!$C$16, $D$10, 100%, $F$10)</f>
        <v>12.8005</v>
      </c>
      <c r="J481" s="4">
        <f>CHOOSE( CONTROL!$C$33, 12.6768, 12.6757) * CHOOSE(CONTROL!$C$16, $D$10, 100%, $F$10)</f>
        <v>12.6768</v>
      </c>
      <c r="K481" s="4"/>
      <c r="L481" s="9">
        <v>31.095300000000002</v>
      </c>
      <c r="M481" s="9">
        <v>12.063700000000001</v>
      </c>
      <c r="N481" s="9">
        <v>4.9444999999999997</v>
      </c>
      <c r="O481" s="9">
        <v>0.37409999999999999</v>
      </c>
      <c r="P481" s="9">
        <v>1.2927</v>
      </c>
      <c r="Q481" s="9">
        <v>19.942900000000002</v>
      </c>
      <c r="R481" s="9"/>
      <c r="S481" s="11"/>
    </row>
    <row r="482" spans="1:19" ht="15" customHeight="1">
      <c r="A482" s="13">
        <v>55853</v>
      </c>
      <c r="B482" s="8">
        <f>CHOOSE( CONTROL!$C$33, 14.1023, 14.1012) * CHOOSE(CONTROL!$C$16, $D$10, 100%, $F$10)</f>
        <v>14.1023</v>
      </c>
      <c r="C482" s="8">
        <f>CHOOSE( CONTROL!$C$33, 14.1074, 14.1063) * CHOOSE(CONTROL!$C$16, $D$10, 100%, $F$10)</f>
        <v>14.1074</v>
      </c>
      <c r="D482" s="8">
        <f>CHOOSE( CONTROL!$C$33, 14.0871, 14.0859) * CHOOSE( CONTROL!$C$16, $D$10, 100%, $F$10)</f>
        <v>14.0871</v>
      </c>
      <c r="E482" s="12">
        <f>CHOOSE( CONTROL!$C$33, 14.094, 14.0928) * CHOOSE( CONTROL!$C$16, $D$10, 100%, $F$10)</f>
        <v>14.093999999999999</v>
      </c>
      <c r="F482" s="4">
        <f>CHOOSE( CONTROL!$C$33, 14.7652, 14.764) * CHOOSE(CONTROL!$C$16, $D$10, 100%, $F$10)</f>
        <v>14.7652</v>
      </c>
      <c r="G482" s="8">
        <f>CHOOSE( CONTROL!$C$33, 13.9415, 13.9404) * CHOOSE( CONTROL!$C$16, $D$10, 100%, $F$10)</f>
        <v>13.9415</v>
      </c>
      <c r="H482" s="4">
        <f>CHOOSE( CONTROL!$C$33, 14.833, 14.8319) * CHOOSE(CONTROL!$C$16, $D$10, 100%, $F$10)</f>
        <v>14.833</v>
      </c>
      <c r="I482" s="8">
        <f>CHOOSE( CONTROL!$C$33, 13.8439, 13.8428) * CHOOSE(CONTROL!$C$16, $D$10, 100%, $F$10)</f>
        <v>13.8439</v>
      </c>
      <c r="J482" s="4">
        <f>CHOOSE( CONTROL!$C$33, 13.6719, 13.6708) * CHOOSE(CONTROL!$C$16, $D$10, 100%, $F$10)</f>
        <v>13.671900000000001</v>
      </c>
      <c r="K482" s="4"/>
      <c r="L482" s="9">
        <v>28.360600000000002</v>
      </c>
      <c r="M482" s="9">
        <v>11.6745</v>
      </c>
      <c r="N482" s="9">
        <v>4.7850000000000001</v>
      </c>
      <c r="O482" s="9">
        <v>0.36199999999999999</v>
      </c>
      <c r="P482" s="9">
        <v>1.2509999999999999</v>
      </c>
      <c r="Q482" s="9">
        <v>19.299600000000002</v>
      </c>
      <c r="R482" s="9"/>
      <c r="S482" s="11"/>
    </row>
    <row r="483" spans="1:19" ht="15" customHeight="1">
      <c r="A483" s="13">
        <v>55884</v>
      </c>
      <c r="B483" s="8">
        <f>CHOOSE( CONTROL!$C$33, 14.0766, 14.0755) * CHOOSE(CONTROL!$C$16, $D$10, 100%, $F$10)</f>
        <v>14.076599999999999</v>
      </c>
      <c r="C483" s="8">
        <f>CHOOSE( CONTROL!$C$33, 14.0817, 14.0806) * CHOOSE(CONTROL!$C$16, $D$10, 100%, $F$10)</f>
        <v>14.0817</v>
      </c>
      <c r="D483" s="8">
        <f>CHOOSE( CONTROL!$C$33, 14.0628, 14.0617) * CHOOSE( CONTROL!$C$16, $D$10, 100%, $F$10)</f>
        <v>14.062799999999999</v>
      </c>
      <c r="E483" s="12">
        <f>CHOOSE( CONTROL!$C$33, 14.0692, 14.0681) * CHOOSE( CONTROL!$C$16, $D$10, 100%, $F$10)</f>
        <v>14.0692</v>
      </c>
      <c r="F483" s="4">
        <f>CHOOSE( CONTROL!$C$33, 14.7395, 14.7384) * CHOOSE(CONTROL!$C$16, $D$10, 100%, $F$10)</f>
        <v>14.7395</v>
      </c>
      <c r="G483" s="8">
        <f>CHOOSE( CONTROL!$C$33, 13.9172, 13.9161) * CHOOSE( CONTROL!$C$16, $D$10, 100%, $F$10)</f>
        <v>13.917199999999999</v>
      </c>
      <c r="H483" s="4">
        <f>CHOOSE( CONTROL!$C$33, 14.8077, 14.8066) * CHOOSE(CONTROL!$C$16, $D$10, 100%, $F$10)</f>
        <v>14.807700000000001</v>
      </c>
      <c r="I483" s="8">
        <f>CHOOSE( CONTROL!$C$33, 13.8236, 13.8225) * CHOOSE(CONTROL!$C$16, $D$10, 100%, $F$10)</f>
        <v>13.823600000000001</v>
      </c>
      <c r="J483" s="4">
        <f>CHOOSE( CONTROL!$C$33, 13.647, 13.646) * CHOOSE(CONTROL!$C$16, $D$10, 100%, $F$10)</f>
        <v>13.647</v>
      </c>
      <c r="K483" s="4"/>
      <c r="L483" s="9">
        <v>29.306000000000001</v>
      </c>
      <c r="M483" s="9">
        <v>12.063700000000001</v>
      </c>
      <c r="N483" s="9">
        <v>4.9444999999999997</v>
      </c>
      <c r="O483" s="9">
        <v>0.37409999999999999</v>
      </c>
      <c r="P483" s="9">
        <v>1.2927</v>
      </c>
      <c r="Q483" s="9">
        <v>19.942900000000002</v>
      </c>
      <c r="R483" s="9"/>
      <c r="S483" s="11"/>
    </row>
    <row r="484" spans="1:19" ht="15" customHeight="1">
      <c r="A484" s="13">
        <v>55915</v>
      </c>
      <c r="B484" s="8">
        <f>CHOOSE( CONTROL!$C$33, 14.4923, 14.4912) * CHOOSE(CONTROL!$C$16, $D$10, 100%, $F$10)</f>
        <v>14.4923</v>
      </c>
      <c r="C484" s="8">
        <f>CHOOSE( CONTROL!$C$33, 14.4974, 14.4963) * CHOOSE(CONTROL!$C$16, $D$10, 100%, $F$10)</f>
        <v>14.497400000000001</v>
      </c>
      <c r="D484" s="8">
        <f>CHOOSE( CONTROL!$C$33, 14.4898, 14.4886) * CHOOSE( CONTROL!$C$16, $D$10, 100%, $F$10)</f>
        <v>14.489800000000001</v>
      </c>
      <c r="E484" s="12">
        <f>CHOOSE( CONTROL!$C$33, 14.492, 14.4909) * CHOOSE( CONTROL!$C$16, $D$10, 100%, $F$10)</f>
        <v>14.492000000000001</v>
      </c>
      <c r="F484" s="4">
        <f>CHOOSE( CONTROL!$C$33, 15.1552, 15.1541) * CHOOSE(CONTROL!$C$16, $D$10, 100%, $F$10)</f>
        <v>15.155200000000001</v>
      </c>
      <c r="G484" s="8">
        <f>CHOOSE( CONTROL!$C$33, 14.333, 14.3319) * CHOOSE( CONTROL!$C$16, $D$10, 100%, $F$10)</f>
        <v>14.333</v>
      </c>
      <c r="H484" s="4">
        <f>CHOOSE( CONTROL!$C$33, 15.2176, 15.2165) * CHOOSE(CONTROL!$C$16, $D$10, 100%, $F$10)</f>
        <v>15.217599999999999</v>
      </c>
      <c r="I484" s="8">
        <f>CHOOSE( CONTROL!$C$33, 14.2175, 14.2164) * CHOOSE(CONTROL!$C$16, $D$10, 100%, $F$10)</f>
        <v>14.217499999999999</v>
      </c>
      <c r="J484" s="4">
        <f>CHOOSE( CONTROL!$C$33, 14.0496, 14.0485) * CHOOSE(CONTROL!$C$16, $D$10, 100%, $F$10)</f>
        <v>14.0496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19.877800000000001</v>
      </c>
      <c r="R484" s="9"/>
      <c r="S484" s="11"/>
    </row>
    <row r="485" spans="1:19" ht="15" customHeight="1">
      <c r="A485" s="13">
        <v>55943</v>
      </c>
      <c r="B485" s="8">
        <f>CHOOSE( CONTROL!$C$33, 13.5544, 13.5532) * CHOOSE(CONTROL!$C$16, $D$10, 100%, $F$10)</f>
        <v>13.554399999999999</v>
      </c>
      <c r="C485" s="8">
        <f>CHOOSE( CONTROL!$C$33, 13.5595, 13.5583) * CHOOSE(CONTROL!$C$16, $D$10, 100%, $F$10)</f>
        <v>13.5595</v>
      </c>
      <c r="D485" s="8">
        <f>CHOOSE( CONTROL!$C$33, 13.5516, 13.5505) * CHOOSE( CONTROL!$C$16, $D$10, 100%, $F$10)</f>
        <v>13.551600000000001</v>
      </c>
      <c r="E485" s="12">
        <f>CHOOSE( CONTROL!$C$33, 13.5539, 13.5528) * CHOOSE( CONTROL!$C$16, $D$10, 100%, $F$10)</f>
        <v>13.553900000000001</v>
      </c>
      <c r="F485" s="4">
        <f>CHOOSE( CONTROL!$C$33, 14.2172, 14.2161) * CHOOSE(CONTROL!$C$16, $D$10, 100%, $F$10)</f>
        <v>14.2172</v>
      </c>
      <c r="G485" s="8">
        <f>CHOOSE( CONTROL!$C$33, 13.408, 13.4069) * CHOOSE( CONTROL!$C$16, $D$10, 100%, $F$10)</f>
        <v>13.407999999999999</v>
      </c>
      <c r="H485" s="4">
        <f>CHOOSE( CONTROL!$C$33, 14.2927, 14.2916) * CHOOSE(CONTROL!$C$16, $D$10, 100%, $F$10)</f>
        <v>14.2927</v>
      </c>
      <c r="I485" s="8">
        <f>CHOOSE( CONTROL!$C$33, 13.3083, 13.3072) * CHOOSE(CONTROL!$C$16, $D$10, 100%, $F$10)</f>
        <v>13.308299999999999</v>
      </c>
      <c r="J485" s="4">
        <f>CHOOSE( CONTROL!$C$33, 13.1413, 13.1403) * CHOOSE(CONTROL!$C$16, $D$10, 100%, $F$10)</f>
        <v>13.141299999999999</v>
      </c>
      <c r="K485" s="4"/>
      <c r="L485" s="9">
        <v>26.469899999999999</v>
      </c>
      <c r="M485" s="9">
        <v>10.8962</v>
      </c>
      <c r="N485" s="9">
        <v>4.4660000000000002</v>
      </c>
      <c r="O485" s="9">
        <v>0.33789999999999998</v>
      </c>
      <c r="P485" s="9">
        <v>1.1676</v>
      </c>
      <c r="Q485" s="9">
        <v>17.9542</v>
      </c>
      <c r="R485" s="9"/>
      <c r="S485" s="11"/>
    </row>
    <row r="486" spans="1:19" ht="15" customHeight="1">
      <c r="A486" s="13">
        <v>55974</v>
      </c>
      <c r="B486" s="8">
        <f>CHOOSE( CONTROL!$C$33, 13.2655, 13.2644) * CHOOSE(CONTROL!$C$16, $D$10, 100%, $F$10)</f>
        <v>13.265499999999999</v>
      </c>
      <c r="C486" s="8">
        <f>CHOOSE( CONTROL!$C$33, 13.2706, 13.2695) * CHOOSE(CONTROL!$C$16, $D$10, 100%, $F$10)</f>
        <v>13.2706</v>
      </c>
      <c r="D486" s="8">
        <f>CHOOSE( CONTROL!$C$33, 13.262, 13.2609) * CHOOSE( CONTROL!$C$16, $D$10, 100%, $F$10)</f>
        <v>13.262</v>
      </c>
      <c r="E486" s="12">
        <f>CHOOSE( CONTROL!$C$33, 13.2646, 13.2635) * CHOOSE( CONTROL!$C$16, $D$10, 100%, $F$10)</f>
        <v>13.2646</v>
      </c>
      <c r="F486" s="4">
        <f>CHOOSE( CONTROL!$C$33, 13.9283, 13.9272) * CHOOSE(CONTROL!$C$16, $D$10, 100%, $F$10)</f>
        <v>13.9283</v>
      </c>
      <c r="G486" s="8">
        <f>CHOOSE( CONTROL!$C$33, 13.1226, 13.1215) * CHOOSE( CONTROL!$C$16, $D$10, 100%, $F$10)</f>
        <v>13.1226</v>
      </c>
      <c r="H486" s="4">
        <f>CHOOSE( CONTROL!$C$33, 14.0079, 14.0068) * CHOOSE(CONTROL!$C$16, $D$10, 100%, $F$10)</f>
        <v>14.007899999999999</v>
      </c>
      <c r="I486" s="8">
        <f>CHOOSE( CONTROL!$C$33, 13.0261, 13.0251) * CHOOSE(CONTROL!$C$16, $D$10, 100%, $F$10)</f>
        <v>13.0261</v>
      </c>
      <c r="J486" s="4">
        <f>CHOOSE( CONTROL!$C$33, 12.8616, 12.8605) * CHOOSE(CONTROL!$C$16, $D$10, 100%, $F$10)</f>
        <v>12.861599999999999</v>
      </c>
      <c r="K486" s="4"/>
      <c r="L486" s="9">
        <v>29.306000000000001</v>
      </c>
      <c r="M486" s="9">
        <v>12.063700000000001</v>
      </c>
      <c r="N486" s="9">
        <v>4.9444999999999997</v>
      </c>
      <c r="O486" s="9">
        <v>0.37409999999999999</v>
      </c>
      <c r="P486" s="9">
        <v>1.2927</v>
      </c>
      <c r="Q486" s="9">
        <v>19.877800000000001</v>
      </c>
      <c r="R486" s="9"/>
      <c r="S486" s="11"/>
    </row>
    <row r="487" spans="1:19" ht="15" customHeight="1">
      <c r="A487" s="13">
        <v>56004</v>
      </c>
      <c r="B487" s="8">
        <f>CHOOSE( CONTROL!$C$33, 13.4681, 13.467) * CHOOSE(CONTROL!$C$16, $D$10, 100%, $F$10)</f>
        <v>13.4681</v>
      </c>
      <c r="C487" s="8">
        <f>CHOOSE( CONTROL!$C$33, 13.4726, 13.4715) * CHOOSE(CONTROL!$C$16, $D$10, 100%, $F$10)</f>
        <v>13.4726</v>
      </c>
      <c r="D487" s="8">
        <f>CHOOSE( CONTROL!$C$33, 13.5015, 13.5004) * CHOOSE( CONTROL!$C$16, $D$10, 100%, $F$10)</f>
        <v>13.5015</v>
      </c>
      <c r="E487" s="12">
        <f>CHOOSE( CONTROL!$C$33, 13.4914, 13.4903) * CHOOSE( CONTROL!$C$16, $D$10, 100%, $F$10)</f>
        <v>13.491400000000001</v>
      </c>
      <c r="F487" s="4">
        <f>CHOOSE( CONTROL!$C$33, 14.2464, 14.2453) * CHOOSE(CONTROL!$C$16, $D$10, 100%, $F$10)</f>
        <v>14.2464</v>
      </c>
      <c r="G487" s="8">
        <f>CHOOSE( CONTROL!$C$33, 13.3426, 13.3415) * CHOOSE( CONTROL!$C$16, $D$10, 100%, $F$10)</f>
        <v>13.342599999999999</v>
      </c>
      <c r="H487" s="4">
        <f>CHOOSE( CONTROL!$C$33, 14.3215, 14.3204) * CHOOSE(CONTROL!$C$16, $D$10, 100%, $F$10)</f>
        <v>14.3215</v>
      </c>
      <c r="I487" s="8">
        <f>CHOOSE( CONTROL!$C$33, 13.1797, 13.1786) * CHOOSE(CONTROL!$C$16, $D$10, 100%, $F$10)</f>
        <v>13.1797</v>
      </c>
      <c r="J487" s="4">
        <f>CHOOSE( CONTROL!$C$33, 13.0571, 13.056) * CHOOSE(CONTROL!$C$16, $D$10, 100%, $F$10)</f>
        <v>13.0571</v>
      </c>
      <c r="K487" s="4"/>
      <c r="L487" s="9">
        <v>30.092199999999998</v>
      </c>
      <c r="M487" s="9">
        <v>11.6745</v>
      </c>
      <c r="N487" s="9">
        <v>4.7850000000000001</v>
      </c>
      <c r="O487" s="9">
        <v>0.36199999999999999</v>
      </c>
      <c r="P487" s="9">
        <v>1.2509999999999999</v>
      </c>
      <c r="Q487" s="9">
        <v>19.236599999999999</v>
      </c>
      <c r="R487" s="9"/>
      <c r="S487" s="11"/>
    </row>
    <row r="488" spans="1:19" ht="15" customHeight="1">
      <c r="A488" s="13">
        <v>56035</v>
      </c>
      <c r="B488" s="8">
        <f>CHOOSE( CONTROL!$C$33, 13.8292, 13.8276) * CHOOSE(CONTROL!$C$16, $D$10, 100%, $F$10)</f>
        <v>13.8292</v>
      </c>
      <c r="C488" s="8">
        <f>CHOOSE( CONTROL!$C$33, 13.8372, 13.8356) * CHOOSE(CONTROL!$C$16, $D$10, 100%, $F$10)</f>
        <v>13.837199999999999</v>
      </c>
      <c r="D488" s="8">
        <f>CHOOSE( CONTROL!$C$33, 13.8594, 13.8579) * CHOOSE( CONTROL!$C$16, $D$10, 100%, $F$10)</f>
        <v>13.859400000000001</v>
      </c>
      <c r="E488" s="12">
        <f>CHOOSE( CONTROL!$C$33, 13.8501, 13.8486) * CHOOSE( CONTROL!$C$16, $D$10, 100%, $F$10)</f>
        <v>13.850099999999999</v>
      </c>
      <c r="F488" s="4">
        <f>CHOOSE( CONTROL!$C$33, 14.6061, 14.6045) * CHOOSE(CONTROL!$C$16, $D$10, 100%, $F$10)</f>
        <v>14.6061</v>
      </c>
      <c r="G488" s="8">
        <f>CHOOSE( CONTROL!$C$33, 13.6972, 13.6957) * CHOOSE( CONTROL!$C$16, $D$10, 100%, $F$10)</f>
        <v>13.6972</v>
      </c>
      <c r="H488" s="4">
        <f>CHOOSE( CONTROL!$C$33, 14.6762, 14.6746) * CHOOSE(CONTROL!$C$16, $D$10, 100%, $F$10)</f>
        <v>14.6762</v>
      </c>
      <c r="I488" s="8">
        <f>CHOOSE( CONTROL!$C$33, 13.5278, 13.5263) * CHOOSE(CONTROL!$C$16, $D$10, 100%, $F$10)</f>
        <v>13.527799999999999</v>
      </c>
      <c r="J488" s="4">
        <f>CHOOSE( CONTROL!$C$33, 13.4054, 13.4039) * CHOOSE(CONTROL!$C$16, $D$10, 100%, $F$10)</f>
        <v>13.4054</v>
      </c>
      <c r="K488" s="4"/>
      <c r="L488" s="9">
        <v>30.7165</v>
      </c>
      <c r="M488" s="9">
        <v>12.063700000000001</v>
      </c>
      <c r="N488" s="9">
        <v>4.9444999999999997</v>
      </c>
      <c r="O488" s="9">
        <v>0.37409999999999999</v>
      </c>
      <c r="P488" s="9">
        <v>1.2927</v>
      </c>
      <c r="Q488" s="9">
        <v>19.877800000000001</v>
      </c>
      <c r="R488" s="9"/>
      <c r="S488" s="11"/>
    </row>
    <row r="489" spans="1:19" ht="15" customHeight="1">
      <c r="A489" s="13">
        <v>56065</v>
      </c>
      <c r="B489" s="8">
        <f>CHOOSE( CONTROL!$C$33, 13.6066, 13.6051) * CHOOSE(CONTROL!$C$16, $D$10, 100%, $F$10)</f>
        <v>13.6066</v>
      </c>
      <c r="C489" s="8">
        <f>CHOOSE( CONTROL!$C$33, 13.6146, 13.6131) * CHOOSE(CONTROL!$C$16, $D$10, 100%, $F$10)</f>
        <v>13.614599999999999</v>
      </c>
      <c r="D489" s="8">
        <f>CHOOSE( CONTROL!$C$33, 13.637, 13.6355) * CHOOSE( CONTROL!$C$16, $D$10, 100%, $F$10)</f>
        <v>13.637</v>
      </c>
      <c r="E489" s="12">
        <f>CHOOSE( CONTROL!$C$33, 13.6277, 13.6262) * CHOOSE( CONTROL!$C$16, $D$10, 100%, $F$10)</f>
        <v>13.627700000000001</v>
      </c>
      <c r="F489" s="4">
        <f>CHOOSE( CONTROL!$C$33, 14.3836, 14.382) * CHOOSE(CONTROL!$C$16, $D$10, 100%, $F$10)</f>
        <v>14.383599999999999</v>
      </c>
      <c r="G489" s="8">
        <f>CHOOSE( CONTROL!$C$33, 13.4779, 13.4764) * CHOOSE( CONTROL!$C$16, $D$10, 100%, $F$10)</f>
        <v>13.4779</v>
      </c>
      <c r="H489" s="4">
        <f>CHOOSE( CONTROL!$C$33, 14.4567, 14.4552) * CHOOSE(CONTROL!$C$16, $D$10, 100%, $F$10)</f>
        <v>14.4567</v>
      </c>
      <c r="I489" s="8">
        <f>CHOOSE( CONTROL!$C$33, 13.3128, 13.3113) * CHOOSE(CONTROL!$C$16, $D$10, 100%, $F$10)</f>
        <v>13.312799999999999</v>
      </c>
      <c r="J489" s="4">
        <f>CHOOSE( CONTROL!$C$33, 13.1899, 13.1884) * CHOOSE(CONTROL!$C$16, $D$10, 100%, $F$10)</f>
        <v>13.1899</v>
      </c>
      <c r="K489" s="4"/>
      <c r="L489" s="9">
        <v>29.7257</v>
      </c>
      <c r="M489" s="9">
        <v>11.6745</v>
      </c>
      <c r="N489" s="9">
        <v>4.7850000000000001</v>
      </c>
      <c r="O489" s="9">
        <v>0.36199999999999999</v>
      </c>
      <c r="P489" s="9">
        <v>1.2509999999999999</v>
      </c>
      <c r="Q489" s="9">
        <v>19.236599999999999</v>
      </c>
      <c r="R489" s="9"/>
      <c r="S489" s="11"/>
    </row>
    <row r="490" spans="1:19" ht="15" customHeight="1">
      <c r="A490" s="13">
        <v>56096</v>
      </c>
      <c r="B490" s="8">
        <f>CHOOSE( CONTROL!$C$33, 14.1927, 14.1911) * CHOOSE(CONTROL!$C$16, $D$10, 100%, $F$10)</f>
        <v>14.1927</v>
      </c>
      <c r="C490" s="8">
        <f>CHOOSE( CONTROL!$C$33, 14.2007, 14.1991) * CHOOSE(CONTROL!$C$16, $D$10, 100%, $F$10)</f>
        <v>14.200699999999999</v>
      </c>
      <c r="D490" s="8">
        <f>CHOOSE( CONTROL!$C$33, 14.2233, 14.2218) * CHOOSE( CONTROL!$C$16, $D$10, 100%, $F$10)</f>
        <v>14.2233</v>
      </c>
      <c r="E490" s="12">
        <f>CHOOSE( CONTROL!$C$33, 14.2139, 14.2124) * CHOOSE( CONTROL!$C$16, $D$10, 100%, $F$10)</f>
        <v>14.213900000000001</v>
      </c>
      <c r="F490" s="4">
        <f>CHOOSE( CONTROL!$C$33, 14.9696, 14.9681) * CHOOSE(CONTROL!$C$16, $D$10, 100%, $F$10)</f>
        <v>14.9696</v>
      </c>
      <c r="G490" s="8">
        <f>CHOOSE( CONTROL!$C$33, 14.056, 14.0545) * CHOOSE( CONTROL!$C$16, $D$10, 100%, $F$10)</f>
        <v>14.055999999999999</v>
      </c>
      <c r="H490" s="4">
        <f>CHOOSE( CONTROL!$C$33, 15.0346, 15.0331) * CHOOSE(CONTROL!$C$16, $D$10, 100%, $F$10)</f>
        <v>15.034599999999999</v>
      </c>
      <c r="I490" s="8">
        <f>CHOOSE( CONTROL!$C$33, 13.8813, 13.8798) * CHOOSE(CONTROL!$C$16, $D$10, 100%, $F$10)</f>
        <v>13.8813</v>
      </c>
      <c r="J490" s="4">
        <f>CHOOSE( CONTROL!$C$33, 13.7574, 13.7559) * CHOOSE(CONTROL!$C$16, $D$10, 100%, $F$10)</f>
        <v>13.757400000000001</v>
      </c>
      <c r="K490" s="4"/>
      <c r="L490" s="9">
        <v>30.7165</v>
      </c>
      <c r="M490" s="9">
        <v>12.063700000000001</v>
      </c>
      <c r="N490" s="9">
        <v>4.9444999999999997</v>
      </c>
      <c r="O490" s="9">
        <v>0.37409999999999999</v>
      </c>
      <c r="P490" s="9">
        <v>1.2927</v>
      </c>
      <c r="Q490" s="9">
        <v>19.877800000000001</v>
      </c>
      <c r="R490" s="9"/>
      <c r="S490" s="11"/>
    </row>
    <row r="491" spans="1:19" ht="15" customHeight="1">
      <c r="A491" s="13">
        <v>56127</v>
      </c>
      <c r="B491" s="8">
        <f>CHOOSE( CONTROL!$C$33, 13.0961, 13.0945) * CHOOSE(CONTROL!$C$16, $D$10, 100%, $F$10)</f>
        <v>13.0961</v>
      </c>
      <c r="C491" s="8">
        <f>CHOOSE( CONTROL!$C$33, 13.1041, 13.1025) * CHOOSE(CONTROL!$C$16, $D$10, 100%, $F$10)</f>
        <v>13.104100000000001</v>
      </c>
      <c r="D491" s="8">
        <f>CHOOSE( CONTROL!$C$33, 13.1268, 13.1252) * CHOOSE( CONTROL!$C$16, $D$10, 100%, $F$10)</f>
        <v>13.126799999999999</v>
      </c>
      <c r="E491" s="12">
        <f>CHOOSE( CONTROL!$C$33, 13.1174, 13.1158) * CHOOSE( CONTROL!$C$16, $D$10, 100%, $F$10)</f>
        <v>13.1174</v>
      </c>
      <c r="F491" s="4">
        <f>CHOOSE( CONTROL!$C$33, 13.873, 13.8715) * CHOOSE(CONTROL!$C$16, $D$10, 100%, $F$10)</f>
        <v>13.872999999999999</v>
      </c>
      <c r="G491" s="8">
        <f>CHOOSE( CONTROL!$C$33, 12.9747, 12.9732) * CHOOSE( CONTROL!$C$16, $D$10, 100%, $F$10)</f>
        <v>12.9747</v>
      </c>
      <c r="H491" s="4">
        <f>CHOOSE( CONTROL!$C$33, 13.9533, 13.9518) * CHOOSE(CONTROL!$C$16, $D$10, 100%, $F$10)</f>
        <v>13.9533</v>
      </c>
      <c r="I491" s="8">
        <f>CHOOSE( CONTROL!$C$33, 12.8191, 12.8176) * CHOOSE(CONTROL!$C$16, $D$10, 100%, $F$10)</f>
        <v>12.819100000000001</v>
      </c>
      <c r="J491" s="4">
        <f>CHOOSE( CONTROL!$C$33, 12.6956, 12.694) * CHOOSE(CONTROL!$C$16, $D$10, 100%, $F$10)</f>
        <v>12.695600000000001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1.2927</v>
      </c>
      <c r="Q491" s="9">
        <v>19.877800000000001</v>
      </c>
      <c r="R491" s="9"/>
      <c r="S491" s="11"/>
    </row>
    <row r="492" spans="1:19" ht="15" customHeight="1">
      <c r="A492" s="13">
        <v>56157</v>
      </c>
      <c r="B492" s="8">
        <f>CHOOSE( CONTROL!$C$33, 12.8215, 12.8199) * CHOOSE(CONTROL!$C$16, $D$10, 100%, $F$10)</f>
        <v>12.8215</v>
      </c>
      <c r="C492" s="8">
        <f>CHOOSE( CONTROL!$C$33, 12.8295, 12.8279) * CHOOSE(CONTROL!$C$16, $D$10, 100%, $F$10)</f>
        <v>12.829499999999999</v>
      </c>
      <c r="D492" s="8">
        <f>CHOOSE( CONTROL!$C$33, 12.852, 12.8505) * CHOOSE( CONTROL!$C$16, $D$10, 100%, $F$10)</f>
        <v>12.852</v>
      </c>
      <c r="E492" s="12">
        <f>CHOOSE( CONTROL!$C$33, 12.8426, 12.8411) * CHOOSE( CONTROL!$C$16, $D$10, 100%, $F$10)</f>
        <v>12.842599999999999</v>
      </c>
      <c r="F492" s="4">
        <f>CHOOSE( CONTROL!$C$33, 13.5984, 13.5968) * CHOOSE(CONTROL!$C$16, $D$10, 100%, $F$10)</f>
        <v>13.5984</v>
      </c>
      <c r="G492" s="8">
        <f>CHOOSE( CONTROL!$C$33, 12.7038, 12.7023) * CHOOSE( CONTROL!$C$16, $D$10, 100%, $F$10)</f>
        <v>12.703799999999999</v>
      </c>
      <c r="H492" s="4">
        <f>CHOOSE( CONTROL!$C$33, 13.6825, 13.681) * CHOOSE(CONTROL!$C$16, $D$10, 100%, $F$10)</f>
        <v>13.682499999999999</v>
      </c>
      <c r="I492" s="8">
        <f>CHOOSE( CONTROL!$C$33, 12.5527, 12.5511) * CHOOSE(CONTROL!$C$16, $D$10, 100%, $F$10)</f>
        <v>12.5527</v>
      </c>
      <c r="J492" s="4">
        <f>CHOOSE( CONTROL!$C$33, 12.4296, 12.4281) * CHOOSE(CONTROL!$C$16, $D$10, 100%, $F$10)</f>
        <v>12.429600000000001</v>
      </c>
      <c r="K492" s="4"/>
      <c r="L492" s="9">
        <v>29.7257</v>
      </c>
      <c r="M492" s="9">
        <v>11.6745</v>
      </c>
      <c r="N492" s="9">
        <v>4.7850000000000001</v>
      </c>
      <c r="O492" s="9">
        <v>0.36199999999999999</v>
      </c>
      <c r="P492" s="9">
        <v>1.2509999999999999</v>
      </c>
      <c r="Q492" s="9">
        <v>19.236599999999999</v>
      </c>
      <c r="R492" s="9"/>
      <c r="S492" s="11"/>
    </row>
    <row r="493" spans="1:19" ht="15" customHeight="1">
      <c r="A493" s="13">
        <v>56188</v>
      </c>
      <c r="B493" s="8">
        <f>CHOOSE( CONTROL!$C$33, 13.3895, 13.3884) * CHOOSE(CONTROL!$C$16, $D$10, 100%, $F$10)</f>
        <v>13.3895</v>
      </c>
      <c r="C493" s="8">
        <f>CHOOSE( CONTROL!$C$33, 13.3949, 13.3937) * CHOOSE(CONTROL!$C$16, $D$10, 100%, $F$10)</f>
        <v>13.3949</v>
      </c>
      <c r="D493" s="8">
        <f>CHOOSE( CONTROL!$C$33, 13.4236, 13.4225) * CHOOSE( CONTROL!$C$16, $D$10, 100%, $F$10)</f>
        <v>13.4236</v>
      </c>
      <c r="E493" s="12">
        <f>CHOOSE( CONTROL!$C$33, 13.4136, 13.4124) * CHOOSE( CONTROL!$C$16, $D$10, 100%, $F$10)</f>
        <v>13.413600000000001</v>
      </c>
      <c r="F493" s="4">
        <f>CHOOSE( CONTROL!$C$33, 14.1681, 14.167) * CHOOSE(CONTROL!$C$16, $D$10, 100%, $F$10)</f>
        <v>14.168100000000001</v>
      </c>
      <c r="G493" s="8">
        <f>CHOOSE( CONTROL!$C$33, 13.2657, 13.2646) * CHOOSE( CONTROL!$C$16, $D$10, 100%, $F$10)</f>
        <v>13.265700000000001</v>
      </c>
      <c r="H493" s="4">
        <f>CHOOSE( CONTROL!$C$33, 14.2443, 14.2432) * CHOOSE(CONTROL!$C$16, $D$10, 100%, $F$10)</f>
        <v>14.244300000000001</v>
      </c>
      <c r="I493" s="8">
        <f>CHOOSE( CONTROL!$C$33, 13.1052, 13.1041) * CHOOSE(CONTROL!$C$16, $D$10, 100%, $F$10)</f>
        <v>13.1052</v>
      </c>
      <c r="J493" s="4">
        <f>CHOOSE( CONTROL!$C$33, 12.9813, 12.9802) * CHOOSE(CONTROL!$C$16, $D$10, 100%, $F$10)</f>
        <v>12.981299999999999</v>
      </c>
      <c r="K493" s="4"/>
      <c r="L493" s="9">
        <v>31.095300000000002</v>
      </c>
      <c r="M493" s="9">
        <v>12.063700000000001</v>
      </c>
      <c r="N493" s="9">
        <v>4.9444999999999997</v>
      </c>
      <c r="O493" s="9">
        <v>0.37409999999999999</v>
      </c>
      <c r="P493" s="9">
        <v>1.2927</v>
      </c>
      <c r="Q493" s="9">
        <v>19.877800000000001</v>
      </c>
      <c r="R493" s="9"/>
      <c r="S493" s="11"/>
    </row>
    <row r="494" spans="1:19" ht="15" customHeight="1">
      <c r="A494" s="13">
        <v>56218</v>
      </c>
      <c r="B494" s="8">
        <f>CHOOSE( CONTROL!$C$33, 14.4415, 14.4404) * CHOOSE(CONTROL!$C$16, $D$10, 100%, $F$10)</f>
        <v>14.4415</v>
      </c>
      <c r="C494" s="8">
        <f>CHOOSE( CONTROL!$C$33, 14.4466, 14.4455) * CHOOSE(CONTROL!$C$16, $D$10, 100%, $F$10)</f>
        <v>14.4466</v>
      </c>
      <c r="D494" s="8">
        <f>CHOOSE( CONTROL!$C$33, 14.4263, 14.4252) * CHOOSE( CONTROL!$C$16, $D$10, 100%, $F$10)</f>
        <v>14.426299999999999</v>
      </c>
      <c r="E494" s="12">
        <f>CHOOSE( CONTROL!$C$33, 14.4332, 14.4321) * CHOOSE( CONTROL!$C$16, $D$10, 100%, $F$10)</f>
        <v>14.433199999999999</v>
      </c>
      <c r="F494" s="4">
        <f>CHOOSE( CONTROL!$C$33, 15.1044, 15.1033) * CHOOSE(CONTROL!$C$16, $D$10, 100%, $F$10)</f>
        <v>15.1044</v>
      </c>
      <c r="G494" s="8">
        <f>CHOOSE( CONTROL!$C$33, 14.276, 14.2749) * CHOOSE( CONTROL!$C$16, $D$10, 100%, $F$10)</f>
        <v>14.276</v>
      </c>
      <c r="H494" s="4">
        <f>CHOOSE( CONTROL!$C$33, 15.1675, 15.1664) * CHOOSE(CONTROL!$C$16, $D$10, 100%, $F$10)</f>
        <v>15.1675</v>
      </c>
      <c r="I494" s="8">
        <f>CHOOSE( CONTROL!$C$33, 14.1725, 14.1715) * CHOOSE(CONTROL!$C$16, $D$10, 100%, $F$10)</f>
        <v>14.172499999999999</v>
      </c>
      <c r="J494" s="4">
        <f>CHOOSE( CONTROL!$C$33, 14.0004, 13.9993) * CHOOSE(CONTROL!$C$16, $D$10, 100%, $F$10)</f>
        <v>14.000400000000001</v>
      </c>
      <c r="K494" s="4"/>
      <c r="L494" s="9">
        <v>28.360600000000002</v>
      </c>
      <c r="M494" s="9">
        <v>11.6745</v>
      </c>
      <c r="N494" s="9">
        <v>4.7850000000000001</v>
      </c>
      <c r="O494" s="9">
        <v>0.36199999999999999</v>
      </c>
      <c r="P494" s="9">
        <v>1.2509999999999999</v>
      </c>
      <c r="Q494" s="9">
        <v>19.236599999999999</v>
      </c>
      <c r="R494" s="9"/>
      <c r="S494" s="11"/>
    </row>
    <row r="495" spans="1:19" ht="15" customHeight="1">
      <c r="A495" s="13">
        <v>56249</v>
      </c>
      <c r="B495" s="8">
        <f>CHOOSE( CONTROL!$C$33, 14.4152, 14.4141) * CHOOSE(CONTROL!$C$16, $D$10, 100%, $F$10)</f>
        <v>14.4152</v>
      </c>
      <c r="C495" s="8">
        <f>CHOOSE( CONTROL!$C$33, 14.4203, 14.4192) * CHOOSE(CONTROL!$C$16, $D$10, 100%, $F$10)</f>
        <v>14.420299999999999</v>
      </c>
      <c r="D495" s="8">
        <f>CHOOSE( CONTROL!$C$33, 14.4015, 14.4003) * CHOOSE( CONTROL!$C$16, $D$10, 100%, $F$10)</f>
        <v>14.4015</v>
      </c>
      <c r="E495" s="12">
        <f>CHOOSE( CONTROL!$C$33, 14.4078, 14.4067) * CHOOSE( CONTROL!$C$16, $D$10, 100%, $F$10)</f>
        <v>14.4078</v>
      </c>
      <c r="F495" s="4">
        <f>CHOOSE( CONTROL!$C$33, 15.0781, 15.077) * CHOOSE(CONTROL!$C$16, $D$10, 100%, $F$10)</f>
        <v>15.078099999999999</v>
      </c>
      <c r="G495" s="8">
        <f>CHOOSE( CONTROL!$C$33, 14.2511, 14.25) * CHOOSE( CONTROL!$C$16, $D$10, 100%, $F$10)</f>
        <v>14.251099999999999</v>
      </c>
      <c r="H495" s="4">
        <f>CHOOSE( CONTROL!$C$33, 15.1416, 15.1405) * CHOOSE(CONTROL!$C$16, $D$10, 100%, $F$10)</f>
        <v>15.1416</v>
      </c>
      <c r="I495" s="8">
        <f>CHOOSE( CONTROL!$C$33, 14.1516, 14.1505) * CHOOSE(CONTROL!$C$16, $D$10, 100%, $F$10)</f>
        <v>14.1516</v>
      </c>
      <c r="J495" s="4">
        <f>CHOOSE( CONTROL!$C$33, 13.9749, 13.9738) * CHOOSE(CONTROL!$C$16, $D$10, 100%, $F$10)</f>
        <v>13.9749</v>
      </c>
      <c r="K495" s="4"/>
      <c r="L495" s="9">
        <v>29.306000000000001</v>
      </c>
      <c r="M495" s="9">
        <v>12.063700000000001</v>
      </c>
      <c r="N495" s="9">
        <v>4.9444999999999997</v>
      </c>
      <c r="O495" s="9">
        <v>0.37409999999999999</v>
      </c>
      <c r="P495" s="9">
        <v>1.2927</v>
      </c>
      <c r="Q495" s="9">
        <v>19.877800000000001</v>
      </c>
      <c r="R495" s="9"/>
      <c r="S495" s="11"/>
    </row>
    <row r="496" spans="1:19" ht="15" customHeight="1">
      <c r="A496" s="13">
        <v>56280</v>
      </c>
      <c r="B496" s="8">
        <f>CHOOSE( CONTROL!$C$33, 14.8409, 14.8398) * CHOOSE(CONTROL!$C$16, $D$10, 100%, $F$10)</f>
        <v>14.8409</v>
      </c>
      <c r="C496" s="8">
        <f>CHOOSE( CONTROL!$C$33, 14.846, 14.8449) * CHOOSE(CONTROL!$C$16, $D$10, 100%, $F$10)</f>
        <v>14.846</v>
      </c>
      <c r="D496" s="8">
        <f>CHOOSE( CONTROL!$C$33, 14.8384, 14.8372) * CHOOSE( CONTROL!$C$16, $D$10, 100%, $F$10)</f>
        <v>14.8384</v>
      </c>
      <c r="E496" s="12">
        <f>CHOOSE( CONTROL!$C$33, 14.8406, 14.8395) * CHOOSE( CONTROL!$C$16, $D$10, 100%, $F$10)</f>
        <v>14.8406</v>
      </c>
      <c r="F496" s="4">
        <f>CHOOSE( CONTROL!$C$33, 15.5038, 15.5027) * CHOOSE(CONTROL!$C$16, $D$10, 100%, $F$10)</f>
        <v>15.5038</v>
      </c>
      <c r="G496" s="8">
        <f>CHOOSE( CONTROL!$C$33, 14.6767, 14.6756) * CHOOSE( CONTROL!$C$16, $D$10, 100%, $F$10)</f>
        <v>14.6767</v>
      </c>
      <c r="H496" s="4">
        <f>CHOOSE( CONTROL!$C$33, 15.5613, 15.5602) * CHOOSE(CONTROL!$C$16, $D$10, 100%, $F$10)</f>
        <v>15.561299999999999</v>
      </c>
      <c r="I496" s="8">
        <f>CHOOSE( CONTROL!$C$33, 14.5552, 14.5542) * CHOOSE(CONTROL!$C$16, $D$10, 100%, $F$10)</f>
        <v>14.555199999999999</v>
      </c>
      <c r="J496" s="4">
        <f>CHOOSE( CONTROL!$C$33, 14.3871, 14.386) * CHOOSE(CONTROL!$C$16, $D$10, 100%, $F$10)</f>
        <v>14.3871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19.814599999999999</v>
      </c>
      <c r="R496" s="9"/>
      <c r="S496" s="11"/>
    </row>
    <row r="497" spans="1:19" ht="15" customHeight="1">
      <c r="A497" s="13">
        <v>56308</v>
      </c>
      <c r="B497" s="8">
        <f>CHOOSE( CONTROL!$C$33, 13.8804, 13.8793) * CHOOSE(CONTROL!$C$16, $D$10, 100%, $F$10)</f>
        <v>13.8804</v>
      </c>
      <c r="C497" s="8">
        <f>CHOOSE( CONTROL!$C$33, 13.8855, 13.8844) * CHOOSE(CONTROL!$C$16, $D$10, 100%, $F$10)</f>
        <v>13.8855</v>
      </c>
      <c r="D497" s="8">
        <f>CHOOSE( CONTROL!$C$33, 13.8777, 13.8766) * CHOOSE( CONTROL!$C$16, $D$10, 100%, $F$10)</f>
        <v>13.877700000000001</v>
      </c>
      <c r="E497" s="12">
        <f>CHOOSE( CONTROL!$C$33, 13.88, 13.8789) * CHOOSE( CONTROL!$C$16, $D$10, 100%, $F$10)</f>
        <v>13.88</v>
      </c>
      <c r="F497" s="4">
        <f>CHOOSE( CONTROL!$C$33, 14.5433, 14.5422) * CHOOSE(CONTROL!$C$16, $D$10, 100%, $F$10)</f>
        <v>14.5433</v>
      </c>
      <c r="G497" s="8">
        <f>CHOOSE( CONTROL!$C$33, 13.7295, 13.7284) * CHOOSE( CONTROL!$C$16, $D$10, 100%, $F$10)</f>
        <v>13.7295</v>
      </c>
      <c r="H497" s="4">
        <f>CHOOSE( CONTROL!$C$33, 14.6142, 14.6131) * CHOOSE(CONTROL!$C$16, $D$10, 100%, $F$10)</f>
        <v>14.6142</v>
      </c>
      <c r="I497" s="8">
        <f>CHOOSE( CONTROL!$C$33, 13.6242, 13.6231) * CHOOSE(CONTROL!$C$16, $D$10, 100%, $F$10)</f>
        <v>13.6242</v>
      </c>
      <c r="J497" s="4">
        <f>CHOOSE( CONTROL!$C$33, 13.4571, 13.456) * CHOOSE(CONTROL!$C$16, $D$10, 100%, $F$10)</f>
        <v>13.457100000000001</v>
      </c>
      <c r="K497" s="4"/>
      <c r="L497" s="9">
        <v>26.469899999999999</v>
      </c>
      <c r="M497" s="9">
        <v>10.8962</v>
      </c>
      <c r="N497" s="9">
        <v>4.4660000000000002</v>
      </c>
      <c r="O497" s="9">
        <v>0.33789999999999998</v>
      </c>
      <c r="P497" s="9">
        <v>1.1676</v>
      </c>
      <c r="Q497" s="9">
        <v>17.896999999999998</v>
      </c>
      <c r="R497" s="9"/>
      <c r="S497" s="11"/>
    </row>
    <row r="498" spans="1:19" ht="15" customHeight="1">
      <c r="A498" s="13">
        <v>56339</v>
      </c>
      <c r="B498" s="8">
        <f>CHOOSE( CONTROL!$C$33, 13.5846, 13.5835) * CHOOSE(CONTROL!$C$16, $D$10, 100%, $F$10)</f>
        <v>13.5846</v>
      </c>
      <c r="C498" s="8">
        <f>CHOOSE( CONTROL!$C$33, 13.5897, 13.5886) * CHOOSE(CONTROL!$C$16, $D$10, 100%, $F$10)</f>
        <v>13.589700000000001</v>
      </c>
      <c r="D498" s="8">
        <f>CHOOSE( CONTROL!$C$33, 13.5811, 13.58) * CHOOSE( CONTROL!$C$16, $D$10, 100%, $F$10)</f>
        <v>13.581099999999999</v>
      </c>
      <c r="E498" s="12">
        <f>CHOOSE( CONTROL!$C$33, 13.5837, 13.5826) * CHOOSE( CONTROL!$C$16, $D$10, 100%, $F$10)</f>
        <v>13.5837</v>
      </c>
      <c r="F498" s="4">
        <f>CHOOSE( CONTROL!$C$33, 14.2475, 14.2463) * CHOOSE(CONTROL!$C$16, $D$10, 100%, $F$10)</f>
        <v>14.2475</v>
      </c>
      <c r="G498" s="8">
        <f>CHOOSE( CONTROL!$C$33, 13.4373, 13.4362) * CHOOSE( CONTROL!$C$16, $D$10, 100%, $F$10)</f>
        <v>13.4373</v>
      </c>
      <c r="H498" s="4">
        <f>CHOOSE( CONTROL!$C$33, 14.3225, 14.3214) * CHOOSE(CONTROL!$C$16, $D$10, 100%, $F$10)</f>
        <v>14.3225</v>
      </c>
      <c r="I498" s="8">
        <f>CHOOSE( CONTROL!$C$33, 13.3353, 13.3342) * CHOOSE(CONTROL!$C$16, $D$10, 100%, $F$10)</f>
        <v>13.3353</v>
      </c>
      <c r="J498" s="4">
        <f>CHOOSE( CONTROL!$C$33, 13.1706, 13.1695) * CHOOSE(CONTROL!$C$16, $D$10, 100%, $F$10)</f>
        <v>13.1706</v>
      </c>
      <c r="K498" s="4"/>
      <c r="L498" s="9">
        <v>29.306000000000001</v>
      </c>
      <c r="M498" s="9">
        <v>12.063700000000001</v>
      </c>
      <c r="N498" s="9">
        <v>4.9444999999999997</v>
      </c>
      <c r="O498" s="9">
        <v>0.37409999999999999</v>
      </c>
      <c r="P498" s="9">
        <v>1.2927</v>
      </c>
      <c r="Q498" s="9">
        <v>19.814599999999999</v>
      </c>
      <c r="R498" s="9"/>
      <c r="S498" s="11"/>
    </row>
    <row r="499" spans="1:19" ht="15" customHeight="1">
      <c r="A499" s="13">
        <v>56369</v>
      </c>
      <c r="B499" s="8">
        <f>CHOOSE( CONTROL!$C$33, 13.7921, 13.791) * CHOOSE(CONTROL!$C$16, $D$10, 100%, $F$10)</f>
        <v>13.7921</v>
      </c>
      <c r="C499" s="8">
        <f>CHOOSE( CONTROL!$C$33, 13.7966, 13.7955) * CHOOSE(CONTROL!$C$16, $D$10, 100%, $F$10)</f>
        <v>13.7966</v>
      </c>
      <c r="D499" s="8">
        <f>CHOOSE( CONTROL!$C$33, 13.8255, 13.8244) * CHOOSE( CONTROL!$C$16, $D$10, 100%, $F$10)</f>
        <v>13.8255</v>
      </c>
      <c r="E499" s="12">
        <f>CHOOSE( CONTROL!$C$33, 13.8154, 13.8143) * CHOOSE( CONTROL!$C$16, $D$10, 100%, $F$10)</f>
        <v>13.8154</v>
      </c>
      <c r="F499" s="4">
        <f>CHOOSE( CONTROL!$C$33, 14.5704, 14.5692) * CHOOSE(CONTROL!$C$16, $D$10, 100%, $F$10)</f>
        <v>14.570399999999999</v>
      </c>
      <c r="G499" s="8">
        <f>CHOOSE( CONTROL!$C$33, 13.662, 13.6609) * CHOOSE( CONTROL!$C$16, $D$10, 100%, $F$10)</f>
        <v>13.662000000000001</v>
      </c>
      <c r="H499" s="4">
        <f>CHOOSE( CONTROL!$C$33, 14.6409, 14.6398) * CHOOSE(CONTROL!$C$16, $D$10, 100%, $F$10)</f>
        <v>14.6409</v>
      </c>
      <c r="I499" s="8">
        <f>CHOOSE( CONTROL!$C$33, 13.4936, 13.4925) * CHOOSE(CONTROL!$C$16, $D$10, 100%, $F$10)</f>
        <v>13.493600000000001</v>
      </c>
      <c r="J499" s="4">
        <f>CHOOSE( CONTROL!$C$33, 13.3708, 13.3697) * CHOOSE(CONTROL!$C$16, $D$10, 100%, $F$10)</f>
        <v>13.370799999999999</v>
      </c>
      <c r="K499" s="4"/>
      <c r="L499" s="9">
        <v>30.092199999999998</v>
      </c>
      <c r="M499" s="9">
        <v>11.6745</v>
      </c>
      <c r="N499" s="9">
        <v>4.7850000000000001</v>
      </c>
      <c r="O499" s="9">
        <v>0.36199999999999999</v>
      </c>
      <c r="P499" s="9">
        <v>1.2509999999999999</v>
      </c>
      <c r="Q499" s="9">
        <v>19.1754</v>
      </c>
      <c r="R499" s="9"/>
      <c r="S499" s="11"/>
    </row>
    <row r="500" spans="1:19" ht="15" customHeight="1">
      <c r="A500" s="13">
        <v>56400</v>
      </c>
      <c r="B500" s="8">
        <f>CHOOSE( CONTROL!$C$33, 14.1618, 14.1602) * CHOOSE(CONTROL!$C$16, $D$10, 100%, $F$10)</f>
        <v>14.161799999999999</v>
      </c>
      <c r="C500" s="8">
        <f>CHOOSE( CONTROL!$C$33, 14.1698, 14.1682) * CHOOSE(CONTROL!$C$16, $D$10, 100%, $F$10)</f>
        <v>14.1698</v>
      </c>
      <c r="D500" s="8">
        <f>CHOOSE( CONTROL!$C$33, 14.192, 14.1905) * CHOOSE( CONTROL!$C$16, $D$10, 100%, $F$10)</f>
        <v>14.192</v>
      </c>
      <c r="E500" s="12">
        <f>CHOOSE( CONTROL!$C$33, 14.1827, 14.1812) * CHOOSE( CONTROL!$C$16, $D$10, 100%, $F$10)</f>
        <v>14.182700000000001</v>
      </c>
      <c r="F500" s="4">
        <f>CHOOSE( CONTROL!$C$33, 14.9387, 14.9372) * CHOOSE(CONTROL!$C$16, $D$10, 100%, $F$10)</f>
        <v>14.938700000000001</v>
      </c>
      <c r="G500" s="8">
        <f>CHOOSE( CONTROL!$C$33, 14.0252, 14.0237) * CHOOSE( CONTROL!$C$16, $D$10, 100%, $F$10)</f>
        <v>14.0252</v>
      </c>
      <c r="H500" s="4">
        <f>CHOOSE( CONTROL!$C$33, 15.0042, 15.0026) * CHOOSE(CONTROL!$C$16, $D$10, 100%, $F$10)</f>
        <v>15.004200000000001</v>
      </c>
      <c r="I500" s="8">
        <f>CHOOSE( CONTROL!$C$33, 13.85, 13.8485) * CHOOSE(CONTROL!$C$16, $D$10, 100%, $F$10)</f>
        <v>13.85</v>
      </c>
      <c r="J500" s="4">
        <f>CHOOSE( CONTROL!$C$33, 13.7275, 13.7259) * CHOOSE(CONTROL!$C$16, $D$10, 100%, $F$10)</f>
        <v>13.727499999999999</v>
      </c>
      <c r="K500" s="4"/>
      <c r="L500" s="9">
        <v>30.7165</v>
      </c>
      <c r="M500" s="9">
        <v>12.063700000000001</v>
      </c>
      <c r="N500" s="9">
        <v>4.9444999999999997</v>
      </c>
      <c r="O500" s="9">
        <v>0.37409999999999999</v>
      </c>
      <c r="P500" s="9">
        <v>1.2927</v>
      </c>
      <c r="Q500" s="9">
        <v>19.814599999999999</v>
      </c>
      <c r="R500" s="9"/>
      <c r="S500" s="11"/>
    </row>
    <row r="501" spans="1:19" ht="15" customHeight="1">
      <c r="A501" s="13">
        <v>56430</v>
      </c>
      <c r="B501" s="8">
        <f>CHOOSE( CONTROL!$C$33, 13.9339, 13.9323) * CHOOSE(CONTROL!$C$16, $D$10, 100%, $F$10)</f>
        <v>13.9339</v>
      </c>
      <c r="C501" s="8">
        <f>CHOOSE( CONTROL!$C$33, 13.9419, 13.9403) * CHOOSE(CONTROL!$C$16, $D$10, 100%, $F$10)</f>
        <v>13.9419</v>
      </c>
      <c r="D501" s="8">
        <f>CHOOSE( CONTROL!$C$33, 13.9643, 13.9627) * CHOOSE( CONTROL!$C$16, $D$10, 100%, $F$10)</f>
        <v>13.9643</v>
      </c>
      <c r="E501" s="12">
        <f>CHOOSE( CONTROL!$C$33, 13.955, 13.9534) * CHOOSE( CONTROL!$C$16, $D$10, 100%, $F$10)</f>
        <v>13.955</v>
      </c>
      <c r="F501" s="4">
        <f>CHOOSE( CONTROL!$C$33, 14.7108, 14.7092) * CHOOSE(CONTROL!$C$16, $D$10, 100%, $F$10)</f>
        <v>14.710800000000001</v>
      </c>
      <c r="G501" s="8">
        <f>CHOOSE( CONTROL!$C$33, 13.8006, 13.7991) * CHOOSE( CONTROL!$C$16, $D$10, 100%, $F$10)</f>
        <v>13.800599999999999</v>
      </c>
      <c r="H501" s="4">
        <f>CHOOSE( CONTROL!$C$33, 14.7794, 14.7779) * CHOOSE(CONTROL!$C$16, $D$10, 100%, $F$10)</f>
        <v>14.779400000000001</v>
      </c>
      <c r="I501" s="8">
        <f>CHOOSE( CONTROL!$C$33, 13.6298, 13.6283) * CHOOSE(CONTROL!$C$16, $D$10, 100%, $F$10)</f>
        <v>13.629799999999999</v>
      </c>
      <c r="J501" s="4">
        <f>CHOOSE( CONTROL!$C$33, 13.5068, 13.5053) * CHOOSE(CONTROL!$C$16, $D$10, 100%, $F$10)</f>
        <v>13.5068</v>
      </c>
      <c r="K501" s="4"/>
      <c r="L501" s="9">
        <v>29.7257</v>
      </c>
      <c r="M501" s="9">
        <v>11.6745</v>
      </c>
      <c r="N501" s="9">
        <v>4.7850000000000001</v>
      </c>
      <c r="O501" s="9">
        <v>0.36199999999999999</v>
      </c>
      <c r="P501" s="9">
        <v>1.2509999999999999</v>
      </c>
      <c r="Q501" s="9">
        <v>19.1754</v>
      </c>
      <c r="R501" s="9"/>
      <c r="S501" s="11"/>
    </row>
    <row r="502" spans="1:19" ht="15" customHeight="1">
      <c r="A502" s="13">
        <v>56461</v>
      </c>
      <c r="B502" s="8">
        <f>CHOOSE( CONTROL!$C$33, 14.5341, 14.5325) * CHOOSE(CONTROL!$C$16, $D$10, 100%, $F$10)</f>
        <v>14.5341</v>
      </c>
      <c r="C502" s="8">
        <f>CHOOSE( CONTROL!$C$33, 14.5421, 14.5405) * CHOOSE(CONTROL!$C$16, $D$10, 100%, $F$10)</f>
        <v>14.5421</v>
      </c>
      <c r="D502" s="8">
        <f>CHOOSE( CONTROL!$C$33, 14.5647, 14.5631) * CHOOSE( CONTROL!$C$16, $D$10, 100%, $F$10)</f>
        <v>14.5647</v>
      </c>
      <c r="E502" s="12">
        <f>CHOOSE( CONTROL!$C$33, 14.5553, 14.5537) * CHOOSE( CONTROL!$C$16, $D$10, 100%, $F$10)</f>
        <v>14.555300000000001</v>
      </c>
      <c r="F502" s="4">
        <f>CHOOSE( CONTROL!$C$33, 15.311, 15.3094) * CHOOSE(CONTROL!$C$16, $D$10, 100%, $F$10)</f>
        <v>15.311</v>
      </c>
      <c r="G502" s="8">
        <f>CHOOSE( CONTROL!$C$33, 14.3926, 14.391) * CHOOSE( CONTROL!$C$16, $D$10, 100%, $F$10)</f>
        <v>14.3926</v>
      </c>
      <c r="H502" s="4">
        <f>CHOOSE( CONTROL!$C$33, 15.3712, 15.3697) * CHOOSE(CONTROL!$C$16, $D$10, 100%, $F$10)</f>
        <v>15.3712</v>
      </c>
      <c r="I502" s="8">
        <f>CHOOSE( CONTROL!$C$33, 14.212, 14.2105) * CHOOSE(CONTROL!$C$16, $D$10, 100%, $F$10)</f>
        <v>14.212</v>
      </c>
      <c r="J502" s="4">
        <f>CHOOSE( CONTROL!$C$33, 14.0879, 14.0864) * CHOOSE(CONTROL!$C$16, $D$10, 100%, $F$10)</f>
        <v>14.087899999999999</v>
      </c>
      <c r="K502" s="4"/>
      <c r="L502" s="9">
        <v>30.7165</v>
      </c>
      <c r="M502" s="9">
        <v>12.063700000000001</v>
      </c>
      <c r="N502" s="9">
        <v>4.9444999999999997</v>
      </c>
      <c r="O502" s="9">
        <v>0.37409999999999999</v>
      </c>
      <c r="P502" s="9">
        <v>1.2927</v>
      </c>
      <c r="Q502" s="9">
        <v>19.814599999999999</v>
      </c>
      <c r="R502" s="9"/>
      <c r="S502" s="11"/>
    </row>
    <row r="503" spans="1:19" ht="15" customHeight="1">
      <c r="A503" s="13">
        <v>56492</v>
      </c>
      <c r="B503" s="8">
        <f>CHOOSE( CONTROL!$C$33, 13.4111, 13.4095) * CHOOSE(CONTROL!$C$16, $D$10, 100%, $F$10)</f>
        <v>13.411099999999999</v>
      </c>
      <c r="C503" s="8">
        <f>CHOOSE( CONTROL!$C$33, 13.4191, 13.4175) * CHOOSE(CONTROL!$C$16, $D$10, 100%, $F$10)</f>
        <v>13.4191</v>
      </c>
      <c r="D503" s="8">
        <f>CHOOSE( CONTROL!$C$33, 13.4418, 13.4402) * CHOOSE( CONTROL!$C$16, $D$10, 100%, $F$10)</f>
        <v>13.441800000000001</v>
      </c>
      <c r="E503" s="12">
        <f>CHOOSE( CONTROL!$C$33, 13.4324, 13.4308) * CHOOSE( CONTROL!$C$16, $D$10, 100%, $F$10)</f>
        <v>13.432399999999999</v>
      </c>
      <c r="F503" s="4">
        <f>CHOOSE( CONTROL!$C$33, 14.188, 14.1864) * CHOOSE(CONTROL!$C$16, $D$10, 100%, $F$10)</f>
        <v>14.188000000000001</v>
      </c>
      <c r="G503" s="8">
        <f>CHOOSE( CONTROL!$C$33, 13.2853, 13.2838) * CHOOSE( CONTROL!$C$16, $D$10, 100%, $F$10)</f>
        <v>13.285299999999999</v>
      </c>
      <c r="H503" s="4">
        <f>CHOOSE( CONTROL!$C$33, 14.2639, 14.2624) * CHOOSE(CONTROL!$C$16, $D$10, 100%, $F$10)</f>
        <v>14.2639</v>
      </c>
      <c r="I503" s="8">
        <f>CHOOSE( CONTROL!$C$33, 13.1243, 13.1228) * CHOOSE(CONTROL!$C$16, $D$10, 100%, $F$10)</f>
        <v>13.1243</v>
      </c>
      <c r="J503" s="4">
        <f>CHOOSE( CONTROL!$C$33, 13.0006, 12.999) * CHOOSE(CONTROL!$C$16, $D$10, 100%, $F$10)</f>
        <v>13.0006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1.2927</v>
      </c>
      <c r="Q503" s="9">
        <v>19.814599999999999</v>
      </c>
      <c r="R503" s="9"/>
      <c r="S503" s="11"/>
    </row>
    <row r="504" spans="1:19" ht="15" customHeight="1">
      <c r="A504" s="13">
        <v>56522</v>
      </c>
      <c r="B504" s="8">
        <f>CHOOSE( CONTROL!$C$33, 13.1299, 13.1283) * CHOOSE(CONTROL!$C$16, $D$10, 100%, $F$10)</f>
        <v>13.129899999999999</v>
      </c>
      <c r="C504" s="8">
        <f>CHOOSE( CONTROL!$C$33, 13.1379, 13.1363) * CHOOSE(CONTROL!$C$16, $D$10, 100%, $F$10)</f>
        <v>13.1379</v>
      </c>
      <c r="D504" s="8">
        <f>CHOOSE( CONTROL!$C$33, 13.1604, 13.1589) * CHOOSE( CONTROL!$C$16, $D$10, 100%, $F$10)</f>
        <v>13.160399999999999</v>
      </c>
      <c r="E504" s="12">
        <f>CHOOSE( CONTROL!$C$33, 13.151, 13.1495) * CHOOSE( CONTROL!$C$16, $D$10, 100%, $F$10)</f>
        <v>13.151</v>
      </c>
      <c r="F504" s="4">
        <f>CHOOSE( CONTROL!$C$33, 13.9068, 13.9052) * CHOOSE(CONTROL!$C$16, $D$10, 100%, $F$10)</f>
        <v>13.9068</v>
      </c>
      <c r="G504" s="8">
        <f>CHOOSE( CONTROL!$C$33, 13.0079, 13.0064) * CHOOSE( CONTROL!$C$16, $D$10, 100%, $F$10)</f>
        <v>13.007899999999999</v>
      </c>
      <c r="H504" s="4">
        <f>CHOOSE( CONTROL!$C$33, 13.9866, 13.9851) * CHOOSE(CONTROL!$C$16, $D$10, 100%, $F$10)</f>
        <v>13.986599999999999</v>
      </c>
      <c r="I504" s="8">
        <f>CHOOSE( CONTROL!$C$33, 12.8514, 12.8499) * CHOOSE(CONTROL!$C$16, $D$10, 100%, $F$10)</f>
        <v>12.8514</v>
      </c>
      <c r="J504" s="4">
        <f>CHOOSE( CONTROL!$C$33, 12.7283, 12.7267) * CHOOSE(CONTROL!$C$16, $D$10, 100%, $F$10)</f>
        <v>12.728300000000001</v>
      </c>
      <c r="K504" s="4"/>
      <c r="L504" s="9">
        <v>29.7257</v>
      </c>
      <c r="M504" s="9">
        <v>11.6745</v>
      </c>
      <c r="N504" s="9">
        <v>4.7850000000000001</v>
      </c>
      <c r="O504" s="9">
        <v>0.36199999999999999</v>
      </c>
      <c r="P504" s="9">
        <v>1.2509999999999999</v>
      </c>
      <c r="Q504" s="9">
        <v>19.1754</v>
      </c>
      <c r="R504" s="9"/>
      <c r="S504" s="11"/>
    </row>
    <row r="505" spans="1:19" ht="15" customHeight="1">
      <c r="A505" s="13">
        <v>56553</v>
      </c>
      <c r="B505" s="8">
        <f>CHOOSE( CONTROL!$C$33, 13.7116, 13.7105) * CHOOSE(CONTROL!$C$16, $D$10, 100%, $F$10)</f>
        <v>13.711600000000001</v>
      </c>
      <c r="C505" s="8">
        <f>CHOOSE( CONTROL!$C$33, 13.7169, 13.7158) * CHOOSE(CONTROL!$C$16, $D$10, 100%, $F$10)</f>
        <v>13.716900000000001</v>
      </c>
      <c r="D505" s="8">
        <f>CHOOSE( CONTROL!$C$33, 13.7457, 13.7446) * CHOOSE( CONTROL!$C$16, $D$10, 100%, $F$10)</f>
        <v>13.745699999999999</v>
      </c>
      <c r="E505" s="12">
        <f>CHOOSE( CONTROL!$C$33, 13.7356, 13.7345) * CHOOSE( CONTROL!$C$16, $D$10, 100%, $F$10)</f>
        <v>13.7356</v>
      </c>
      <c r="F505" s="4">
        <f>CHOOSE( CONTROL!$C$33, 14.4902, 14.4891) * CHOOSE(CONTROL!$C$16, $D$10, 100%, $F$10)</f>
        <v>14.4902</v>
      </c>
      <c r="G505" s="8">
        <f>CHOOSE( CONTROL!$C$33, 13.5833, 13.5822) * CHOOSE( CONTROL!$C$16, $D$10, 100%, $F$10)</f>
        <v>13.583299999999999</v>
      </c>
      <c r="H505" s="4">
        <f>CHOOSE( CONTROL!$C$33, 14.5619, 14.5608) * CHOOSE(CONTROL!$C$16, $D$10, 100%, $F$10)</f>
        <v>14.5619</v>
      </c>
      <c r="I505" s="8">
        <f>CHOOSE( CONTROL!$C$33, 13.4172, 13.4161) * CHOOSE(CONTROL!$C$16, $D$10, 100%, $F$10)</f>
        <v>13.417199999999999</v>
      </c>
      <c r="J505" s="4">
        <f>CHOOSE( CONTROL!$C$33, 13.2932, 13.2921) * CHOOSE(CONTROL!$C$16, $D$10, 100%, $F$10)</f>
        <v>13.293200000000001</v>
      </c>
      <c r="K505" s="4"/>
      <c r="L505" s="9">
        <v>31.095300000000002</v>
      </c>
      <c r="M505" s="9">
        <v>12.063700000000001</v>
      </c>
      <c r="N505" s="9">
        <v>4.9444999999999997</v>
      </c>
      <c r="O505" s="9">
        <v>0.37409999999999999</v>
      </c>
      <c r="P505" s="9">
        <v>1.2927</v>
      </c>
      <c r="Q505" s="9">
        <v>19.814599999999999</v>
      </c>
      <c r="R505" s="9"/>
      <c r="S505" s="11"/>
    </row>
    <row r="506" spans="1:19" ht="15" customHeight="1">
      <c r="A506" s="13">
        <v>56583</v>
      </c>
      <c r="B506" s="8">
        <f>CHOOSE( CONTROL!$C$33, 14.7889, 14.7878) * CHOOSE(CONTROL!$C$16, $D$10, 100%, $F$10)</f>
        <v>14.7889</v>
      </c>
      <c r="C506" s="8">
        <f>CHOOSE( CONTROL!$C$33, 14.794, 14.7929) * CHOOSE(CONTROL!$C$16, $D$10, 100%, $F$10)</f>
        <v>14.794</v>
      </c>
      <c r="D506" s="8">
        <f>CHOOSE( CONTROL!$C$33, 14.7737, 14.7726) * CHOOSE( CONTROL!$C$16, $D$10, 100%, $F$10)</f>
        <v>14.7737</v>
      </c>
      <c r="E506" s="12">
        <f>CHOOSE( CONTROL!$C$33, 14.7806, 14.7795) * CHOOSE( CONTROL!$C$16, $D$10, 100%, $F$10)</f>
        <v>14.7806</v>
      </c>
      <c r="F506" s="4">
        <f>CHOOSE( CONTROL!$C$33, 15.4518, 15.4506) * CHOOSE(CONTROL!$C$16, $D$10, 100%, $F$10)</f>
        <v>15.4518</v>
      </c>
      <c r="G506" s="8">
        <f>CHOOSE( CONTROL!$C$33, 14.6185, 14.6174) * CHOOSE( CONTROL!$C$16, $D$10, 100%, $F$10)</f>
        <v>14.618499999999999</v>
      </c>
      <c r="H506" s="4">
        <f>CHOOSE( CONTROL!$C$33, 15.51, 15.5089) * CHOOSE(CONTROL!$C$16, $D$10, 100%, $F$10)</f>
        <v>15.51</v>
      </c>
      <c r="I506" s="8">
        <f>CHOOSE( CONTROL!$C$33, 14.5091, 14.508) * CHOOSE(CONTROL!$C$16, $D$10, 100%, $F$10)</f>
        <v>14.5091</v>
      </c>
      <c r="J506" s="4">
        <f>CHOOSE( CONTROL!$C$33, 14.3368, 14.3357) * CHOOSE(CONTROL!$C$16, $D$10, 100%, $F$10)</f>
        <v>14.3368</v>
      </c>
      <c r="K506" s="4"/>
      <c r="L506" s="9">
        <v>28.360600000000002</v>
      </c>
      <c r="M506" s="9">
        <v>11.6745</v>
      </c>
      <c r="N506" s="9">
        <v>4.7850000000000001</v>
      </c>
      <c r="O506" s="9">
        <v>0.36199999999999999</v>
      </c>
      <c r="P506" s="9">
        <v>1.2509999999999999</v>
      </c>
      <c r="Q506" s="9">
        <v>19.1754</v>
      </c>
      <c r="R506" s="9"/>
      <c r="S506" s="11"/>
    </row>
    <row r="507" spans="1:19" ht="15" customHeight="1">
      <c r="A507" s="13">
        <v>56614</v>
      </c>
      <c r="B507" s="8">
        <f>CHOOSE( CONTROL!$C$33, 14.762, 14.7609) * CHOOSE(CONTROL!$C$16, $D$10, 100%, $F$10)</f>
        <v>14.762</v>
      </c>
      <c r="C507" s="8">
        <f>CHOOSE( CONTROL!$C$33, 14.7671, 14.766) * CHOOSE(CONTROL!$C$16, $D$10, 100%, $F$10)</f>
        <v>14.767099999999999</v>
      </c>
      <c r="D507" s="8">
        <f>CHOOSE( CONTROL!$C$33, 14.7482, 14.7471) * CHOOSE( CONTROL!$C$16, $D$10, 100%, $F$10)</f>
        <v>14.748200000000001</v>
      </c>
      <c r="E507" s="12">
        <f>CHOOSE( CONTROL!$C$33, 14.7546, 14.7535) * CHOOSE( CONTROL!$C$16, $D$10, 100%, $F$10)</f>
        <v>14.7546</v>
      </c>
      <c r="F507" s="4">
        <f>CHOOSE( CONTROL!$C$33, 15.4248, 15.4237) * CHOOSE(CONTROL!$C$16, $D$10, 100%, $F$10)</f>
        <v>15.424799999999999</v>
      </c>
      <c r="G507" s="8">
        <f>CHOOSE( CONTROL!$C$33, 14.593, 14.5919) * CHOOSE( CONTROL!$C$16, $D$10, 100%, $F$10)</f>
        <v>14.593</v>
      </c>
      <c r="H507" s="4">
        <f>CHOOSE( CONTROL!$C$33, 15.4835, 15.4824) * CHOOSE(CONTROL!$C$16, $D$10, 100%, $F$10)</f>
        <v>15.483499999999999</v>
      </c>
      <c r="I507" s="8">
        <f>CHOOSE( CONTROL!$C$33, 14.4875, 14.4864) * CHOOSE(CONTROL!$C$16, $D$10, 100%, $F$10)</f>
        <v>14.487500000000001</v>
      </c>
      <c r="J507" s="4">
        <f>CHOOSE( CONTROL!$C$33, 14.3107, 14.3096) * CHOOSE(CONTROL!$C$16, $D$10, 100%, $F$10)</f>
        <v>14.310700000000001</v>
      </c>
      <c r="K507" s="4"/>
      <c r="L507" s="9">
        <v>29.306000000000001</v>
      </c>
      <c r="M507" s="9">
        <v>12.063700000000001</v>
      </c>
      <c r="N507" s="9">
        <v>4.9444999999999997</v>
      </c>
      <c r="O507" s="9">
        <v>0.37409999999999999</v>
      </c>
      <c r="P507" s="9">
        <v>1.2927</v>
      </c>
      <c r="Q507" s="9">
        <v>19.814599999999999</v>
      </c>
      <c r="R507" s="9"/>
      <c r="S507" s="11"/>
    </row>
    <row r="508" spans="1:19" ht="15" customHeight="1">
      <c r="A508" s="13">
        <v>56645</v>
      </c>
      <c r="B508" s="8">
        <f>CHOOSE( CONTROL!$C$33, 15.1979, 15.1968) * CHOOSE(CONTROL!$C$16, $D$10, 100%, $F$10)</f>
        <v>15.197900000000001</v>
      </c>
      <c r="C508" s="8">
        <f>CHOOSE( CONTROL!$C$33, 15.203, 15.2019) * CHOOSE(CONTROL!$C$16, $D$10, 100%, $F$10)</f>
        <v>15.202999999999999</v>
      </c>
      <c r="D508" s="8">
        <f>CHOOSE( CONTROL!$C$33, 15.1953, 15.1942) * CHOOSE( CONTROL!$C$16, $D$10, 100%, $F$10)</f>
        <v>15.1953</v>
      </c>
      <c r="E508" s="12">
        <f>CHOOSE( CONTROL!$C$33, 15.1976, 15.1965) * CHOOSE( CONTROL!$C$16, $D$10, 100%, $F$10)</f>
        <v>15.1976</v>
      </c>
      <c r="F508" s="4">
        <f>CHOOSE( CONTROL!$C$33, 15.8607, 15.8596) * CHOOSE(CONTROL!$C$16, $D$10, 100%, $F$10)</f>
        <v>15.8607</v>
      </c>
      <c r="G508" s="8">
        <f>CHOOSE( CONTROL!$C$33, 15.0287, 15.0276) * CHOOSE( CONTROL!$C$16, $D$10, 100%, $F$10)</f>
        <v>15.028700000000001</v>
      </c>
      <c r="H508" s="4">
        <f>CHOOSE( CONTROL!$C$33, 15.9133, 15.9122) * CHOOSE(CONTROL!$C$16, $D$10, 100%, $F$10)</f>
        <v>15.9133</v>
      </c>
      <c r="I508" s="8">
        <f>CHOOSE( CONTROL!$C$33, 14.9011, 14.9) * CHOOSE(CONTROL!$C$16, $D$10, 100%, $F$10)</f>
        <v>14.9011</v>
      </c>
      <c r="J508" s="4">
        <f>CHOOSE( CONTROL!$C$33, 14.7328, 14.7317) * CHOOSE(CONTROL!$C$16, $D$10, 100%, $F$10)</f>
        <v>14.732799999999999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19.751300000000001</v>
      </c>
      <c r="R508" s="9"/>
      <c r="S508" s="11"/>
    </row>
    <row r="509" spans="1:19" ht="15" customHeight="1">
      <c r="A509" s="13">
        <v>56673</v>
      </c>
      <c r="B509" s="8">
        <f>CHOOSE( CONTROL!$C$33, 14.2143, 14.2132) * CHOOSE(CONTROL!$C$16, $D$10, 100%, $F$10)</f>
        <v>14.2143</v>
      </c>
      <c r="C509" s="8">
        <f>CHOOSE( CONTROL!$C$33, 14.2194, 14.2183) * CHOOSE(CONTROL!$C$16, $D$10, 100%, $F$10)</f>
        <v>14.2194</v>
      </c>
      <c r="D509" s="8">
        <f>CHOOSE( CONTROL!$C$33, 14.2116, 14.2105) * CHOOSE( CONTROL!$C$16, $D$10, 100%, $F$10)</f>
        <v>14.211600000000001</v>
      </c>
      <c r="E509" s="12">
        <f>CHOOSE( CONTROL!$C$33, 14.2139, 14.2128) * CHOOSE( CONTROL!$C$16, $D$10, 100%, $F$10)</f>
        <v>14.213900000000001</v>
      </c>
      <c r="F509" s="4">
        <f>CHOOSE( CONTROL!$C$33, 14.8772, 14.8761) * CHOOSE(CONTROL!$C$16, $D$10, 100%, $F$10)</f>
        <v>14.8772</v>
      </c>
      <c r="G509" s="8">
        <f>CHOOSE( CONTROL!$C$33, 14.0587, 14.0576) * CHOOSE( CONTROL!$C$16, $D$10, 100%, $F$10)</f>
        <v>14.0587</v>
      </c>
      <c r="H509" s="4">
        <f>CHOOSE( CONTROL!$C$33, 14.9435, 14.9424) * CHOOSE(CONTROL!$C$16, $D$10, 100%, $F$10)</f>
        <v>14.9435</v>
      </c>
      <c r="I509" s="8">
        <f>CHOOSE( CONTROL!$C$33, 13.9476, 13.9466) * CHOOSE(CONTROL!$C$16, $D$10, 100%, $F$10)</f>
        <v>13.9476</v>
      </c>
      <c r="J509" s="4">
        <f>CHOOSE( CONTROL!$C$33, 13.7804, 13.7793) * CHOOSE(CONTROL!$C$16, $D$10, 100%, $F$10)</f>
        <v>13.7804</v>
      </c>
      <c r="K509" s="4"/>
      <c r="L509" s="9">
        <v>26.469899999999999</v>
      </c>
      <c r="M509" s="9">
        <v>10.8962</v>
      </c>
      <c r="N509" s="9">
        <v>4.4660000000000002</v>
      </c>
      <c r="O509" s="9">
        <v>0.33789999999999998</v>
      </c>
      <c r="P509" s="9">
        <v>1.1676</v>
      </c>
      <c r="Q509" s="9">
        <v>17.8399</v>
      </c>
      <c r="R509" s="9"/>
      <c r="S509" s="11"/>
    </row>
    <row r="510" spans="1:19" ht="15" customHeight="1">
      <c r="A510" s="13">
        <v>56704</v>
      </c>
      <c r="B510" s="8">
        <f>CHOOSE( CONTROL!$C$33, 13.9114, 13.9103) * CHOOSE(CONTROL!$C$16, $D$10, 100%, $F$10)</f>
        <v>13.9114</v>
      </c>
      <c r="C510" s="8">
        <f>CHOOSE( CONTROL!$C$33, 13.9165, 13.9154) * CHOOSE(CONTROL!$C$16, $D$10, 100%, $F$10)</f>
        <v>13.916499999999999</v>
      </c>
      <c r="D510" s="8">
        <f>CHOOSE( CONTROL!$C$33, 13.9079, 13.9068) * CHOOSE( CONTROL!$C$16, $D$10, 100%, $F$10)</f>
        <v>13.9079</v>
      </c>
      <c r="E510" s="12">
        <f>CHOOSE( CONTROL!$C$33, 13.9105, 13.9094) * CHOOSE( CONTROL!$C$16, $D$10, 100%, $F$10)</f>
        <v>13.910500000000001</v>
      </c>
      <c r="F510" s="4">
        <f>CHOOSE( CONTROL!$C$33, 14.5743, 14.5731) * CHOOSE(CONTROL!$C$16, $D$10, 100%, $F$10)</f>
        <v>14.574299999999999</v>
      </c>
      <c r="G510" s="8">
        <f>CHOOSE( CONTROL!$C$33, 13.7595, 13.7584) * CHOOSE( CONTROL!$C$16, $D$10, 100%, $F$10)</f>
        <v>13.759499999999999</v>
      </c>
      <c r="H510" s="4">
        <f>CHOOSE( CONTROL!$C$33, 14.6448, 14.6437) * CHOOSE(CONTROL!$C$16, $D$10, 100%, $F$10)</f>
        <v>14.6448</v>
      </c>
      <c r="I510" s="8">
        <f>CHOOSE( CONTROL!$C$33, 13.6519, 13.6508) * CHOOSE(CONTROL!$C$16, $D$10, 100%, $F$10)</f>
        <v>13.651899999999999</v>
      </c>
      <c r="J510" s="4">
        <f>CHOOSE( CONTROL!$C$33, 13.4871, 13.486) * CHOOSE(CONTROL!$C$16, $D$10, 100%, $F$10)</f>
        <v>13.4871</v>
      </c>
      <c r="K510" s="4"/>
      <c r="L510" s="9">
        <v>29.306000000000001</v>
      </c>
      <c r="M510" s="9">
        <v>12.063700000000001</v>
      </c>
      <c r="N510" s="9">
        <v>4.9444999999999997</v>
      </c>
      <c r="O510" s="9">
        <v>0.37409999999999999</v>
      </c>
      <c r="P510" s="9">
        <v>1.2927</v>
      </c>
      <c r="Q510" s="9">
        <v>19.751300000000001</v>
      </c>
      <c r="R510" s="9"/>
      <c r="S510" s="11"/>
    </row>
    <row r="511" spans="1:19" ht="15" customHeight="1">
      <c r="A511" s="13">
        <v>56734</v>
      </c>
      <c r="B511" s="8">
        <f>CHOOSE( CONTROL!$C$33, 14.1238, 14.1227) * CHOOSE(CONTROL!$C$16, $D$10, 100%, $F$10)</f>
        <v>14.123799999999999</v>
      </c>
      <c r="C511" s="8">
        <f>CHOOSE( CONTROL!$C$33, 14.1284, 14.1272) * CHOOSE(CONTROL!$C$16, $D$10, 100%, $F$10)</f>
        <v>14.128399999999999</v>
      </c>
      <c r="D511" s="8">
        <f>CHOOSE( CONTROL!$C$33, 14.1572, 14.1561) * CHOOSE( CONTROL!$C$16, $D$10, 100%, $F$10)</f>
        <v>14.1572</v>
      </c>
      <c r="E511" s="12">
        <f>CHOOSE( CONTROL!$C$33, 14.1472, 14.146) * CHOOSE( CONTROL!$C$16, $D$10, 100%, $F$10)</f>
        <v>14.1472</v>
      </c>
      <c r="F511" s="4">
        <f>CHOOSE( CONTROL!$C$33, 14.9021, 14.901) * CHOOSE(CONTROL!$C$16, $D$10, 100%, $F$10)</f>
        <v>14.902100000000001</v>
      </c>
      <c r="G511" s="8">
        <f>CHOOSE( CONTROL!$C$33, 13.9892, 13.9881) * CHOOSE( CONTROL!$C$16, $D$10, 100%, $F$10)</f>
        <v>13.9892</v>
      </c>
      <c r="H511" s="4">
        <f>CHOOSE( CONTROL!$C$33, 14.9681, 14.967) * CHOOSE(CONTROL!$C$16, $D$10, 100%, $F$10)</f>
        <v>14.9681</v>
      </c>
      <c r="I511" s="8">
        <f>CHOOSE( CONTROL!$C$33, 13.815, 13.8139) * CHOOSE(CONTROL!$C$16, $D$10, 100%, $F$10)</f>
        <v>13.815</v>
      </c>
      <c r="J511" s="4">
        <f>CHOOSE( CONTROL!$C$33, 13.692, 13.6909) * CHOOSE(CONTROL!$C$16, $D$10, 100%, $F$10)</f>
        <v>13.692</v>
      </c>
      <c r="K511" s="4"/>
      <c r="L511" s="9">
        <v>30.092199999999998</v>
      </c>
      <c r="M511" s="9">
        <v>11.6745</v>
      </c>
      <c r="N511" s="9">
        <v>4.7850000000000001</v>
      </c>
      <c r="O511" s="9">
        <v>0.36199999999999999</v>
      </c>
      <c r="P511" s="9">
        <v>1.2509999999999999</v>
      </c>
      <c r="Q511" s="9">
        <v>19.1142</v>
      </c>
      <c r="R511" s="9"/>
      <c r="S511" s="11"/>
    </row>
    <row r="512" spans="1:19" ht="15" customHeight="1">
      <c r="A512" s="13">
        <v>56765</v>
      </c>
      <c r="B512" s="8">
        <f>CHOOSE( CONTROL!$C$33, 14.5024, 14.5008) * CHOOSE(CONTROL!$C$16, $D$10, 100%, $F$10)</f>
        <v>14.5024</v>
      </c>
      <c r="C512" s="8">
        <f>CHOOSE( CONTROL!$C$33, 14.5104, 14.5088) * CHOOSE(CONTROL!$C$16, $D$10, 100%, $F$10)</f>
        <v>14.510400000000001</v>
      </c>
      <c r="D512" s="8">
        <f>CHOOSE( CONTROL!$C$33, 14.5326, 14.5311) * CHOOSE( CONTROL!$C$16, $D$10, 100%, $F$10)</f>
        <v>14.5326</v>
      </c>
      <c r="E512" s="12">
        <f>CHOOSE( CONTROL!$C$33, 14.5233, 14.5218) * CHOOSE( CONTROL!$C$16, $D$10, 100%, $F$10)</f>
        <v>14.523300000000001</v>
      </c>
      <c r="F512" s="4">
        <f>CHOOSE( CONTROL!$C$33, 15.2793, 15.2777) * CHOOSE(CONTROL!$C$16, $D$10, 100%, $F$10)</f>
        <v>15.279299999999999</v>
      </c>
      <c r="G512" s="8">
        <f>CHOOSE( CONTROL!$C$33, 14.361, 14.3595) * CHOOSE( CONTROL!$C$16, $D$10, 100%, $F$10)</f>
        <v>14.361000000000001</v>
      </c>
      <c r="H512" s="4">
        <f>CHOOSE( CONTROL!$C$33, 15.34, 15.3385) * CHOOSE(CONTROL!$C$16, $D$10, 100%, $F$10)</f>
        <v>15.34</v>
      </c>
      <c r="I512" s="8">
        <f>CHOOSE( CONTROL!$C$33, 14.18, 14.1785) * CHOOSE(CONTROL!$C$16, $D$10, 100%, $F$10)</f>
        <v>14.18</v>
      </c>
      <c r="J512" s="4">
        <f>CHOOSE( CONTROL!$C$33, 14.0573, 14.0557) * CHOOSE(CONTROL!$C$16, $D$10, 100%, $F$10)</f>
        <v>14.0573</v>
      </c>
      <c r="K512" s="4"/>
      <c r="L512" s="9">
        <v>30.7165</v>
      </c>
      <c r="M512" s="9">
        <v>12.063700000000001</v>
      </c>
      <c r="N512" s="9">
        <v>4.9444999999999997</v>
      </c>
      <c r="O512" s="9">
        <v>0.37409999999999999</v>
      </c>
      <c r="P512" s="9">
        <v>1.2927</v>
      </c>
      <c r="Q512" s="9">
        <v>19.751300000000001</v>
      </c>
      <c r="R512" s="9"/>
      <c r="S512" s="11"/>
    </row>
    <row r="513" spans="1:19" ht="15" customHeight="1">
      <c r="A513" s="13">
        <v>56795</v>
      </c>
      <c r="B513" s="8">
        <f>CHOOSE( CONTROL!$C$33, 14.269, 14.2674) * CHOOSE(CONTROL!$C$16, $D$10, 100%, $F$10)</f>
        <v>14.269</v>
      </c>
      <c r="C513" s="8">
        <f>CHOOSE( CONTROL!$C$33, 14.277, 14.2754) * CHOOSE(CONTROL!$C$16, $D$10, 100%, $F$10)</f>
        <v>14.276999999999999</v>
      </c>
      <c r="D513" s="8">
        <f>CHOOSE( CONTROL!$C$33, 14.2994, 14.2978) * CHOOSE( CONTROL!$C$16, $D$10, 100%, $F$10)</f>
        <v>14.2994</v>
      </c>
      <c r="E513" s="12">
        <f>CHOOSE( CONTROL!$C$33, 14.2901, 14.2885) * CHOOSE( CONTROL!$C$16, $D$10, 100%, $F$10)</f>
        <v>14.290100000000001</v>
      </c>
      <c r="F513" s="4">
        <f>CHOOSE( CONTROL!$C$33, 15.0459, 15.0444) * CHOOSE(CONTROL!$C$16, $D$10, 100%, $F$10)</f>
        <v>15.0459</v>
      </c>
      <c r="G513" s="8">
        <f>CHOOSE( CONTROL!$C$33, 14.1311, 14.1295) * CHOOSE( CONTROL!$C$16, $D$10, 100%, $F$10)</f>
        <v>14.1311</v>
      </c>
      <c r="H513" s="4">
        <f>CHOOSE( CONTROL!$C$33, 15.1099, 15.1083) * CHOOSE(CONTROL!$C$16, $D$10, 100%, $F$10)</f>
        <v>15.1099</v>
      </c>
      <c r="I513" s="8">
        <f>CHOOSE( CONTROL!$C$33, 13.9545, 13.953) * CHOOSE(CONTROL!$C$16, $D$10, 100%, $F$10)</f>
        <v>13.954499999999999</v>
      </c>
      <c r="J513" s="4">
        <f>CHOOSE( CONTROL!$C$33, 13.8313, 13.8298) * CHOOSE(CONTROL!$C$16, $D$10, 100%, $F$10)</f>
        <v>13.831300000000001</v>
      </c>
      <c r="K513" s="4"/>
      <c r="L513" s="9">
        <v>29.7257</v>
      </c>
      <c r="M513" s="9">
        <v>11.6745</v>
      </c>
      <c r="N513" s="9">
        <v>4.7850000000000001</v>
      </c>
      <c r="O513" s="9">
        <v>0.36199999999999999</v>
      </c>
      <c r="P513" s="9">
        <v>1.2509999999999999</v>
      </c>
      <c r="Q513" s="9">
        <v>19.1142</v>
      </c>
      <c r="R513" s="9"/>
      <c r="S513" s="11"/>
    </row>
    <row r="514" spans="1:19" ht="15" customHeight="1">
      <c r="A514" s="13">
        <v>56826</v>
      </c>
      <c r="B514" s="8">
        <f>CHOOSE( CONTROL!$C$33, 14.8836, 14.882) * CHOOSE(CONTROL!$C$16, $D$10, 100%, $F$10)</f>
        <v>14.883599999999999</v>
      </c>
      <c r="C514" s="8">
        <f>CHOOSE( CONTROL!$C$33, 14.8916, 14.89) * CHOOSE(CONTROL!$C$16, $D$10, 100%, $F$10)</f>
        <v>14.8916</v>
      </c>
      <c r="D514" s="8">
        <f>CHOOSE( CONTROL!$C$33, 14.9142, 14.9126) * CHOOSE( CONTROL!$C$16, $D$10, 100%, $F$10)</f>
        <v>14.914199999999999</v>
      </c>
      <c r="E514" s="12">
        <f>CHOOSE( CONTROL!$C$33, 14.9048, 14.9032) * CHOOSE( CONTROL!$C$16, $D$10, 100%, $F$10)</f>
        <v>14.9048</v>
      </c>
      <c r="F514" s="4">
        <f>CHOOSE( CONTROL!$C$33, 15.6605, 15.6589) * CHOOSE(CONTROL!$C$16, $D$10, 100%, $F$10)</f>
        <v>15.660500000000001</v>
      </c>
      <c r="G514" s="8">
        <f>CHOOSE( CONTROL!$C$33, 14.7372, 14.7357) * CHOOSE( CONTROL!$C$16, $D$10, 100%, $F$10)</f>
        <v>14.7372</v>
      </c>
      <c r="H514" s="4">
        <f>CHOOSE( CONTROL!$C$33, 15.7159, 15.7143) * CHOOSE(CONTROL!$C$16, $D$10, 100%, $F$10)</f>
        <v>15.7159</v>
      </c>
      <c r="I514" s="8">
        <f>CHOOSE( CONTROL!$C$33, 14.5507, 14.5491) * CHOOSE(CONTROL!$C$16, $D$10, 100%, $F$10)</f>
        <v>14.550700000000001</v>
      </c>
      <c r="J514" s="4">
        <f>CHOOSE( CONTROL!$C$33, 14.4264, 14.4249) * CHOOSE(CONTROL!$C$16, $D$10, 100%, $F$10)</f>
        <v>14.426399999999999</v>
      </c>
      <c r="K514" s="4"/>
      <c r="L514" s="9">
        <v>30.7165</v>
      </c>
      <c r="M514" s="9">
        <v>12.063700000000001</v>
      </c>
      <c r="N514" s="9">
        <v>4.9444999999999997</v>
      </c>
      <c r="O514" s="9">
        <v>0.37409999999999999</v>
      </c>
      <c r="P514" s="9">
        <v>1.2927</v>
      </c>
      <c r="Q514" s="9">
        <v>19.751300000000001</v>
      </c>
      <c r="R514" s="9"/>
      <c r="S514" s="11"/>
    </row>
    <row r="515" spans="1:19" ht="15" customHeight="1">
      <c r="A515" s="13">
        <v>56857</v>
      </c>
      <c r="B515" s="8">
        <f>CHOOSE( CONTROL!$C$33, 13.7336, 13.7321) * CHOOSE(CONTROL!$C$16, $D$10, 100%, $F$10)</f>
        <v>13.733599999999999</v>
      </c>
      <c r="C515" s="8">
        <f>CHOOSE( CONTROL!$C$33, 13.7416, 13.7401) * CHOOSE(CONTROL!$C$16, $D$10, 100%, $F$10)</f>
        <v>13.7416</v>
      </c>
      <c r="D515" s="8">
        <f>CHOOSE( CONTROL!$C$33, 13.7643, 13.7628) * CHOOSE( CONTROL!$C$16, $D$10, 100%, $F$10)</f>
        <v>13.7643</v>
      </c>
      <c r="E515" s="12">
        <f>CHOOSE( CONTROL!$C$33, 13.7549, 13.7534) * CHOOSE( CONTROL!$C$16, $D$10, 100%, $F$10)</f>
        <v>13.754899999999999</v>
      </c>
      <c r="F515" s="4">
        <f>CHOOSE( CONTROL!$C$33, 14.5106, 14.509) * CHOOSE(CONTROL!$C$16, $D$10, 100%, $F$10)</f>
        <v>14.5106</v>
      </c>
      <c r="G515" s="8">
        <f>CHOOSE( CONTROL!$C$33, 13.6034, 13.6018) * CHOOSE( CONTROL!$C$16, $D$10, 100%, $F$10)</f>
        <v>13.603400000000001</v>
      </c>
      <c r="H515" s="4">
        <f>CHOOSE( CONTROL!$C$33, 14.582, 14.5804) * CHOOSE(CONTROL!$C$16, $D$10, 100%, $F$10)</f>
        <v>14.582000000000001</v>
      </c>
      <c r="I515" s="8">
        <f>CHOOSE( CONTROL!$C$33, 13.4368, 13.4353) * CHOOSE(CONTROL!$C$16, $D$10, 100%, $F$10)</f>
        <v>13.4368</v>
      </c>
      <c r="J515" s="4">
        <f>CHOOSE( CONTROL!$C$33, 13.3129, 13.3114) * CHOOSE(CONTROL!$C$16, $D$10, 100%, $F$10)</f>
        <v>13.312900000000001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1.2927</v>
      </c>
      <c r="Q515" s="9">
        <v>19.751300000000001</v>
      </c>
      <c r="R515" s="9"/>
      <c r="S515" s="11"/>
    </row>
    <row r="516" spans="1:19" ht="15" customHeight="1">
      <c r="A516" s="13">
        <v>56887</v>
      </c>
      <c r="B516" s="8">
        <f>CHOOSE( CONTROL!$C$33, 13.4457, 13.4441) * CHOOSE(CONTROL!$C$16, $D$10, 100%, $F$10)</f>
        <v>13.4457</v>
      </c>
      <c r="C516" s="8">
        <f>CHOOSE( CONTROL!$C$33, 13.4537, 13.4521) * CHOOSE(CONTROL!$C$16, $D$10, 100%, $F$10)</f>
        <v>13.4537</v>
      </c>
      <c r="D516" s="8">
        <f>CHOOSE( CONTROL!$C$33, 13.4762, 13.4747) * CHOOSE( CONTROL!$C$16, $D$10, 100%, $F$10)</f>
        <v>13.4762</v>
      </c>
      <c r="E516" s="12">
        <f>CHOOSE( CONTROL!$C$33, 13.4668, 13.4653) * CHOOSE( CONTROL!$C$16, $D$10, 100%, $F$10)</f>
        <v>13.466799999999999</v>
      </c>
      <c r="F516" s="4">
        <f>CHOOSE( CONTROL!$C$33, 14.2226, 14.221) * CHOOSE(CONTROL!$C$16, $D$10, 100%, $F$10)</f>
        <v>14.2226</v>
      </c>
      <c r="G516" s="8">
        <f>CHOOSE( CONTROL!$C$33, 13.3193, 13.3178) * CHOOSE( CONTROL!$C$16, $D$10, 100%, $F$10)</f>
        <v>13.3193</v>
      </c>
      <c r="H516" s="4">
        <f>CHOOSE( CONTROL!$C$33, 14.298, 14.2965) * CHOOSE(CONTROL!$C$16, $D$10, 100%, $F$10)</f>
        <v>14.298</v>
      </c>
      <c r="I516" s="8">
        <f>CHOOSE( CONTROL!$C$33, 13.1574, 13.1559) * CHOOSE(CONTROL!$C$16, $D$10, 100%, $F$10)</f>
        <v>13.157400000000001</v>
      </c>
      <c r="J516" s="4">
        <f>CHOOSE( CONTROL!$C$33, 13.0341, 13.0325) * CHOOSE(CONTROL!$C$16, $D$10, 100%, $F$10)</f>
        <v>13.0341</v>
      </c>
      <c r="K516" s="4"/>
      <c r="L516" s="9">
        <v>29.7257</v>
      </c>
      <c r="M516" s="9">
        <v>11.6745</v>
      </c>
      <c r="N516" s="9">
        <v>4.7850000000000001</v>
      </c>
      <c r="O516" s="9">
        <v>0.36199999999999999</v>
      </c>
      <c r="P516" s="9">
        <v>1.2509999999999999</v>
      </c>
      <c r="Q516" s="9">
        <v>19.1142</v>
      </c>
      <c r="R516" s="9"/>
      <c r="S516" s="11"/>
    </row>
    <row r="517" spans="1:19" ht="15" customHeight="1">
      <c r="A517" s="13">
        <v>56918</v>
      </c>
      <c r="B517" s="8">
        <f>CHOOSE( CONTROL!$C$33, 14.0414, 14.0403) * CHOOSE(CONTROL!$C$16, $D$10, 100%, $F$10)</f>
        <v>14.041399999999999</v>
      </c>
      <c r="C517" s="8">
        <f>CHOOSE( CONTROL!$C$33, 14.0468, 14.0457) * CHOOSE(CONTROL!$C$16, $D$10, 100%, $F$10)</f>
        <v>14.046799999999999</v>
      </c>
      <c r="D517" s="8">
        <f>CHOOSE( CONTROL!$C$33, 14.0755, 14.0744) * CHOOSE( CONTROL!$C$16, $D$10, 100%, $F$10)</f>
        <v>14.0755</v>
      </c>
      <c r="E517" s="12">
        <f>CHOOSE( CONTROL!$C$33, 14.0655, 14.0644) * CHOOSE( CONTROL!$C$16, $D$10, 100%, $F$10)</f>
        <v>14.0655</v>
      </c>
      <c r="F517" s="4">
        <f>CHOOSE( CONTROL!$C$33, 14.8201, 14.8189) * CHOOSE(CONTROL!$C$16, $D$10, 100%, $F$10)</f>
        <v>14.8201</v>
      </c>
      <c r="G517" s="8">
        <f>CHOOSE( CONTROL!$C$33, 13.9086, 13.9075) * CHOOSE( CONTROL!$C$16, $D$10, 100%, $F$10)</f>
        <v>13.9086</v>
      </c>
      <c r="H517" s="4">
        <f>CHOOSE( CONTROL!$C$33, 14.8872, 14.886) * CHOOSE(CONTROL!$C$16, $D$10, 100%, $F$10)</f>
        <v>14.8872</v>
      </c>
      <c r="I517" s="8">
        <f>CHOOSE( CONTROL!$C$33, 13.7368, 13.7357) * CHOOSE(CONTROL!$C$16, $D$10, 100%, $F$10)</f>
        <v>13.736800000000001</v>
      </c>
      <c r="J517" s="4">
        <f>CHOOSE( CONTROL!$C$33, 13.6126, 13.6115) * CHOOSE(CONTROL!$C$16, $D$10, 100%, $F$10)</f>
        <v>13.6126</v>
      </c>
      <c r="K517" s="4"/>
      <c r="L517" s="9">
        <v>31.095300000000002</v>
      </c>
      <c r="M517" s="9">
        <v>12.063700000000001</v>
      </c>
      <c r="N517" s="9">
        <v>4.9444999999999997</v>
      </c>
      <c r="O517" s="9">
        <v>0.37409999999999999</v>
      </c>
      <c r="P517" s="9">
        <v>1.2927</v>
      </c>
      <c r="Q517" s="9">
        <v>19.751300000000001</v>
      </c>
      <c r="R517" s="9"/>
      <c r="S517" s="11"/>
    </row>
    <row r="518" spans="1:19" ht="15" customHeight="1">
      <c r="A518" s="13">
        <v>56948</v>
      </c>
      <c r="B518" s="8">
        <f>CHOOSE( CONTROL!$C$33, 15.1446, 15.1435) * CHOOSE(CONTROL!$C$16, $D$10, 100%, $F$10)</f>
        <v>15.144600000000001</v>
      </c>
      <c r="C518" s="8">
        <f>CHOOSE( CONTROL!$C$33, 15.1497, 15.1486) * CHOOSE(CONTROL!$C$16, $D$10, 100%, $F$10)</f>
        <v>15.149699999999999</v>
      </c>
      <c r="D518" s="8">
        <f>CHOOSE( CONTROL!$C$33, 15.1294, 15.1283) * CHOOSE( CONTROL!$C$16, $D$10, 100%, $F$10)</f>
        <v>15.1294</v>
      </c>
      <c r="E518" s="12">
        <f>CHOOSE( CONTROL!$C$33, 15.1363, 15.1352) * CHOOSE( CONTROL!$C$16, $D$10, 100%, $F$10)</f>
        <v>15.1363</v>
      </c>
      <c r="F518" s="4">
        <f>CHOOSE( CONTROL!$C$33, 15.8075, 15.8064) * CHOOSE(CONTROL!$C$16, $D$10, 100%, $F$10)</f>
        <v>15.807499999999999</v>
      </c>
      <c r="G518" s="8">
        <f>CHOOSE( CONTROL!$C$33, 14.9693, 14.9682) * CHOOSE( CONTROL!$C$16, $D$10, 100%, $F$10)</f>
        <v>14.9693</v>
      </c>
      <c r="H518" s="4">
        <f>CHOOSE( CONTROL!$C$33, 15.8608, 15.8597) * CHOOSE(CONTROL!$C$16, $D$10, 100%, $F$10)</f>
        <v>15.860799999999999</v>
      </c>
      <c r="I518" s="8">
        <f>CHOOSE( CONTROL!$C$33, 14.8537, 14.8526) * CHOOSE(CONTROL!$C$16, $D$10, 100%, $F$10)</f>
        <v>14.8537</v>
      </c>
      <c r="J518" s="4">
        <f>CHOOSE( CONTROL!$C$33, 14.6812, 14.6801) * CHOOSE(CONTROL!$C$16, $D$10, 100%, $F$10)</f>
        <v>14.6812</v>
      </c>
      <c r="K518" s="4"/>
      <c r="L518" s="9">
        <v>28.360600000000002</v>
      </c>
      <c r="M518" s="9">
        <v>11.6745</v>
      </c>
      <c r="N518" s="9">
        <v>4.7850000000000001</v>
      </c>
      <c r="O518" s="9">
        <v>0.36199999999999999</v>
      </c>
      <c r="P518" s="9">
        <v>1.2509999999999999</v>
      </c>
      <c r="Q518" s="9">
        <v>19.1142</v>
      </c>
      <c r="R518" s="9"/>
      <c r="S518" s="11"/>
    </row>
    <row r="519" spans="1:19" ht="15" customHeight="1">
      <c r="A519" s="13">
        <v>56979</v>
      </c>
      <c r="B519" s="8">
        <f>CHOOSE( CONTROL!$C$33, 15.1171, 15.1159) * CHOOSE(CONTROL!$C$16, $D$10, 100%, $F$10)</f>
        <v>15.117100000000001</v>
      </c>
      <c r="C519" s="8">
        <f>CHOOSE( CONTROL!$C$33, 15.1222, 15.121) * CHOOSE(CONTROL!$C$16, $D$10, 100%, $F$10)</f>
        <v>15.122199999999999</v>
      </c>
      <c r="D519" s="8">
        <f>CHOOSE( CONTROL!$C$33, 15.1033, 15.1022) * CHOOSE( CONTROL!$C$16, $D$10, 100%, $F$10)</f>
        <v>15.103300000000001</v>
      </c>
      <c r="E519" s="12">
        <f>CHOOSE( CONTROL!$C$33, 15.1097, 15.1085) * CHOOSE( CONTROL!$C$16, $D$10, 100%, $F$10)</f>
        <v>15.1097</v>
      </c>
      <c r="F519" s="4">
        <f>CHOOSE( CONTROL!$C$33, 15.7799, 15.7788) * CHOOSE(CONTROL!$C$16, $D$10, 100%, $F$10)</f>
        <v>15.7799</v>
      </c>
      <c r="G519" s="8">
        <f>CHOOSE( CONTROL!$C$33, 14.9432, 14.942) * CHOOSE( CONTROL!$C$16, $D$10, 100%, $F$10)</f>
        <v>14.943199999999999</v>
      </c>
      <c r="H519" s="4">
        <f>CHOOSE( CONTROL!$C$33, 15.8336, 15.8325) * CHOOSE(CONTROL!$C$16, $D$10, 100%, $F$10)</f>
        <v>15.833600000000001</v>
      </c>
      <c r="I519" s="8">
        <f>CHOOSE( CONTROL!$C$33, 14.8315, 14.8304) * CHOOSE(CONTROL!$C$16, $D$10, 100%, $F$10)</f>
        <v>14.8315</v>
      </c>
      <c r="J519" s="4">
        <f>CHOOSE( CONTROL!$C$33, 14.6545, 14.6534) * CHOOSE(CONTROL!$C$16, $D$10, 100%, $F$10)</f>
        <v>14.654500000000001</v>
      </c>
      <c r="K519" s="4"/>
      <c r="L519" s="9">
        <v>29.306000000000001</v>
      </c>
      <c r="M519" s="9">
        <v>12.063700000000001</v>
      </c>
      <c r="N519" s="9">
        <v>4.9444999999999997</v>
      </c>
      <c r="O519" s="9">
        <v>0.37409999999999999</v>
      </c>
      <c r="P519" s="9">
        <v>1.2927</v>
      </c>
      <c r="Q519" s="9">
        <v>19.751300000000001</v>
      </c>
      <c r="R519" s="9"/>
      <c r="S519" s="11"/>
    </row>
    <row r="520" spans="1:19" ht="15" customHeight="1">
      <c r="A520" s="13">
        <v>57010</v>
      </c>
      <c r="B520" s="8">
        <f>CHOOSE( CONTROL!$C$33, 15.5634, 15.5623) * CHOOSE(CONTROL!$C$16, $D$10, 100%, $F$10)</f>
        <v>15.5634</v>
      </c>
      <c r="C520" s="8">
        <f>CHOOSE( CONTROL!$C$33, 15.5685, 15.5674) * CHOOSE(CONTROL!$C$16, $D$10, 100%, $F$10)</f>
        <v>15.5685</v>
      </c>
      <c r="D520" s="8">
        <f>CHOOSE( CONTROL!$C$33, 15.5609, 15.5598) * CHOOSE( CONTROL!$C$16, $D$10, 100%, $F$10)</f>
        <v>15.5609</v>
      </c>
      <c r="E520" s="12">
        <f>CHOOSE( CONTROL!$C$33, 15.5631, 15.562) * CHOOSE( CONTROL!$C$16, $D$10, 100%, $F$10)</f>
        <v>15.5631</v>
      </c>
      <c r="F520" s="4">
        <f>CHOOSE( CONTROL!$C$33, 16.2263, 16.2252) * CHOOSE(CONTROL!$C$16, $D$10, 100%, $F$10)</f>
        <v>16.226299999999998</v>
      </c>
      <c r="G520" s="8">
        <f>CHOOSE( CONTROL!$C$33, 15.3892, 15.388) * CHOOSE( CONTROL!$C$16, $D$10, 100%, $F$10)</f>
        <v>15.389200000000001</v>
      </c>
      <c r="H520" s="4">
        <f>CHOOSE( CONTROL!$C$33, 16.2738, 16.2727) * CHOOSE(CONTROL!$C$16, $D$10, 100%, $F$10)</f>
        <v>16.273800000000001</v>
      </c>
      <c r="I520" s="8">
        <f>CHOOSE( CONTROL!$C$33, 15.2552, 15.2541) * CHOOSE(CONTROL!$C$16, $D$10, 100%, $F$10)</f>
        <v>15.2552</v>
      </c>
      <c r="J520" s="4">
        <f>CHOOSE( CONTROL!$C$33, 15.0867, 15.0856) * CHOOSE(CONTROL!$C$16, $D$10, 100%, $F$10)</f>
        <v>15.0867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19.688099999999999</v>
      </c>
      <c r="R520" s="9"/>
      <c r="S520" s="11"/>
    </row>
    <row r="521" spans="1:19" ht="15" customHeight="1">
      <c r="A521" s="13">
        <v>57038</v>
      </c>
      <c r="B521" s="8">
        <f>CHOOSE( CONTROL!$C$33, 14.5562, 14.5551) * CHOOSE(CONTROL!$C$16, $D$10, 100%, $F$10)</f>
        <v>14.5562</v>
      </c>
      <c r="C521" s="8">
        <f>CHOOSE( CONTROL!$C$33, 14.5613, 14.5602) * CHOOSE(CONTROL!$C$16, $D$10, 100%, $F$10)</f>
        <v>14.561299999999999</v>
      </c>
      <c r="D521" s="8">
        <f>CHOOSE( CONTROL!$C$33, 14.5535, 14.5524) * CHOOSE( CONTROL!$C$16, $D$10, 100%, $F$10)</f>
        <v>14.5535</v>
      </c>
      <c r="E521" s="12">
        <f>CHOOSE( CONTROL!$C$33, 14.5558, 14.5547) * CHOOSE( CONTROL!$C$16, $D$10, 100%, $F$10)</f>
        <v>14.5558</v>
      </c>
      <c r="F521" s="4">
        <f>CHOOSE( CONTROL!$C$33, 15.2191, 15.218) * CHOOSE(CONTROL!$C$16, $D$10, 100%, $F$10)</f>
        <v>15.219099999999999</v>
      </c>
      <c r="G521" s="8">
        <f>CHOOSE( CONTROL!$C$33, 14.3959, 14.3948) * CHOOSE( CONTROL!$C$16, $D$10, 100%, $F$10)</f>
        <v>14.395899999999999</v>
      </c>
      <c r="H521" s="4">
        <f>CHOOSE( CONTROL!$C$33, 15.2806, 15.2795) * CHOOSE(CONTROL!$C$16, $D$10, 100%, $F$10)</f>
        <v>15.2806</v>
      </c>
      <c r="I521" s="8">
        <f>CHOOSE( CONTROL!$C$33, 14.2789, 14.2778) * CHOOSE(CONTROL!$C$16, $D$10, 100%, $F$10)</f>
        <v>14.2789</v>
      </c>
      <c r="J521" s="4">
        <f>CHOOSE( CONTROL!$C$33, 14.1115, 14.1104) * CHOOSE(CONTROL!$C$16, $D$10, 100%, $F$10)</f>
        <v>14.111499999999999</v>
      </c>
      <c r="K521" s="4"/>
      <c r="L521" s="9">
        <v>27.415299999999998</v>
      </c>
      <c r="M521" s="9">
        <v>11.285299999999999</v>
      </c>
      <c r="N521" s="9">
        <v>4.6254999999999997</v>
      </c>
      <c r="O521" s="9">
        <v>0.34989999999999999</v>
      </c>
      <c r="P521" s="9">
        <v>1.2093</v>
      </c>
      <c r="Q521" s="9">
        <v>18.417899999999999</v>
      </c>
      <c r="R521" s="9"/>
      <c r="S521" s="11"/>
    </row>
    <row r="522" spans="1:19" ht="15" customHeight="1">
      <c r="A522" s="13">
        <v>57070</v>
      </c>
      <c r="B522" s="8">
        <f>CHOOSE( CONTROL!$C$33, 14.246, 14.2449) * CHOOSE(CONTROL!$C$16, $D$10, 100%, $F$10)</f>
        <v>14.246</v>
      </c>
      <c r="C522" s="8">
        <f>CHOOSE( CONTROL!$C$33, 14.2511, 14.25) * CHOOSE(CONTROL!$C$16, $D$10, 100%, $F$10)</f>
        <v>14.251099999999999</v>
      </c>
      <c r="D522" s="8">
        <f>CHOOSE( CONTROL!$C$33, 14.2426, 14.2415) * CHOOSE( CONTROL!$C$16, $D$10, 100%, $F$10)</f>
        <v>14.242599999999999</v>
      </c>
      <c r="E522" s="12">
        <f>CHOOSE( CONTROL!$C$33, 14.2452, 14.2441) * CHOOSE( CONTROL!$C$16, $D$10, 100%, $F$10)</f>
        <v>14.245200000000001</v>
      </c>
      <c r="F522" s="4">
        <f>CHOOSE( CONTROL!$C$33, 14.9089, 14.9078) * CHOOSE(CONTROL!$C$16, $D$10, 100%, $F$10)</f>
        <v>14.908899999999999</v>
      </c>
      <c r="G522" s="8">
        <f>CHOOSE( CONTROL!$C$33, 14.0895, 14.0884) * CHOOSE( CONTROL!$C$16, $D$10, 100%, $F$10)</f>
        <v>14.089499999999999</v>
      </c>
      <c r="H522" s="4">
        <f>CHOOSE( CONTROL!$C$33, 14.9747, 14.9736) * CHOOSE(CONTROL!$C$16, $D$10, 100%, $F$10)</f>
        <v>14.9747</v>
      </c>
      <c r="I522" s="8">
        <f>CHOOSE( CONTROL!$C$33, 13.9761, 13.975) * CHOOSE(CONTROL!$C$16, $D$10, 100%, $F$10)</f>
        <v>13.976100000000001</v>
      </c>
      <c r="J522" s="4">
        <f>CHOOSE( CONTROL!$C$33, 13.8111, 13.81) * CHOOSE(CONTROL!$C$16, $D$10, 100%, $F$10)</f>
        <v>13.8111</v>
      </c>
      <c r="K522" s="4"/>
      <c r="L522" s="9">
        <v>29.306000000000001</v>
      </c>
      <c r="M522" s="9">
        <v>12.063700000000001</v>
      </c>
      <c r="N522" s="9">
        <v>4.9444999999999997</v>
      </c>
      <c r="O522" s="9">
        <v>0.37409999999999999</v>
      </c>
      <c r="P522" s="9">
        <v>1.2927</v>
      </c>
      <c r="Q522" s="9">
        <v>19.688099999999999</v>
      </c>
      <c r="R522" s="9"/>
      <c r="S522" s="11"/>
    </row>
    <row r="523" spans="1:19" ht="15" customHeight="1">
      <c r="A523" s="13">
        <v>57100</v>
      </c>
      <c r="B523" s="8">
        <f>CHOOSE( CONTROL!$C$33, 14.4636, 14.4624) * CHOOSE(CONTROL!$C$16, $D$10, 100%, $F$10)</f>
        <v>14.4636</v>
      </c>
      <c r="C523" s="8">
        <f>CHOOSE( CONTROL!$C$33, 14.4681, 14.467) * CHOOSE(CONTROL!$C$16, $D$10, 100%, $F$10)</f>
        <v>14.4681</v>
      </c>
      <c r="D523" s="8">
        <f>CHOOSE( CONTROL!$C$33, 14.497, 14.4958) * CHOOSE( CONTROL!$C$16, $D$10, 100%, $F$10)</f>
        <v>14.497</v>
      </c>
      <c r="E523" s="12">
        <f>CHOOSE( CONTROL!$C$33, 14.4869, 14.4858) * CHOOSE( CONTROL!$C$16, $D$10, 100%, $F$10)</f>
        <v>14.4869</v>
      </c>
      <c r="F523" s="4">
        <f>CHOOSE( CONTROL!$C$33, 15.2419, 15.2407) * CHOOSE(CONTROL!$C$16, $D$10, 100%, $F$10)</f>
        <v>15.241899999999999</v>
      </c>
      <c r="G523" s="8">
        <f>CHOOSE( CONTROL!$C$33, 14.3242, 14.3231) * CHOOSE( CONTROL!$C$16, $D$10, 100%, $F$10)</f>
        <v>14.324199999999999</v>
      </c>
      <c r="H523" s="4">
        <f>CHOOSE( CONTROL!$C$33, 15.3031, 15.3019) * CHOOSE(CONTROL!$C$16, $D$10, 100%, $F$10)</f>
        <v>15.303100000000001</v>
      </c>
      <c r="I523" s="8">
        <f>CHOOSE( CONTROL!$C$33, 14.1441, 14.143) * CHOOSE(CONTROL!$C$16, $D$10, 100%, $F$10)</f>
        <v>14.1441</v>
      </c>
      <c r="J523" s="4">
        <f>CHOOSE( CONTROL!$C$33, 14.021, 14.0199) * CHOOSE(CONTROL!$C$16, $D$10, 100%, $F$10)</f>
        <v>14.021000000000001</v>
      </c>
      <c r="K523" s="4"/>
      <c r="L523" s="9">
        <v>30.092199999999998</v>
      </c>
      <c r="M523" s="9">
        <v>11.6745</v>
      </c>
      <c r="N523" s="9">
        <v>4.7850000000000001</v>
      </c>
      <c r="O523" s="9">
        <v>0.36199999999999999</v>
      </c>
      <c r="P523" s="9">
        <v>1.2509999999999999</v>
      </c>
      <c r="Q523" s="9">
        <v>19.053000000000001</v>
      </c>
      <c r="R523" s="9"/>
      <c r="S523" s="11"/>
    </row>
    <row r="524" spans="1:19" ht="15" customHeight="1">
      <c r="A524" s="13">
        <v>57131</v>
      </c>
      <c r="B524" s="8">
        <f>CHOOSE( CONTROL!$C$33, 14.8512, 14.8496) * CHOOSE(CONTROL!$C$16, $D$10, 100%, $F$10)</f>
        <v>14.8512</v>
      </c>
      <c r="C524" s="8">
        <f>CHOOSE( CONTROL!$C$33, 14.8592, 14.8576) * CHOOSE(CONTROL!$C$16, $D$10, 100%, $F$10)</f>
        <v>14.8592</v>
      </c>
      <c r="D524" s="8">
        <f>CHOOSE( CONTROL!$C$33, 14.8814, 14.8798) * CHOOSE( CONTROL!$C$16, $D$10, 100%, $F$10)</f>
        <v>14.881399999999999</v>
      </c>
      <c r="E524" s="12">
        <f>CHOOSE( CONTROL!$C$33, 14.8721, 14.8705) * CHOOSE( CONTROL!$C$16, $D$10, 100%, $F$10)</f>
        <v>14.8721</v>
      </c>
      <c r="F524" s="4">
        <f>CHOOSE( CONTROL!$C$33, 15.6281, 15.6265) * CHOOSE(CONTROL!$C$16, $D$10, 100%, $F$10)</f>
        <v>15.6281</v>
      </c>
      <c r="G524" s="8">
        <f>CHOOSE( CONTROL!$C$33, 14.705, 14.7034) * CHOOSE( CONTROL!$C$16, $D$10, 100%, $F$10)</f>
        <v>14.705</v>
      </c>
      <c r="H524" s="4">
        <f>CHOOSE( CONTROL!$C$33, 15.6839, 15.6824) * CHOOSE(CONTROL!$C$16, $D$10, 100%, $F$10)</f>
        <v>15.6839</v>
      </c>
      <c r="I524" s="8">
        <f>CHOOSE( CONTROL!$C$33, 14.5179, 14.5164) * CHOOSE(CONTROL!$C$16, $D$10, 100%, $F$10)</f>
        <v>14.517899999999999</v>
      </c>
      <c r="J524" s="4">
        <f>CHOOSE( CONTROL!$C$33, 14.395, 14.3935) * CHOOSE(CONTROL!$C$16, $D$10, 100%, $F$10)</f>
        <v>14.395</v>
      </c>
      <c r="K524" s="4"/>
      <c r="L524" s="9">
        <v>30.7165</v>
      </c>
      <c r="M524" s="9">
        <v>12.063700000000001</v>
      </c>
      <c r="N524" s="9">
        <v>4.9444999999999997</v>
      </c>
      <c r="O524" s="9">
        <v>0.37409999999999999</v>
      </c>
      <c r="P524" s="9">
        <v>1.2927</v>
      </c>
      <c r="Q524" s="9">
        <v>19.688099999999999</v>
      </c>
      <c r="R524" s="9"/>
      <c r="S524" s="11"/>
    </row>
    <row r="525" spans="1:19" ht="15" customHeight="1">
      <c r="A525" s="13">
        <v>57161</v>
      </c>
      <c r="B525" s="8">
        <f>CHOOSE( CONTROL!$C$33, 14.6122, 14.6106) * CHOOSE(CONTROL!$C$16, $D$10, 100%, $F$10)</f>
        <v>14.6122</v>
      </c>
      <c r="C525" s="8">
        <f>CHOOSE( CONTROL!$C$33, 14.6202, 14.6186) * CHOOSE(CONTROL!$C$16, $D$10, 100%, $F$10)</f>
        <v>14.620200000000001</v>
      </c>
      <c r="D525" s="8">
        <f>CHOOSE( CONTROL!$C$33, 14.6426, 14.641) * CHOOSE( CONTROL!$C$16, $D$10, 100%, $F$10)</f>
        <v>14.6426</v>
      </c>
      <c r="E525" s="12">
        <f>CHOOSE( CONTROL!$C$33, 14.6333, 14.6317) * CHOOSE( CONTROL!$C$16, $D$10, 100%, $F$10)</f>
        <v>14.6333</v>
      </c>
      <c r="F525" s="4">
        <f>CHOOSE( CONTROL!$C$33, 15.3891, 15.3875) * CHOOSE(CONTROL!$C$16, $D$10, 100%, $F$10)</f>
        <v>15.389099999999999</v>
      </c>
      <c r="G525" s="8">
        <f>CHOOSE( CONTROL!$C$33, 14.4694, 14.4679) * CHOOSE( CONTROL!$C$16, $D$10, 100%, $F$10)</f>
        <v>14.4694</v>
      </c>
      <c r="H525" s="4">
        <f>CHOOSE( CONTROL!$C$33, 15.4483, 15.4467) * CHOOSE(CONTROL!$C$16, $D$10, 100%, $F$10)</f>
        <v>15.4483</v>
      </c>
      <c r="I525" s="8">
        <f>CHOOSE( CONTROL!$C$33, 14.2869, 14.2854) * CHOOSE(CONTROL!$C$16, $D$10, 100%, $F$10)</f>
        <v>14.286899999999999</v>
      </c>
      <c r="J525" s="4">
        <f>CHOOSE( CONTROL!$C$33, 14.1636, 14.1621) * CHOOSE(CONTROL!$C$16, $D$10, 100%, $F$10)</f>
        <v>14.163600000000001</v>
      </c>
      <c r="K525" s="4"/>
      <c r="L525" s="9">
        <v>29.7257</v>
      </c>
      <c r="M525" s="9">
        <v>11.6745</v>
      </c>
      <c r="N525" s="9">
        <v>4.7850000000000001</v>
      </c>
      <c r="O525" s="9">
        <v>0.36199999999999999</v>
      </c>
      <c r="P525" s="9">
        <v>1.2509999999999999</v>
      </c>
      <c r="Q525" s="9">
        <v>19.053000000000001</v>
      </c>
      <c r="R525" s="9"/>
      <c r="S525" s="11"/>
    </row>
    <row r="526" spans="1:19" ht="15" customHeight="1">
      <c r="A526" s="13">
        <v>57192</v>
      </c>
      <c r="B526" s="8">
        <f>CHOOSE( CONTROL!$C$33, 15.2415, 15.24) * CHOOSE(CONTROL!$C$16, $D$10, 100%, $F$10)</f>
        <v>15.2415</v>
      </c>
      <c r="C526" s="8">
        <f>CHOOSE( CONTROL!$C$33, 15.2495, 15.248) * CHOOSE(CONTROL!$C$16, $D$10, 100%, $F$10)</f>
        <v>15.249499999999999</v>
      </c>
      <c r="D526" s="8">
        <f>CHOOSE( CONTROL!$C$33, 15.2722, 15.2706) * CHOOSE( CONTROL!$C$16, $D$10, 100%, $F$10)</f>
        <v>15.2722</v>
      </c>
      <c r="E526" s="12">
        <f>CHOOSE( CONTROL!$C$33, 15.2628, 15.2612) * CHOOSE( CONTROL!$C$16, $D$10, 100%, $F$10)</f>
        <v>15.2628</v>
      </c>
      <c r="F526" s="4">
        <f>CHOOSE( CONTROL!$C$33, 16.0185, 16.0169) * CHOOSE(CONTROL!$C$16, $D$10, 100%, $F$10)</f>
        <v>16.0185</v>
      </c>
      <c r="G526" s="8">
        <f>CHOOSE( CONTROL!$C$33, 15.0902, 15.0886) * CHOOSE( CONTROL!$C$16, $D$10, 100%, $F$10)</f>
        <v>15.090199999999999</v>
      </c>
      <c r="H526" s="4">
        <f>CHOOSE( CONTROL!$C$33, 16.0688, 16.0673) * CHOOSE(CONTROL!$C$16, $D$10, 100%, $F$10)</f>
        <v>16.0688</v>
      </c>
      <c r="I526" s="8">
        <f>CHOOSE( CONTROL!$C$33, 14.8974, 14.8959) * CHOOSE(CONTROL!$C$16, $D$10, 100%, $F$10)</f>
        <v>14.897399999999999</v>
      </c>
      <c r="J526" s="4">
        <f>CHOOSE( CONTROL!$C$33, 14.773, 14.7715) * CHOOSE(CONTROL!$C$16, $D$10, 100%, $F$10)</f>
        <v>14.773</v>
      </c>
      <c r="K526" s="4"/>
      <c r="L526" s="9">
        <v>30.7165</v>
      </c>
      <c r="M526" s="9">
        <v>12.063700000000001</v>
      </c>
      <c r="N526" s="9">
        <v>4.9444999999999997</v>
      </c>
      <c r="O526" s="9">
        <v>0.37409999999999999</v>
      </c>
      <c r="P526" s="9">
        <v>1.2927</v>
      </c>
      <c r="Q526" s="9">
        <v>19.688099999999999</v>
      </c>
      <c r="R526" s="9"/>
      <c r="S526" s="11"/>
    </row>
    <row r="527" spans="1:19" ht="15" customHeight="1">
      <c r="A527" s="13">
        <v>57223</v>
      </c>
      <c r="B527" s="8">
        <f>CHOOSE( CONTROL!$C$33, 14.064, 14.0624) * CHOOSE(CONTROL!$C$16, $D$10, 100%, $F$10)</f>
        <v>14.064</v>
      </c>
      <c r="C527" s="8">
        <f>CHOOSE( CONTROL!$C$33, 14.072, 14.0704) * CHOOSE(CONTROL!$C$16, $D$10, 100%, $F$10)</f>
        <v>14.071999999999999</v>
      </c>
      <c r="D527" s="8">
        <f>CHOOSE( CONTROL!$C$33, 14.0946, 14.0931) * CHOOSE( CONTROL!$C$16, $D$10, 100%, $F$10)</f>
        <v>14.0946</v>
      </c>
      <c r="E527" s="12">
        <f>CHOOSE( CONTROL!$C$33, 14.0852, 14.0837) * CHOOSE( CONTROL!$C$16, $D$10, 100%, $F$10)</f>
        <v>14.0852</v>
      </c>
      <c r="F527" s="4">
        <f>CHOOSE( CONTROL!$C$33, 14.8409, 14.8393) * CHOOSE(CONTROL!$C$16, $D$10, 100%, $F$10)</f>
        <v>14.8409</v>
      </c>
      <c r="G527" s="8">
        <f>CHOOSE( CONTROL!$C$33, 13.9291, 13.9275) * CHOOSE( CONTROL!$C$16, $D$10, 100%, $F$10)</f>
        <v>13.9291</v>
      </c>
      <c r="H527" s="4">
        <f>CHOOSE( CONTROL!$C$33, 14.9077, 14.9061) * CHOOSE(CONTROL!$C$16, $D$10, 100%, $F$10)</f>
        <v>14.9077</v>
      </c>
      <c r="I527" s="8">
        <f>CHOOSE( CONTROL!$C$33, 13.7568, 13.7553) * CHOOSE(CONTROL!$C$16, $D$10, 100%, $F$10)</f>
        <v>13.7568</v>
      </c>
      <c r="J527" s="4">
        <f>CHOOSE( CONTROL!$C$33, 13.6327, 13.6312) * CHOOSE(CONTROL!$C$16, $D$10, 100%, $F$10)</f>
        <v>13.6327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1.2927</v>
      </c>
      <c r="Q527" s="9">
        <v>19.688099999999999</v>
      </c>
      <c r="R527" s="9"/>
      <c r="S527" s="11"/>
    </row>
    <row r="528" spans="1:19" ht="15" customHeight="1">
      <c r="A528" s="13">
        <v>57253</v>
      </c>
      <c r="B528" s="8">
        <f>CHOOSE( CONTROL!$C$33, 13.7691, 13.7675) * CHOOSE(CONTROL!$C$16, $D$10, 100%, $F$10)</f>
        <v>13.7691</v>
      </c>
      <c r="C528" s="8">
        <f>CHOOSE( CONTROL!$C$33, 13.7771, 13.7755) * CHOOSE(CONTROL!$C$16, $D$10, 100%, $F$10)</f>
        <v>13.777100000000001</v>
      </c>
      <c r="D528" s="8">
        <f>CHOOSE( CONTROL!$C$33, 13.7996, 13.7981) * CHOOSE( CONTROL!$C$16, $D$10, 100%, $F$10)</f>
        <v>13.7996</v>
      </c>
      <c r="E528" s="12">
        <f>CHOOSE( CONTROL!$C$33, 13.7902, 13.7887) * CHOOSE( CONTROL!$C$16, $D$10, 100%, $F$10)</f>
        <v>13.7902</v>
      </c>
      <c r="F528" s="4">
        <f>CHOOSE( CONTROL!$C$33, 14.546, 14.5444) * CHOOSE(CONTROL!$C$16, $D$10, 100%, $F$10)</f>
        <v>14.545999999999999</v>
      </c>
      <c r="G528" s="8">
        <f>CHOOSE( CONTROL!$C$33, 13.6382, 13.6367) * CHOOSE( CONTROL!$C$16, $D$10, 100%, $F$10)</f>
        <v>13.638199999999999</v>
      </c>
      <c r="H528" s="4">
        <f>CHOOSE( CONTROL!$C$33, 14.6169, 14.6154) * CHOOSE(CONTROL!$C$16, $D$10, 100%, $F$10)</f>
        <v>14.616899999999999</v>
      </c>
      <c r="I528" s="8">
        <f>CHOOSE( CONTROL!$C$33, 13.4707, 13.4691) * CHOOSE(CONTROL!$C$16, $D$10, 100%, $F$10)</f>
        <v>13.470700000000001</v>
      </c>
      <c r="J528" s="4">
        <f>CHOOSE( CONTROL!$C$33, 13.3472, 13.3457) * CHOOSE(CONTROL!$C$16, $D$10, 100%, $F$10)</f>
        <v>13.347200000000001</v>
      </c>
      <c r="K528" s="4"/>
      <c r="L528" s="9">
        <v>29.7257</v>
      </c>
      <c r="M528" s="9">
        <v>11.6745</v>
      </c>
      <c r="N528" s="9">
        <v>4.7850000000000001</v>
      </c>
      <c r="O528" s="9">
        <v>0.36199999999999999</v>
      </c>
      <c r="P528" s="9">
        <v>1.2509999999999999</v>
      </c>
      <c r="Q528" s="9">
        <v>19.053000000000001</v>
      </c>
      <c r="R528" s="9"/>
      <c r="S528" s="11"/>
    </row>
    <row r="529" spans="1:19" ht="15" customHeight="1">
      <c r="A529" s="13">
        <v>57284</v>
      </c>
      <c r="B529" s="8">
        <f>CHOOSE( CONTROL!$C$33, 14.3792, 14.3781) * CHOOSE(CONTROL!$C$16, $D$10, 100%, $F$10)</f>
        <v>14.379200000000001</v>
      </c>
      <c r="C529" s="8">
        <f>CHOOSE( CONTROL!$C$33, 14.3845, 14.3834) * CHOOSE(CONTROL!$C$16, $D$10, 100%, $F$10)</f>
        <v>14.384499999999999</v>
      </c>
      <c r="D529" s="8">
        <f>CHOOSE( CONTROL!$C$33, 14.4133, 14.4122) * CHOOSE( CONTROL!$C$16, $D$10, 100%, $F$10)</f>
        <v>14.4133</v>
      </c>
      <c r="E529" s="12">
        <f>CHOOSE( CONTROL!$C$33, 14.4032, 14.4021) * CHOOSE( CONTROL!$C$16, $D$10, 100%, $F$10)</f>
        <v>14.4032</v>
      </c>
      <c r="F529" s="4">
        <f>CHOOSE( CONTROL!$C$33, 15.1578, 15.1567) * CHOOSE(CONTROL!$C$16, $D$10, 100%, $F$10)</f>
        <v>15.1578</v>
      </c>
      <c r="G529" s="8">
        <f>CHOOSE( CONTROL!$C$33, 14.2416, 14.2405) * CHOOSE( CONTROL!$C$16, $D$10, 100%, $F$10)</f>
        <v>14.2416</v>
      </c>
      <c r="H529" s="4">
        <f>CHOOSE( CONTROL!$C$33, 15.2202, 15.2191) * CHOOSE(CONTROL!$C$16, $D$10, 100%, $F$10)</f>
        <v>15.2202</v>
      </c>
      <c r="I529" s="8">
        <f>CHOOSE( CONTROL!$C$33, 14.064, 14.0629) * CHOOSE(CONTROL!$C$16, $D$10, 100%, $F$10)</f>
        <v>14.064</v>
      </c>
      <c r="J529" s="4">
        <f>CHOOSE( CONTROL!$C$33, 13.9396, 13.9385) * CHOOSE(CONTROL!$C$16, $D$10, 100%, $F$10)</f>
        <v>13.9396</v>
      </c>
      <c r="K529" s="4"/>
      <c r="L529" s="9">
        <v>31.095300000000002</v>
      </c>
      <c r="M529" s="9">
        <v>12.063700000000001</v>
      </c>
      <c r="N529" s="9">
        <v>4.9444999999999997</v>
      </c>
      <c r="O529" s="9">
        <v>0.37409999999999999</v>
      </c>
      <c r="P529" s="9">
        <v>1.2927</v>
      </c>
      <c r="Q529" s="9">
        <v>19.688099999999999</v>
      </c>
      <c r="R529" s="9"/>
      <c r="S529" s="11"/>
    </row>
    <row r="530" spans="1:19" ht="15" customHeight="1">
      <c r="A530" s="13">
        <v>57314</v>
      </c>
      <c r="B530" s="8">
        <f>CHOOSE( CONTROL!$C$33, 15.5089, 15.5078) * CHOOSE(CONTROL!$C$16, $D$10, 100%, $F$10)</f>
        <v>15.508900000000001</v>
      </c>
      <c r="C530" s="8">
        <f>CHOOSE( CONTROL!$C$33, 15.514, 15.5129) * CHOOSE(CONTROL!$C$16, $D$10, 100%, $F$10)</f>
        <v>15.513999999999999</v>
      </c>
      <c r="D530" s="8">
        <f>CHOOSE( CONTROL!$C$33, 15.4937, 15.4926) * CHOOSE( CONTROL!$C$16, $D$10, 100%, $F$10)</f>
        <v>15.4937</v>
      </c>
      <c r="E530" s="12">
        <f>CHOOSE( CONTROL!$C$33, 15.5006, 15.4995) * CHOOSE( CONTROL!$C$16, $D$10, 100%, $F$10)</f>
        <v>15.5006</v>
      </c>
      <c r="F530" s="4">
        <f>CHOOSE( CONTROL!$C$33, 16.1718, 16.1706) * CHOOSE(CONTROL!$C$16, $D$10, 100%, $F$10)</f>
        <v>16.171800000000001</v>
      </c>
      <c r="G530" s="8">
        <f>CHOOSE( CONTROL!$C$33, 15.3285, 15.3274) * CHOOSE( CONTROL!$C$16, $D$10, 100%, $F$10)</f>
        <v>15.3285</v>
      </c>
      <c r="H530" s="4">
        <f>CHOOSE( CONTROL!$C$33, 16.22, 16.2189) * CHOOSE(CONTROL!$C$16, $D$10, 100%, $F$10)</f>
        <v>16.22</v>
      </c>
      <c r="I530" s="8">
        <f>CHOOSE( CONTROL!$C$33, 15.2066, 15.2055) * CHOOSE(CONTROL!$C$16, $D$10, 100%, $F$10)</f>
        <v>15.2066</v>
      </c>
      <c r="J530" s="4">
        <f>CHOOSE( CONTROL!$C$33, 15.0339, 15.0328) * CHOOSE(CONTROL!$C$16, $D$10, 100%, $F$10)</f>
        <v>15.033899999999999</v>
      </c>
      <c r="K530" s="4"/>
      <c r="L530" s="9">
        <v>28.360600000000002</v>
      </c>
      <c r="M530" s="9">
        <v>11.6745</v>
      </c>
      <c r="N530" s="9">
        <v>4.7850000000000001</v>
      </c>
      <c r="O530" s="9">
        <v>0.36199999999999999</v>
      </c>
      <c r="P530" s="9">
        <v>1.2509999999999999</v>
      </c>
      <c r="Q530" s="9">
        <v>19.053000000000001</v>
      </c>
      <c r="R530" s="9"/>
      <c r="S530" s="11"/>
    </row>
    <row r="531" spans="1:19" ht="15" customHeight="1">
      <c r="A531" s="13">
        <v>57345</v>
      </c>
      <c r="B531" s="8">
        <f>CHOOSE( CONTROL!$C$33, 15.4807, 15.4795) * CHOOSE(CONTROL!$C$16, $D$10, 100%, $F$10)</f>
        <v>15.480700000000001</v>
      </c>
      <c r="C531" s="8">
        <f>CHOOSE( CONTROL!$C$33, 15.4858, 15.4846) * CHOOSE(CONTROL!$C$16, $D$10, 100%, $F$10)</f>
        <v>15.485799999999999</v>
      </c>
      <c r="D531" s="8">
        <f>CHOOSE( CONTROL!$C$33, 15.4669, 15.4658) * CHOOSE( CONTROL!$C$16, $D$10, 100%, $F$10)</f>
        <v>15.466900000000001</v>
      </c>
      <c r="E531" s="12">
        <f>CHOOSE( CONTROL!$C$33, 15.4733, 15.4721) * CHOOSE( CONTROL!$C$16, $D$10, 100%, $F$10)</f>
        <v>15.4733</v>
      </c>
      <c r="F531" s="4">
        <f>CHOOSE( CONTROL!$C$33, 16.1435, 16.1424) * CHOOSE(CONTROL!$C$16, $D$10, 100%, $F$10)</f>
        <v>16.1435</v>
      </c>
      <c r="G531" s="8">
        <f>CHOOSE( CONTROL!$C$33, 15.3017, 15.3006) * CHOOSE( CONTROL!$C$16, $D$10, 100%, $F$10)</f>
        <v>15.3017</v>
      </c>
      <c r="H531" s="4">
        <f>CHOOSE( CONTROL!$C$33, 16.1922, 16.191) * CHOOSE(CONTROL!$C$16, $D$10, 100%, $F$10)</f>
        <v>16.1922</v>
      </c>
      <c r="I531" s="8">
        <f>CHOOSE( CONTROL!$C$33, 15.1838, 15.1827) * CHOOSE(CONTROL!$C$16, $D$10, 100%, $F$10)</f>
        <v>15.1838</v>
      </c>
      <c r="J531" s="4">
        <f>CHOOSE( CONTROL!$C$33, 15.0066, 15.0055) * CHOOSE(CONTROL!$C$16, $D$10, 100%, $F$10)</f>
        <v>15.006600000000001</v>
      </c>
      <c r="K531" s="4"/>
      <c r="L531" s="9">
        <v>29.306000000000001</v>
      </c>
      <c r="M531" s="9">
        <v>12.063700000000001</v>
      </c>
      <c r="N531" s="9">
        <v>4.9444999999999997</v>
      </c>
      <c r="O531" s="9">
        <v>0.37409999999999999</v>
      </c>
      <c r="P531" s="9">
        <v>1.2927</v>
      </c>
      <c r="Q531" s="9">
        <v>19.688099999999999</v>
      </c>
      <c r="R531" s="9"/>
      <c r="S531" s="11"/>
    </row>
    <row r="532" spans="1:19" ht="15" customHeight="1">
      <c r="A532" s="13">
        <v>57376</v>
      </c>
      <c r="B532" s="8">
        <f>CHOOSE( CONTROL!$C$33, 15.9378, 15.9366) * CHOOSE(CONTROL!$C$16, $D$10, 100%, $F$10)</f>
        <v>15.937799999999999</v>
      </c>
      <c r="C532" s="8">
        <f>CHOOSE( CONTROL!$C$33, 15.9429, 15.9417) * CHOOSE(CONTROL!$C$16, $D$10, 100%, $F$10)</f>
        <v>15.9429</v>
      </c>
      <c r="D532" s="8">
        <f>CHOOSE( CONTROL!$C$33, 15.9352, 15.9341) * CHOOSE( CONTROL!$C$16, $D$10, 100%, $F$10)</f>
        <v>15.9352</v>
      </c>
      <c r="E532" s="12">
        <f>CHOOSE( CONTROL!$C$33, 15.9375, 15.9363) * CHOOSE( CONTROL!$C$16, $D$10, 100%, $F$10)</f>
        <v>15.9375</v>
      </c>
      <c r="F532" s="4">
        <f>CHOOSE( CONTROL!$C$33, 16.6006, 16.5995) * CHOOSE(CONTROL!$C$16, $D$10, 100%, $F$10)</f>
        <v>16.6006</v>
      </c>
      <c r="G532" s="8">
        <f>CHOOSE( CONTROL!$C$33, 15.7583, 15.7572) * CHOOSE( CONTROL!$C$16, $D$10, 100%, $F$10)</f>
        <v>15.7583</v>
      </c>
      <c r="H532" s="4">
        <f>CHOOSE( CONTROL!$C$33, 16.6429, 16.6418) * CHOOSE(CONTROL!$C$16, $D$10, 100%, $F$10)</f>
        <v>16.642900000000001</v>
      </c>
      <c r="I532" s="8">
        <f>CHOOSE( CONTROL!$C$33, 15.6179, 15.6168) * CHOOSE(CONTROL!$C$16, $D$10, 100%, $F$10)</f>
        <v>15.617900000000001</v>
      </c>
      <c r="J532" s="4">
        <f>CHOOSE( CONTROL!$C$33, 15.4492, 15.4481) * CHOOSE(CONTROL!$C$16, $D$10, 100%, $F$10)</f>
        <v>15.449199999999999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" customHeight="1">
      <c r="A533" s="13">
        <v>57404</v>
      </c>
      <c r="B533" s="8">
        <f>CHOOSE( CONTROL!$C$33, 14.9064, 14.9053) * CHOOSE(CONTROL!$C$16, $D$10, 100%, $F$10)</f>
        <v>14.9064</v>
      </c>
      <c r="C533" s="8">
        <f>CHOOSE( CONTROL!$C$33, 14.9115, 14.9104) * CHOOSE(CONTROL!$C$16, $D$10, 100%, $F$10)</f>
        <v>14.9115</v>
      </c>
      <c r="D533" s="8">
        <f>CHOOSE( CONTROL!$C$33, 14.9037, 14.9025) * CHOOSE( CONTROL!$C$16, $D$10, 100%, $F$10)</f>
        <v>14.903700000000001</v>
      </c>
      <c r="E533" s="12">
        <f>CHOOSE( CONTROL!$C$33, 14.906, 14.9048) * CHOOSE( CONTROL!$C$16, $D$10, 100%, $F$10)</f>
        <v>14.906000000000001</v>
      </c>
      <c r="F533" s="4">
        <f>CHOOSE( CONTROL!$C$33, 15.5692, 15.5681) * CHOOSE(CONTROL!$C$16, $D$10, 100%, $F$10)</f>
        <v>15.5692</v>
      </c>
      <c r="G533" s="8">
        <f>CHOOSE( CONTROL!$C$33, 14.7411, 14.74) * CHOOSE( CONTROL!$C$16, $D$10, 100%, $F$10)</f>
        <v>14.741099999999999</v>
      </c>
      <c r="H533" s="4">
        <f>CHOOSE( CONTROL!$C$33, 15.6259, 15.6248) * CHOOSE(CONTROL!$C$16, $D$10, 100%, $F$10)</f>
        <v>15.6259</v>
      </c>
      <c r="I533" s="8">
        <f>CHOOSE( CONTROL!$C$33, 14.6181, 14.617) * CHOOSE(CONTROL!$C$16, $D$10, 100%, $F$10)</f>
        <v>14.6181</v>
      </c>
      <c r="J533" s="4">
        <f>CHOOSE( CONTROL!$C$33, 14.4505, 14.4494) * CHOOSE(CONTROL!$C$16, $D$10, 100%, $F$10)</f>
        <v>14.4505</v>
      </c>
      <c r="K533" s="4"/>
      <c r="L533" s="9">
        <v>26.469899999999999</v>
      </c>
      <c r="M533" s="9">
        <v>10.8962</v>
      </c>
      <c r="N533" s="9">
        <v>4.4660000000000002</v>
      </c>
      <c r="O533" s="9">
        <v>0.33789999999999998</v>
      </c>
      <c r="P533" s="9">
        <v>1.1676</v>
      </c>
      <c r="Q533" s="9">
        <v>17.782800000000002</v>
      </c>
      <c r="R533" s="9"/>
      <c r="S533" s="11"/>
    </row>
    <row r="534" spans="1:19" ht="15" customHeight="1">
      <c r="A534" s="13">
        <v>57435</v>
      </c>
      <c r="B534" s="8">
        <f>CHOOSE( CONTROL!$C$33, 14.5887, 14.5876) * CHOOSE(CONTROL!$C$16, $D$10, 100%, $F$10)</f>
        <v>14.588699999999999</v>
      </c>
      <c r="C534" s="8">
        <f>CHOOSE( CONTROL!$C$33, 14.5938, 14.5927) * CHOOSE(CONTROL!$C$16, $D$10, 100%, $F$10)</f>
        <v>14.5938</v>
      </c>
      <c r="D534" s="8">
        <f>CHOOSE( CONTROL!$C$33, 14.5853, 14.5841) * CHOOSE( CONTROL!$C$16, $D$10, 100%, $F$10)</f>
        <v>14.5853</v>
      </c>
      <c r="E534" s="12">
        <f>CHOOSE( CONTROL!$C$33, 14.5879, 14.5867) * CHOOSE( CONTROL!$C$16, $D$10, 100%, $F$10)</f>
        <v>14.587899999999999</v>
      </c>
      <c r="F534" s="4">
        <f>CHOOSE( CONTROL!$C$33, 15.2516, 15.2505) * CHOOSE(CONTROL!$C$16, $D$10, 100%, $F$10)</f>
        <v>15.2516</v>
      </c>
      <c r="G534" s="8">
        <f>CHOOSE( CONTROL!$C$33, 14.4274, 14.4263) * CHOOSE( CONTROL!$C$16, $D$10, 100%, $F$10)</f>
        <v>14.4274</v>
      </c>
      <c r="H534" s="4">
        <f>CHOOSE( CONTROL!$C$33, 15.3127, 15.3115) * CHOOSE(CONTROL!$C$16, $D$10, 100%, $F$10)</f>
        <v>15.3127</v>
      </c>
      <c r="I534" s="8">
        <f>CHOOSE( CONTROL!$C$33, 14.3081, 14.307) * CHOOSE(CONTROL!$C$16, $D$10, 100%, $F$10)</f>
        <v>14.3081</v>
      </c>
      <c r="J534" s="4">
        <f>CHOOSE( CONTROL!$C$33, 14.1429, 14.1418) * CHOOSE(CONTROL!$C$16, $D$10, 100%, $F$10)</f>
        <v>14.142899999999999</v>
      </c>
      <c r="K534" s="4"/>
      <c r="L534" s="9">
        <v>29.306000000000001</v>
      </c>
      <c r="M534" s="9">
        <v>12.063700000000001</v>
      </c>
      <c r="N534" s="9">
        <v>4.9444999999999997</v>
      </c>
      <c r="O534" s="9">
        <v>0.37409999999999999</v>
      </c>
      <c r="P534" s="9">
        <v>1.2927</v>
      </c>
      <c r="Q534" s="9">
        <v>19.688099999999999</v>
      </c>
      <c r="R534" s="9"/>
      <c r="S534" s="11"/>
    </row>
    <row r="535" spans="1:19" ht="15" customHeight="1">
      <c r="A535" s="13">
        <v>57465</v>
      </c>
      <c r="B535" s="8">
        <f>CHOOSE( CONTROL!$C$33, 14.8115, 14.8103) * CHOOSE(CONTROL!$C$16, $D$10, 100%, $F$10)</f>
        <v>14.811500000000001</v>
      </c>
      <c r="C535" s="8">
        <f>CHOOSE( CONTROL!$C$33, 14.816, 14.8149) * CHOOSE(CONTROL!$C$16, $D$10, 100%, $F$10)</f>
        <v>14.816000000000001</v>
      </c>
      <c r="D535" s="8">
        <f>CHOOSE( CONTROL!$C$33, 14.8449, 14.8437) * CHOOSE( CONTROL!$C$16, $D$10, 100%, $F$10)</f>
        <v>14.844900000000001</v>
      </c>
      <c r="E535" s="12">
        <f>CHOOSE( CONTROL!$C$33, 14.8348, 14.8337) * CHOOSE( CONTROL!$C$16, $D$10, 100%, $F$10)</f>
        <v>14.8348</v>
      </c>
      <c r="F535" s="4">
        <f>CHOOSE( CONTROL!$C$33, 15.5897, 15.5886) * CHOOSE(CONTROL!$C$16, $D$10, 100%, $F$10)</f>
        <v>15.589700000000001</v>
      </c>
      <c r="G535" s="8">
        <f>CHOOSE( CONTROL!$C$33, 14.6672, 14.6661) * CHOOSE( CONTROL!$C$16, $D$10, 100%, $F$10)</f>
        <v>14.667199999999999</v>
      </c>
      <c r="H535" s="4">
        <f>CHOOSE( CONTROL!$C$33, 15.6461, 15.645) * CHOOSE(CONTROL!$C$16, $D$10, 100%, $F$10)</f>
        <v>15.646100000000001</v>
      </c>
      <c r="I535" s="8">
        <f>CHOOSE( CONTROL!$C$33, 14.4811, 14.48) * CHOOSE(CONTROL!$C$16, $D$10, 100%, $F$10)</f>
        <v>14.4811</v>
      </c>
      <c r="J535" s="4">
        <f>CHOOSE( CONTROL!$C$33, 14.3579, 14.3568) * CHOOSE(CONTROL!$C$16, $D$10, 100%, $F$10)</f>
        <v>14.357900000000001</v>
      </c>
      <c r="K535" s="4"/>
      <c r="L535" s="9">
        <v>30.092199999999998</v>
      </c>
      <c r="M535" s="9">
        <v>11.6745</v>
      </c>
      <c r="N535" s="9">
        <v>4.7850000000000001</v>
      </c>
      <c r="O535" s="9">
        <v>0.36199999999999999</v>
      </c>
      <c r="P535" s="9">
        <v>1.2509999999999999</v>
      </c>
      <c r="Q535" s="9">
        <v>19.053000000000001</v>
      </c>
      <c r="R535" s="9"/>
      <c r="S535" s="11"/>
    </row>
    <row r="536" spans="1:19" ht="15" customHeight="1">
      <c r="A536" s="13">
        <v>57496</v>
      </c>
      <c r="B536" s="8">
        <f>CHOOSE( CONTROL!$C$33, 15.2083, 15.2068) * CHOOSE(CONTROL!$C$16, $D$10, 100%, $F$10)</f>
        <v>15.208299999999999</v>
      </c>
      <c r="C536" s="8">
        <f>CHOOSE( CONTROL!$C$33, 15.2163, 15.2148) * CHOOSE(CONTROL!$C$16, $D$10, 100%, $F$10)</f>
        <v>15.2163</v>
      </c>
      <c r="D536" s="8">
        <f>CHOOSE( CONTROL!$C$33, 15.2386, 15.237) * CHOOSE( CONTROL!$C$16, $D$10, 100%, $F$10)</f>
        <v>15.2386</v>
      </c>
      <c r="E536" s="12">
        <f>CHOOSE( CONTROL!$C$33, 15.2293, 15.2277) * CHOOSE( CONTROL!$C$16, $D$10, 100%, $F$10)</f>
        <v>15.2293</v>
      </c>
      <c r="F536" s="4">
        <f>CHOOSE( CONTROL!$C$33, 15.9853, 15.9837) * CHOOSE(CONTROL!$C$16, $D$10, 100%, $F$10)</f>
        <v>15.985300000000001</v>
      </c>
      <c r="G536" s="8">
        <f>CHOOSE( CONTROL!$C$33, 15.0571, 15.0556) * CHOOSE( CONTROL!$C$16, $D$10, 100%, $F$10)</f>
        <v>15.0571</v>
      </c>
      <c r="H536" s="4">
        <f>CHOOSE( CONTROL!$C$33, 16.0361, 16.0345) * CHOOSE(CONTROL!$C$16, $D$10, 100%, $F$10)</f>
        <v>16.036100000000001</v>
      </c>
      <c r="I536" s="8">
        <f>CHOOSE( CONTROL!$C$33, 14.8639, 14.8624) * CHOOSE(CONTROL!$C$16, $D$10, 100%, $F$10)</f>
        <v>14.863899999999999</v>
      </c>
      <c r="J536" s="4">
        <f>CHOOSE( CONTROL!$C$33, 14.7408, 14.7393) * CHOOSE(CONTROL!$C$16, $D$10, 100%, $F$10)</f>
        <v>14.7408</v>
      </c>
      <c r="K536" s="4"/>
      <c r="L536" s="9">
        <v>30.7165</v>
      </c>
      <c r="M536" s="9">
        <v>12.063700000000001</v>
      </c>
      <c r="N536" s="9">
        <v>4.9444999999999997</v>
      </c>
      <c r="O536" s="9">
        <v>0.37409999999999999</v>
      </c>
      <c r="P536" s="9">
        <v>1.2927</v>
      </c>
      <c r="Q536" s="9">
        <v>19.688099999999999</v>
      </c>
      <c r="R536" s="9"/>
      <c r="S536" s="11"/>
    </row>
    <row r="537" spans="1:19" ht="15" customHeight="1">
      <c r="A537" s="13">
        <v>57526</v>
      </c>
      <c r="B537" s="8">
        <f>CHOOSE( CONTROL!$C$33, 14.9636, 14.962) * CHOOSE(CONTROL!$C$16, $D$10, 100%, $F$10)</f>
        <v>14.9636</v>
      </c>
      <c r="C537" s="8">
        <f>CHOOSE( CONTROL!$C$33, 14.9716, 14.97) * CHOOSE(CONTROL!$C$16, $D$10, 100%, $F$10)</f>
        <v>14.9716</v>
      </c>
      <c r="D537" s="8">
        <f>CHOOSE( CONTROL!$C$33, 14.994, 14.9924) * CHOOSE( CONTROL!$C$16, $D$10, 100%, $F$10)</f>
        <v>14.994</v>
      </c>
      <c r="E537" s="12">
        <f>CHOOSE( CONTROL!$C$33, 14.9847, 14.9831) * CHOOSE( CONTROL!$C$16, $D$10, 100%, $F$10)</f>
        <v>14.9847</v>
      </c>
      <c r="F537" s="4">
        <f>CHOOSE( CONTROL!$C$33, 15.7405, 15.739) * CHOOSE(CONTROL!$C$16, $D$10, 100%, $F$10)</f>
        <v>15.740500000000001</v>
      </c>
      <c r="G537" s="8">
        <f>CHOOSE( CONTROL!$C$33, 14.816, 14.8144) * CHOOSE( CONTROL!$C$16, $D$10, 100%, $F$10)</f>
        <v>14.816000000000001</v>
      </c>
      <c r="H537" s="4">
        <f>CHOOSE( CONTROL!$C$33, 15.7948, 15.7932) * CHOOSE(CONTROL!$C$16, $D$10, 100%, $F$10)</f>
        <v>15.7948</v>
      </c>
      <c r="I537" s="8">
        <f>CHOOSE( CONTROL!$C$33, 14.6274, 14.6259) * CHOOSE(CONTROL!$C$16, $D$10, 100%, $F$10)</f>
        <v>14.6274</v>
      </c>
      <c r="J537" s="4">
        <f>CHOOSE( CONTROL!$C$33, 14.5039, 14.5023) * CHOOSE(CONTROL!$C$16, $D$10, 100%, $F$10)</f>
        <v>14.5039</v>
      </c>
      <c r="K537" s="4"/>
      <c r="L537" s="9">
        <v>29.7257</v>
      </c>
      <c r="M537" s="9">
        <v>11.6745</v>
      </c>
      <c r="N537" s="9">
        <v>4.7850000000000001</v>
      </c>
      <c r="O537" s="9">
        <v>0.36199999999999999</v>
      </c>
      <c r="P537" s="9">
        <v>1.2509999999999999</v>
      </c>
      <c r="Q537" s="9">
        <v>19.053000000000001</v>
      </c>
      <c r="R537" s="9"/>
      <c r="S537" s="11"/>
    </row>
    <row r="538" spans="1:19" ht="15" customHeight="1">
      <c r="A538" s="13">
        <v>57557</v>
      </c>
      <c r="B538" s="8">
        <f>CHOOSE( CONTROL!$C$33, 15.6081, 15.6065) * CHOOSE(CONTROL!$C$16, $D$10, 100%, $F$10)</f>
        <v>15.6081</v>
      </c>
      <c r="C538" s="8">
        <f>CHOOSE( CONTROL!$C$33, 15.6161, 15.6145) * CHOOSE(CONTROL!$C$16, $D$10, 100%, $F$10)</f>
        <v>15.616099999999999</v>
      </c>
      <c r="D538" s="8">
        <f>CHOOSE( CONTROL!$C$33, 15.6387, 15.6371) * CHOOSE( CONTROL!$C$16, $D$10, 100%, $F$10)</f>
        <v>15.6387</v>
      </c>
      <c r="E538" s="12">
        <f>CHOOSE( CONTROL!$C$33, 15.6293, 15.6277) * CHOOSE( CONTROL!$C$16, $D$10, 100%, $F$10)</f>
        <v>15.629300000000001</v>
      </c>
      <c r="F538" s="4">
        <f>CHOOSE( CONTROL!$C$33, 16.385, 16.3834) * CHOOSE(CONTROL!$C$16, $D$10, 100%, $F$10)</f>
        <v>16.385000000000002</v>
      </c>
      <c r="G538" s="8">
        <f>CHOOSE( CONTROL!$C$33, 15.4516, 15.4501) * CHOOSE( CONTROL!$C$16, $D$10, 100%, $F$10)</f>
        <v>15.451599999999999</v>
      </c>
      <c r="H538" s="4">
        <f>CHOOSE( CONTROL!$C$33, 16.4303, 16.4287) * CHOOSE(CONTROL!$C$16, $D$10, 100%, $F$10)</f>
        <v>16.430299999999999</v>
      </c>
      <c r="I538" s="8">
        <f>CHOOSE( CONTROL!$C$33, 15.2525, 15.251) * CHOOSE(CONTROL!$C$16, $D$10, 100%, $F$10)</f>
        <v>15.2525</v>
      </c>
      <c r="J538" s="4">
        <f>CHOOSE( CONTROL!$C$33, 15.1279, 15.1264) * CHOOSE(CONTROL!$C$16, $D$10, 100%, $F$10)</f>
        <v>15.1279</v>
      </c>
      <c r="K538" s="4"/>
      <c r="L538" s="9">
        <v>30.7165</v>
      </c>
      <c r="M538" s="9">
        <v>12.063700000000001</v>
      </c>
      <c r="N538" s="9">
        <v>4.9444999999999997</v>
      </c>
      <c r="O538" s="9">
        <v>0.37409999999999999</v>
      </c>
      <c r="P538" s="9">
        <v>1.2927</v>
      </c>
      <c r="Q538" s="9">
        <v>19.688099999999999</v>
      </c>
      <c r="R538" s="9"/>
      <c r="S538" s="11"/>
    </row>
    <row r="539" spans="1:19" ht="15" customHeight="1">
      <c r="A539" s="13">
        <v>57588</v>
      </c>
      <c r="B539" s="8">
        <f>CHOOSE( CONTROL!$C$33, 14.4022, 14.4006) * CHOOSE(CONTROL!$C$16, $D$10, 100%, $F$10)</f>
        <v>14.402200000000001</v>
      </c>
      <c r="C539" s="8">
        <f>CHOOSE( CONTROL!$C$33, 14.4102, 14.4086) * CHOOSE(CONTROL!$C$16, $D$10, 100%, $F$10)</f>
        <v>14.4102</v>
      </c>
      <c r="D539" s="8">
        <f>CHOOSE( CONTROL!$C$33, 14.4329, 14.4313) * CHOOSE( CONTROL!$C$16, $D$10, 100%, $F$10)</f>
        <v>14.4329</v>
      </c>
      <c r="E539" s="12">
        <f>CHOOSE( CONTROL!$C$33, 14.4235, 14.4219) * CHOOSE( CONTROL!$C$16, $D$10, 100%, $F$10)</f>
        <v>14.423500000000001</v>
      </c>
      <c r="F539" s="4">
        <f>CHOOSE( CONTROL!$C$33, 15.1791, 15.1776) * CHOOSE(CONTROL!$C$16, $D$10, 100%, $F$10)</f>
        <v>15.1791</v>
      </c>
      <c r="G539" s="8">
        <f>CHOOSE( CONTROL!$C$33, 14.2626, 14.2611) * CHOOSE( CONTROL!$C$16, $D$10, 100%, $F$10)</f>
        <v>14.262600000000001</v>
      </c>
      <c r="H539" s="4">
        <f>CHOOSE( CONTROL!$C$33, 15.2412, 15.2397) * CHOOSE(CONTROL!$C$16, $D$10, 100%, $F$10)</f>
        <v>15.241199999999999</v>
      </c>
      <c r="I539" s="8">
        <f>CHOOSE( CONTROL!$C$33, 14.0845, 14.0829) * CHOOSE(CONTROL!$C$16, $D$10, 100%, $F$10)</f>
        <v>14.0845</v>
      </c>
      <c r="J539" s="4">
        <f>CHOOSE( CONTROL!$C$33, 13.9603, 13.9587) * CHOOSE(CONTROL!$C$16, $D$10, 100%, $F$10)</f>
        <v>13.9603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1.2927</v>
      </c>
      <c r="Q539" s="9">
        <v>19.688099999999999</v>
      </c>
      <c r="R539" s="9"/>
      <c r="S539" s="11"/>
    </row>
    <row r="540" spans="1:19" ht="15" customHeight="1">
      <c r="A540" s="13">
        <v>57618</v>
      </c>
      <c r="B540" s="8">
        <f>CHOOSE( CONTROL!$C$33, 14.1002, 14.0987) * CHOOSE(CONTROL!$C$16, $D$10, 100%, $F$10)</f>
        <v>14.100199999999999</v>
      </c>
      <c r="C540" s="8">
        <f>CHOOSE( CONTROL!$C$33, 14.1082, 14.1067) * CHOOSE(CONTROL!$C$16, $D$10, 100%, $F$10)</f>
        <v>14.1082</v>
      </c>
      <c r="D540" s="8">
        <f>CHOOSE( CONTROL!$C$33, 14.1308, 14.1292) * CHOOSE( CONTROL!$C$16, $D$10, 100%, $F$10)</f>
        <v>14.130800000000001</v>
      </c>
      <c r="E540" s="12">
        <f>CHOOSE( CONTROL!$C$33, 14.1214, 14.1198) * CHOOSE( CONTROL!$C$16, $D$10, 100%, $F$10)</f>
        <v>14.1214</v>
      </c>
      <c r="F540" s="4">
        <f>CHOOSE( CONTROL!$C$33, 14.8772, 14.8756) * CHOOSE(CONTROL!$C$16, $D$10, 100%, $F$10)</f>
        <v>14.8772</v>
      </c>
      <c r="G540" s="8">
        <f>CHOOSE( CONTROL!$C$33, 13.9648, 13.9632) * CHOOSE( CONTROL!$C$16, $D$10, 100%, $F$10)</f>
        <v>13.9648</v>
      </c>
      <c r="H540" s="4">
        <f>CHOOSE( CONTROL!$C$33, 14.9435, 14.9419) * CHOOSE(CONTROL!$C$16, $D$10, 100%, $F$10)</f>
        <v>14.9435</v>
      </c>
      <c r="I540" s="8">
        <f>CHOOSE( CONTROL!$C$33, 13.7915, 13.79) * CHOOSE(CONTROL!$C$16, $D$10, 100%, $F$10)</f>
        <v>13.791499999999999</v>
      </c>
      <c r="J540" s="4">
        <f>CHOOSE( CONTROL!$C$33, 13.6679, 13.6663) * CHOOSE(CONTROL!$C$16, $D$10, 100%, $F$10)</f>
        <v>13.667899999999999</v>
      </c>
      <c r="K540" s="4"/>
      <c r="L540" s="9">
        <v>29.7257</v>
      </c>
      <c r="M540" s="9">
        <v>11.6745</v>
      </c>
      <c r="N540" s="9">
        <v>4.7850000000000001</v>
      </c>
      <c r="O540" s="9">
        <v>0.36199999999999999</v>
      </c>
      <c r="P540" s="9">
        <v>1.2509999999999999</v>
      </c>
      <c r="Q540" s="9">
        <v>19.053000000000001</v>
      </c>
      <c r="R540" s="9"/>
      <c r="S540" s="11"/>
    </row>
    <row r="541" spans="1:19" ht="15" customHeight="1">
      <c r="A541" s="13">
        <v>57649</v>
      </c>
      <c r="B541" s="8">
        <f>CHOOSE( CONTROL!$C$33, 14.7251, 14.7239) * CHOOSE(CONTROL!$C$16, $D$10, 100%, $F$10)</f>
        <v>14.725099999999999</v>
      </c>
      <c r="C541" s="8">
        <f>CHOOSE( CONTROL!$C$33, 14.7304, 14.7293) * CHOOSE(CONTROL!$C$16, $D$10, 100%, $F$10)</f>
        <v>14.730399999999999</v>
      </c>
      <c r="D541" s="8">
        <f>CHOOSE( CONTROL!$C$33, 14.7592, 14.7581) * CHOOSE( CONTROL!$C$16, $D$10, 100%, $F$10)</f>
        <v>14.7592</v>
      </c>
      <c r="E541" s="12">
        <f>CHOOSE( CONTROL!$C$33, 14.7491, 14.748) * CHOOSE( CONTROL!$C$16, $D$10, 100%, $F$10)</f>
        <v>14.7491</v>
      </c>
      <c r="F541" s="4">
        <f>CHOOSE( CONTROL!$C$33, 15.5037, 15.5026) * CHOOSE(CONTROL!$C$16, $D$10, 100%, $F$10)</f>
        <v>15.5037</v>
      </c>
      <c r="G541" s="8">
        <f>CHOOSE( CONTROL!$C$33, 14.5827, 14.5815) * CHOOSE( CONTROL!$C$16, $D$10, 100%, $F$10)</f>
        <v>14.582700000000001</v>
      </c>
      <c r="H541" s="4">
        <f>CHOOSE( CONTROL!$C$33, 15.5612, 15.5601) * CHOOSE(CONTROL!$C$16, $D$10, 100%, $F$10)</f>
        <v>15.561199999999999</v>
      </c>
      <c r="I541" s="8">
        <f>CHOOSE( CONTROL!$C$33, 14.399, 14.398) * CHOOSE(CONTROL!$C$16, $D$10, 100%, $F$10)</f>
        <v>14.398999999999999</v>
      </c>
      <c r="J541" s="4">
        <f>CHOOSE( CONTROL!$C$33, 14.2745, 14.2734) * CHOOSE(CONTROL!$C$16, $D$10, 100%, $F$10)</f>
        <v>14.2745</v>
      </c>
      <c r="K541" s="4"/>
      <c r="L541" s="9">
        <v>31.095300000000002</v>
      </c>
      <c r="M541" s="9">
        <v>12.063700000000001</v>
      </c>
      <c r="N541" s="9">
        <v>4.9444999999999997</v>
      </c>
      <c r="O541" s="9">
        <v>0.37409999999999999</v>
      </c>
      <c r="P541" s="9">
        <v>1.2927</v>
      </c>
      <c r="Q541" s="9">
        <v>19.688099999999999</v>
      </c>
      <c r="R541" s="9"/>
      <c r="S541" s="11"/>
    </row>
    <row r="542" spans="1:19" ht="15" customHeight="1">
      <c r="A542" s="13">
        <v>57679</v>
      </c>
      <c r="B542" s="8">
        <f>CHOOSE( CONTROL!$C$33, 15.8819, 15.8808) * CHOOSE(CONTROL!$C$16, $D$10, 100%, $F$10)</f>
        <v>15.8819</v>
      </c>
      <c r="C542" s="8">
        <f>CHOOSE( CONTROL!$C$33, 15.887, 15.8859) * CHOOSE(CONTROL!$C$16, $D$10, 100%, $F$10)</f>
        <v>15.887</v>
      </c>
      <c r="D542" s="8">
        <f>CHOOSE( CONTROL!$C$33, 15.8667, 15.8656) * CHOOSE( CONTROL!$C$16, $D$10, 100%, $F$10)</f>
        <v>15.8667</v>
      </c>
      <c r="E542" s="12">
        <f>CHOOSE( CONTROL!$C$33, 15.8736, 15.8725) * CHOOSE( CONTROL!$C$16, $D$10, 100%, $F$10)</f>
        <v>15.8736</v>
      </c>
      <c r="F542" s="4">
        <f>CHOOSE( CONTROL!$C$33, 16.5448, 16.5437) * CHOOSE(CONTROL!$C$16, $D$10, 100%, $F$10)</f>
        <v>16.544799999999999</v>
      </c>
      <c r="G542" s="8">
        <f>CHOOSE( CONTROL!$C$33, 15.6963, 15.6952) * CHOOSE( CONTROL!$C$16, $D$10, 100%, $F$10)</f>
        <v>15.696300000000001</v>
      </c>
      <c r="H542" s="4">
        <f>CHOOSE( CONTROL!$C$33, 16.5878, 16.5867) * CHOOSE(CONTROL!$C$16, $D$10, 100%, $F$10)</f>
        <v>16.587800000000001</v>
      </c>
      <c r="I542" s="8">
        <f>CHOOSE( CONTROL!$C$33, 15.568, 15.5669) * CHOOSE(CONTROL!$C$16, $D$10, 100%, $F$10)</f>
        <v>15.568</v>
      </c>
      <c r="J542" s="4">
        <f>CHOOSE( CONTROL!$C$33, 15.3951, 15.394) * CHOOSE(CONTROL!$C$16, $D$10, 100%, $F$10)</f>
        <v>15.395099999999999</v>
      </c>
      <c r="K542" s="4"/>
      <c r="L542" s="9">
        <v>28.360600000000002</v>
      </c>
      <c r="M542" s="9">
        <v>11.6745</v>
      </c>
      <c r="N542" s="9">
        <v>4.7850000000000001</v>
      </c>
      <c r="O542" s="9">
        <v>0.36199999999999999</v>
      </c>
      <c r="P542" s="9">
        <v>1.2509999999999999</v>
      </c>
      <c r="Q542" s="9">
        <v>19.053000000000001</v>
      </c>
      <c r="R542" s="9"/>
      <c r="S542" s="11"/>
    </row>
    <row r="543" spans="1:19" ht="15" customHeight="1">
      <c r="A543" s="13">
        <v>57710</v>
      </c>
      <c r="B543" s="8">
        <f>CHOOSE( CONTROL!$C$33, 15.853, 15.8519) * CHOOSE(CONTROL!$C$16, $D$10, 100%, $F$10)</f>
        <v>15.853</v>
      </c>
      <c r="C543" s="8">
        <f>CHOOSE( CONTROL!$C$33, 15.8581, 15.857) * CHOOSE(CONTROL!$C$16, $D$10, 100%, $F$10)</f>
        <v>15.8581</v>
      </c>
      <c r="D543" s="8">
        <f>CHOOSE( CONTROL!$C$33, 15.8392, 15.8381) * CHOOSE( CONTROL!$C$16, $D$10, 100%, $F$10)</f>
        <v>15.8392</v>
      </c>
      <c r="E543" s="12">
        <f>CHOOSE( CONTROL!$C$33, 15.8456, 15.8445) * CHOOSE( CONTROL!$C$16, $D$10, 100%, $F$10)</f>
        <v>15.845599999999999</v>
      </c>
      <c r="F543" s="4">
        <f>CHOOSE( CONTROL!$C$33, 16.5159, 16.5148) * CHOOSE(CONTROL!$C$16, $D$10, 100%, $F$10)</f>
        <v>16.515899999999998</v>
      </c>
      <c r="G543" s="8">
        <f>CHOOSE( CONTROL!$C$33, 15.6688, 15.6677) * CHOOSE( CONTROL!$C$16, $D$10, 100%, $F$10)</f>
        <v>15.668799999999999</v>
      </c>
      <c r="H543" s="4">
        <f>CHOOSE( CONTROL!$C$33, 16.5593, 16.5582) * CHOOSE(CONTROL!$C$16, $D$10, 100%, $F$10)</f>
        <v>16.5593</v>
      </c>
      <c r="I543" s="8">
        <f>CHOOSE( CONTROL!$C$33, 15.5445, 15.5434) * CHOOSE(CONTROL!$C$16, $D$10, 100%, $F$10)</f>
        <v>15.544499999999999</v>
      </c>
      <c r="J543" s="4">
        <f>CHOOSE( CONTROL!$C$33, 15.3671, 15.366) * CHOOSE(CONTROL!$C$16, $D$10, 100%, $F$10)</f>
        <v>15.367100000000001</v>
      </c>
      <c r="K543" s="4"/>
      <c r="L543" s="9">
        <v>29.306000000000001</v>
      </c>
      <c r="M543" s="9">
        <v>12.063700000000001</v>
      </c>
      <c r="N543" s="9">
        <v>4.9444999999999997</v>
      </c>
      <c r="O543" s="9">
        <v>0.37409999999999999</v>
      </c>
      <c r="P543" s="9">
        <v>1.2927</v>
      </c>
      <c r="Q543" s="9">
        <v>19.688099999999999</v>
      </c>
      <c r="R543" s="9"/>
      <c r="S543" s="11"/>
    </row>
    <row r="544" spans="1:19" ht="15" customHeight="1">
      <c r="A544" s="13">
        <v>57741</v>
      </c>
      <c r="B544" s="8">
        <f>CHOOSE( CONTROL!$C$33, 16.3211, 16.32) * CHOOSE(CONTROL!$C$16, $D$10, 100%, $F$10)</f>
        <v>16.321100000000001</v>
      </c>
      <c r="C544" s="8">
        <f>CHOOSE( CONTROL!$C$33, 16.3262, 16.3251) * CHOOSE(CONTROL!$C$16, $D$10, 100%, $F$10)</f>
        <v>16.3262</v>
      </c>
      <c r="D544" s="8">
        <f>CHOOSE( CONTROL!$C$33, 16.3186, 16.3174) * CHOOSE( CONTROL!$C$16, $D$10, 100%, $F$10)</f>
        <v>16.3186</v>
      </c>
      <c r="E544" s="12">
        <f>CHOOSE( CONTROL!$C$33, 16.3208, 16.3197) * CHOOSE( CONTROL!$C$16, $D$10, 100%, $F$10)</f>
        <v>16.320799999999998</v>
      </c>
      <c r="F544" s="4">
        <f>CHOOSE( CONTROL!$C$33, 16.984, 16.9828) * CHOOSE(CONTROL!$C$16, $D$10, 100%, $F$10)</f>
        <v>16.984000000000002</v>
      </c>
      <c r="G544" s="8">
        <f>CHOOSE( CONTROL!$C$33, 16.1363, 16.1351) * CHOOSE( CONTROL!$C$16, $D$10, 100%, $F$10)</f>
        <v>16.136299999999999</v>
      </c>
      <c r="H544" s="4">
        <f>CHOOSE( CONTROL!$C$33, 17.0209, 17.0198) * CHOOSE(CONTROL!$C$16, $D$10, 100%, $F$10)</f>
        <v>17.020900000000001</v>
      </c>
      <c r="I544" s="8">
        <f>CHOOSE( CONTROL!$C$33, 15.9892, 15.9881) * CHOOSE(CONTROL!$C$16, $D$10, 100%, $F$10)</f>
        <v>15.9892</v>
      </c>
      <c r="J544" s="4">
        <f>CHOOSE( CONTROL!$C$33, 15.8204, 15.8193) * CHOOSE(CONTROL!$C$16, $D$10, 100%, $F$10)</f>
        <v>15.820399999999999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" customHeight="1">
      <c r="A545" s="13">
        <v>57769</v>
      </c>
      <c r="B545" s="8">
        <f>CHOOSE( CONTROL!$C$33, 15.2649, 15.2638) * CHOOSE(CONTROL!$C$16, $D$10, 100%, $F$10)</f>
        <v>15.264900000000001</v>
      </c>
      <c r="C545" s="8">
        <f>CHOOSE( CONTROL!$C$33, 15.27, 15.2689) * CHOOSE(CONTROL!$C$16, $D$10, 100%, $F$10)</f>
        <v>15.27</v>
      </c>
      <c r="D545" s="8">
        <f>CHOOSE( CONTROL!$C$33, 15.2622, 15.2611) * CHOOSE( CONTROL!$C$16, $D$10, 100%, $F$10)</f>
        <v>15.2622</v>
      </c>
      <c r="E545" s="12">
        <f>CHOOSE( CONTROL!$C$33, 15.2645, 15.2634) * CHOOSE( CONTROL!$C$16, $D$10, 100%, $F$10)</f>
        <v>15.2645</v>
      </c>
      <c r="F545" s="4">
        <f>CHOOSE( CONTROL!$C$33, 15.9278, 15.9267) * CHOOSE(CONTROL!$C$16, $D$10, 100%, $F$10)</f>
        <v>15.9278</v>
      </c>
      <c r="G545" s="8">
        <f>CHOOSE( CONTROL!$C$33, 15.0947, 15.0936) * CHOOSE( CONTROL!$C$16, $D$10, 100%, $F$10)</f>
        <v>15.0947</v>
      </c>
      <c r="H545" s="4">
        <f>CHOOSE( CONTROL!$C$33, 15.9794, 15.9783) * CHOOSE(CONTROL!$C$16, $D$10, 100%, $F$10)</f>
        <v>15.9794</v>
      </c>
      <c r="I545" s="8">
        <f>CHOOSE( CONTROL!$C$33, 14.9655, 14.9644) * CHOOSE(CONTROL!$C$16, $D$10, 100%, $F$10)</f>
        <v>14.9655</v>
      </c>
      <c r="J545" s="4">
        <f>CHOOSE( CONTROL!$C$33, 14.7977, 14.7966) * CHOOSE(CONTROL!$C$16, $D$10, 100%, $F$10)</f>
        <v>14.797700000000001</v>
      </c>
      <c r="K545" s="4"/>
      <c r="L545" s="9">
        <v>26.469899999999999</v>
      </c>
      <c r="M545" s="9">
        <v>10.8962</v>
      </c>
      <c r="N545" s="9">
        <v>4.4660000000000002</v>
      </c>
      <c r="O545" s="9">
        <v>0.33789999999999998</v>
      </c>
      <c r="P545" s="9">
        <v>1.1676</v>
      </c>
      <c r="Q545" s="9">
        <v>17.782800000000002</v>
      </c>
      <c r="R545" s="9"/>
      <c r="S545" s="11"/>
    </row>
    <row r="546" spans="1:19" ht="15" customHeight="1">
      <c r="A546" s="13">
        <v>57800</v>
      </c>
      <c r="B546" s="8">
        <f>CHOOSE( CONTROL!$C$33, 14.9396, 14.9385) * CHOOSE(CONTROL!$C$16, $D$10, 100%, $F$10)</f>
        <v>14.9396</v>
      </c>
      <c r="C546" s="8">
        <f>CHOOSE( CONTROL!$C$33, 14.9447, 14.9436) * CHOOSE(CONTROL!$C$16, $D$10, 100%, $F$10)</f>
        <v>14.944699999999999</v>
      </c>
      <c r="D546" s="8">
        <f>CHOOSE( CONTROL!$C$33, 14.9362, 14.9351) * CHOOSE( CONTROL!$C$16, $D$10, 100%, $F$10)</f>
        <v>14.936199999999999</v>
      </c>
      <c r="E546" s="12">
        <f>CHOOSE( CONTROL!$C$33, 14.9388, 14.9377) * CHOOSE( CONTROL!$C$16, $D$10, 100%, $F$10)</f>
        <v>14.938800000000001</v>
      </c>
      <c r="F546" s="4">
        <f>CHOOSE( CONTROL!$C$33, 15.6025, 15.6014) * CHOOSE(CONTROL!$C$16, $D$10, 100%, $F$10)</f>
        <v>15.602499999999999</v>
      </c>
      <c r="G546" s="8">
        <f>CHOOSE( CONTROL!$C$33, 14.7734, 14.7723) * CHOOSE( CONTROL!$C$16, $D$10, 100%, $F$10)</f>
        <v>14.773400000000001</v>
      </c>
      <c r="H546" s="4">
        <f>CHOOSE( CONTROL!$C$33, 15.6587, 15.6576) * CHOOSE(CONTROL!$C$16, $D$10, 100%, $F$10)</f>
        <v>15.6587</v>
      </c>
      <c r="I546" s="8">
        <f>CHOOSE( CONTROL!$C$33, 14.648, 14.6469) * CHOOSE(CONTROL!$C$16, $D$10, 100%, $F$10)</f>
        <v>14.648</v>
      </c>
      <c r="J546" s="4">
        <f>CHOOSE( CONTROL!$C$33, 14.4827, 14.4816) * CHOOSE(CONTROL!$C$16, $D$10, 100%, $F$10)</f>
        <v>14.482699999999999</v>
      </c>
      <c r="K546" s="4"/>
      <c r="L546" s="9">
        <v>29.306000000000001</v>
      </c>
      <c r="M546" s="9">
        <v>12.063700000000001</v>
      </c>
      <c r="N546" s="9">
        <v>4.9444999999999997</v>
      </c>
      <c r="O546" s="9">
        <v>0.37409999999999999</v>
      </c>
      <c r="P546" s="9">
        <v>1.2927</v>
      </c>
      <c r="Q546" s="9">
        <v>19.688099999999999</v>
      </c>
      <c r="R546" s="9"/>
      <c r="S546" s="11"/>
    </row>
    <row r="547" spans="1:19" ht="15" customHeight="1">
      <c r="A547" s="13">
        <v>57830</v>
      </c>
      <c r="B547" s="8">
        <f>CHOOSE( CONTROL!$C$33, 15.1677, 15.1666) * CHOOSE(CONTROL!$C$16, $D$10, 100%, $F$10)</f>
        <v>15.1677</v>
      </c>
      <c r="C547" s="8">
        <f>CHOOSE( CONTROL!$C$33, 15.1722, 15.1711) * CHOOSE(CONTROL!$C$16, $D$10, 100%, $F$10)</f>
        <v>15.1722</v>
      </c>
      <c r="D547" s="8">
        <f>CHOOSE( CONTROL!$C$33, 15.2011, 15.2) * CHOOSE( CONTROL!$C$16, $D$10, 100%, $F$10)</f>
        <v>15.2011</v>
      </c>
      <c r="E547" s="12">
        <f>CHOOSE( CONTROL!$C$33, 15.191, 15.1899) * CHOOSE( CONTROL!$C$16, $D$10, 100%, $F$10)</f>
        <v>15.191000000000001</v>
      </c>
      <c r="F547" s="4">
        <f>CHOOSE( CONTROL!$C$33, 15.946, 15.9449) * CHOOSE(CONTROL!$C$16, $D$10, 100%, $F$10)</f>
        <v>15.946</v>
      </c>
      <c r="G547" s="8">
        <f>CHOOSE( CONTROL!$C$33, 15.0185, 15.0174) * CHOOSE( CONTROL!$C$16, $D$10, 100%, $F$10)</f>
        <v>15.0185</v>
      </c>
      <c r="H547" s="4">
        <f>CHOOSE( CONTROL!$C$33, 15.9974, 15.9963) * CHOOSE(CONTROL!$C$16, $D$10, 100%, $F$10)</f>
        <v>15.997400000000001</v>
      </c>
      <c r="I547" s="8">
        <f>CHOOSE( CONTROL!$C$33, 14.8262, 14.8252) * CHOOSE(CONTROL!$C$16, $D$10, 100%, $F$10)</f>
        <v>14.8262</v>
      </c>
      <c r="J547" s="4">
        <f>CHOOSE( CONTROL!$C$33, 14.7028, 14.7017) * CHOOSE(CONTROL!$C$16, $D$10, 100%, $F$10)</f>
        <v>14.7028</v>
      </c>
      <c r="K547" s="4"/>
      <c r="L547" s="9">
        <v>30.092199999999998</v>
      </c>
      <c r="M547" s="9">
        <v>11.6745</v>
      </c>
      <c r="N547" s="9">
        <v>4.7850000000000001</v>
      </c>
      <c r="O547" s="9">
        <v>0.36199999999999999</v>
      </c>
      <c r="P547" s="9">
        <v>1.2509999999999999</v>
      </c>
      <c r="Q547" s="9">
        <v>19.053000000000001</v>
      </c>
      <c r="R547" s="9"/>
      <c r="S547" s="11"/>
    </row>
    <row r="548" spans="1:19" ht="15" customHeight="1">
      <c r="A548" s="13">
        <v>57861</v>
      </c>
      <c r="B548" s="8">
        <f>CHOOSE( CONTROL!$C$33, 15.5741, 15.5725) * CHOOSE(CONTROL!$C$16, $D$10, 100%, $F$10)</f>
        <v>15.5741</v>
      </c>
      <c r="C548" s="8">
        <f>CHOOSE( CONTROL!$C$33, 15.5821, 15.5805) * CHOOSE(CONTROL!$C$16, $D$10, 100%, $F$10)</f>
        <v>15.582100000000001</v>
      </c>
      <c r="D548" s="8">
        <f>CHOOSE( CONTROL!$C$33, 15.6043, 15.6027) * CHOOSE( CONTROL!$C$16, $D$10, 100%, $F$10)</f>
        <v>15.6043</v>
      </c>
      <c r="E548" s="12">
        <f>CHOOSE( CONTROL!$C$33, 15.595, 15.5934) * CHOOSE( CONTROL!$C$16, $D$10, 100%, $F$10)</f>
        <v>15.595000000000001</v>
      </c>
      <c r="F548" s="4">
        <f>CHOOSE( CONTROL!$C$33, 16.351, 16.3494) * CHOOSE(CONTROL!$C$16, $D$10, 100%, $F$10)</f>
        <v>16.350999999999999</v>
      </c>
      <c r="G548" s="8">
        <f>CHOOSE( CONTROL!$C$33, 15.4178, 15.4162) * CHOOSE( CONTROL!$C$16, $D$10, 100%, $F$10)</f>
        <v>15.4178</v>
      </c>
      <c r="H548" s="4">
        <f>CHOOSE( CONTROL!$C$33, 16.3967, 16.3952) * CHOOSE(CONTROL!$C$16, $D$10, 100%, $F$10)</f>
        <v>16.396699999999999</v>
      </c>
      <c r="I548" s="8">
        <f>CHOOSE( CONTROL!$C$33, 15.2182, 15.2167) * CHOOSE(CONTROL!$C$16, $D$10, 100%, $F$10)</f>
        <v>15.2182</v>
      </c>
      <c r="J548" s="4">
        <f>CHOOSE( CONTROL!$C$33, 15.095, 15.0935) * CHOOSE(CONTROL!$C$16, $D$10, 100%, $F$10)</f>
        <v>15.095000000000001</v>
      </c>
      <c r="K548" s="4"/>
      <c r="L548" s="9">
        <v>30.7165</v>
      </c>
      <c r="M548" s="9">
        <v>12.063700000000001</v>
      </c>
      <c r="N548" s="9">
        <v>4.9444999999999997</v>
      </c>
      <c r="O548" s="9">
        <v>0.37409999999999999</v>
      </c>
      <c r="P548" s="9">
        <v>1.2927</v>
      </c>
      <c r="Q548" s="9">
        <v>19.688099999999999</v>
      </c>
      <c r="R548" s="9"/>
      <c r="S548" s="11"/>
    </row>
    <row r="549" spans="1:19" ht="15" customHeight="1">
      <c r="A549" s="13">
        <v>57891</v>
      </c>
      <c r="B549" s="8">
        <f>CHOOSE( CONTROL!$C$33, 15.3235, 15.3219) * CHOOSE(CONTROL!$C$16, $D$10, 100%, $F$10)</f>
        <v>15.323499999999999</v>
      </c>
      <c r="C549" s="8">
        <f>CHOOSE( CONTROL!$C$33, 15.3315, 15.3299) * CHOOSE(CONTROL!$C$16, $D$10, 100%, $F$10)</f>
        <v>15.3315</v>
      </c>
      <c r="D549" s="8">
        <f>CHOOSE( CONTROL!$C$33, 15.3539, 15.3523) * CHOOSE( CONTROL!$C$16, $D$10, 100%, $F$10)</f>
        <v>15.353899999999999</v>
      </c>
      <c r="E549" s="12">
        <f>CHOOSE( CONTROL!$C$33, 15.3446, 15.343) * CHOOSE( CONTROL!$C$16, $D$10, 100%, $F$10)</f>
        <v>15.3446</v>
      </c>
      <c r="F549" s="4">
        <f>CHOOSE( CONTROL!$C$33, 16.1004, 16.0988) * CHOOSE(CONTROL!$C$16, $D$10, 100%, $F$10)</f>
        <v>16.1004</v>
      </c>
      <c r="G549" s="8">
        <f>CHOOSE( CONTROL!$C$33, 15.1708, 15.1692) * CHOOSE( CONTROL!$C$16, $D$10, 100%, $F$10)</f>
        <v>15.1708</v>
      </c>
      <c r="H549" s="4">
        <f>CHOOSE( CONTROL!$C$33, 16.1496, 16.1481) * CHOOSE(CONTROL!$C$16, $D$10, 100%, $F$10)</f>
        <v>16.1496</v>
      </c>
      <c r="I549" s="8">
        <f>CHOOSE( CONTROL!$C$33, 14.976, 14.9745) * CHOOSE(CONTROL!$C$16, $D$10, 100%, $F$10)</f>
        <v>14.976000000000001</v>
      </c>
      <c r="J549" s="4">
        <f>CHOOSE( CONTROL!$C$33, 14.8523, 14.8508) * CHOOSE(CONTROL!$C$16, $D$10, 100%, $F$10)</f>
        <v>14.8523</v>
      </c>
      <c r="K549" s="4"/>
      <c r="L549" s="9">
        <v>29.7257</v>
      </c>
      <c r="M549" s="9">
        <v>11.6745</v>
      </c>
      <c r="N549" s="9">
        <v>4.7850000000000001</v>
      </c>
      <c r="O549" s="9">
        <v>0.36199999999999999</v>
      </c>
      <c r="P549" s="9">
        <v>1.2509999999999999</v>
      </c>
      <c r="Q549" s="9">
        <v>19.053000000000001</v>
      </c>
      <c r="R549" s="9"/>
      <c r="S549" s="11"/>
    </row>
    <row r="550" spans="1:19" ht="15" customHeight="1">
      <c r="A550" s="13">
        <v>57922</v>
      </c>
      <c r="B550" s="8">
        <f>CHOOSE( CONTROL!$C$33, 15.9834, 15.9819) * CHOOSE(CONTROL!$C$16, $D$10, 100%, $F$10)</f>
        <v>15.9834</v>
      </c>
      <c r="C550" s="8">
        <f>CHOOSE( CONTROL!$C$33, 15.9914, 15.9899) * CHOOSE(CONTROL!$C$16, $D$10, 100%, $F$10)</f>
        <v>15.991400000000001</v>
      </c>
      <c r="D550" s="8">
        <f>CHOOSE( CONTROL!$C$33, 16.014, 16.0125) * CHOOSE( CONTROL!$C$16, $D$10, 100%, $F$10)</f>
        <v>16.013999999999999</v>
      </c>
      <c r="E550" s="12">
        <f>CHOOSE( CONTROL!$C$33, 16.0046, 16.0031) * CHOOSE( CONTROL!$C$16, $D$10, 100%, $F$10)</f>
        <v>16.0046</v>
      </c>
      <c r="F550" s="4">
        <f>CHOOSE( CONTROL!$C$33, 16.7603, 16.7588) * CHOOSE(CONTROL!$C$16, $D$10, 100%, $F$10)</f>
        <v>16.760300000000001</v>
      </c>
      <c r="G550" s="8">
        <f>CHOOSE( CONTROL!$C$33, 15.8217, 15.8202) * CHOOSE( CONTROL!$C$16, $D$10, 100%, $F$10)</f>
        <v>15.8217</v>
      </c>
      <c r="H550" s="4">
        <f>CHOOSE( CONTROL!$C$33, 16.8004, 16.7988) * CHOOSE(CONTROL!$C$16, $D$10, 100%, $F$10)</f>
        <v>16.8004</v>
      </c>
      <c r="I550" s="8">
        <f>CHOOSE( CONTROL!$C$33, 15.6161, 15.6146) * CHOOSE(CONTROL!$C$16, $D$10, 100%, $F$10)</f>
        <v>15.616099999999999</v>
      </c>
      <c r="J550" s="4">
        <f>CHOOSE( CONTROL!$C$33, 15.4913, 15.4898) * CHOOSE(CONTROL!$C$16, $D$10, 100%, $F$10)</f>
        <v>15.491300000000001</v>
      </c>
      <c r="K550" s="4"/>
      <c r="L550" s="9">
        <v>30.7165</v>
      </c>
      <c r="M550" s="9">
        <v>12.063700000000001</v>
      </c>
      <c r="N550" s="9">
        <v>4.9444999999999997</v>
      </c>
      <c r="O550" s="9">
        <v>0.37409999999999999</v>
      </c>
      <c r="P550" s="9">
        <v>1.2927</v>
      </c>
      <c r="Q550" s="9">
        <v>19.688099999999999</v>
      </c>
      <c r="R550" s="9"/>
      <c r="S550" s="11"/>
    </row>
    <row r="551" spans="1:19" ht="15" customHeight="1">
      <c r="A551" s="13">
        <v>57953</v>
      </c>
      <c r="B551" s="8">
        <f>CHOOSE( CONTROL!$C$33, 14.7486, 14.747) * CHOOSE(CONTROL!$C$16, $D$10, 100%, $F$10)</f>
        <v>14.7486</v>
      </c>
      <c r="C551" s="8">
        <f>CHOOSE( CONTROL!$C$33, 14.7566, 14.755) * CHOOSE(CONTROL!$C$16, $D$10, 100%, $F$10)</f>
        <v>14.756600000000001</v>
      </c>
      <c r="D551" s="8">
        <f>CHOOSE( CONTROL!$C$33, 14.7792, 14.7777) * CHOOSE( CONTROL!$C$16, $D$10, 100%, $F$10)</f>
        <v>14.779199999999999</v>
      </c>
      <c r="E551" s="12">
        <f>CHOOSE( CONTROL!$C$33, 14.7698, 14.7683) * CHOOSE( CONTROL!$C$16, $D$10, 100%, $F$10)</f>
        <v>14.7698</v>
      </c>
      <c r="F551" s="4">
        <f>CHOOSE( CONTROL!$C$33, 15.5255, 15.5239) * CHOOSE(CONTROL!$C$16, $D$10, 100%, $F$10)</f>
        <v>15.525499999999999</v>
      </c>
      <c r="G551" s="8">
        <f>CHOOSE( CONTROL!$C$33, 14.6041, 14.6026) * CHOOSE( CONTROL!$C$16, $D$10, 100%, $F$10)</f>
        <v>14.604100000000001</v>
      </c>
      <c r="H551" s="4">
        <f>CHOOSE( CONTROL!$C$33, 15.5827, 15.5812) * CHOOSE(CONTROL!$C$16, $D$10, 100%, $F$10)</f>
        <v>15.582700000000001</v>
      </c>
      <c r="I551" s="8">
        <f>CHOOSE( CONTROL!$C$33, 14.42, 14.4185) * CHOOSE(CONTROL!$C$16, $D$10, 100%, $F$10)</f>
        <v>14.42</v>
      </c>
      <c r="J551" s="4">
        <f>CHOOSE( CONTROL!$C$33, 14.2956, 14.2941) * CHOOSE(CONTROL!$C$16, $D$10, 100%, $F$10)</f>
        <v>14.2956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1.2927</v>
      </c>
      <c r="Q551" s="9">
        <v>19.688099999999999</v>
      </c>
      <c r="R551" s="9"/>
      <c r="S551" s="11"/>
    </row>
    <row r="552" spans="1:19" ht="15" customHeight="1">
      <c r="A552" s="13">
        <v>57983</v>
      </c>
      <c r="B552" s="8">
        <f>CHOOSE( CONTROL!$C$33, 14.4394, 14.4378) * CHOOSE(CONTROL!$C$16, $D$10, 100%, $F$10)</f>
        <v>14.439399999999999</v>
      </c>
      <c r="C552" s="8">
        <f>CHOOSE( CONTROL!$C$33, 14.4474, 14.4458) * CHOOSE(CONTROL!$C$16, $D$10, 100%, $F$10)</f>
        <v>14.4474</v>
      </c>
      <c r="D552" s="8">
        <f>CHOOSE( CONTROL!$C$33, 14.4699, 14.4683) * CHOOSE( CONTROL!$C$16, $D$10, 100%, $F$10)</f>
        <v>14.469900000000001</v>
      </c>
      <c r="E552" s="12">
        <f>CHOOSE( CONTROL!$C$33, 14.4605, 14.4589) * CHOOSE( CONTROL!$C$16, $D$10, 100%, $F$10)</f>
        <v>14.4605</v>
      </c>
      <c r="F552" s="4">
        <f>CHOOSE( CONTROL!$C$33, 15.2163, 15.2147) * CHOOSE(CONTROL!$C$16, $D$10, 100%, $F$10)</f>
        <v>15.2163</v>
      </c>
      <c r="G552" s="8">
        <f>CHOOSE( CONTROL!$C$33, 14.2991, 14.2976) * CHOOSE( CONTROL!$C$16, $D$10, 100%, $F$10)</f>
        <v>14.299099999999999</v>
      </c>
      <c r="H552" s="4">
        <f>CHOOSE( CONTROL!$C$33, 15.2778, 15.2763) * CHOOSE(CONTROL!$C$16, $D$10, 100%, $F$10)</f>
        <v>15.277799999999999</v>
      </c>
      <c r="I552" s="8">
        <f>CHOOSE( CONTROL!$C$33, 14.12, 14.1185) * CHOOSE(CONTROL!$C$16, $D$10, 100%, $F$10)</f>
        <v>14.12</v>
      </c>
      <c r="J552" s="4">
        <f>CHOOSE( CONTROL!$C$33, 13.9962, 13.9947) * CHOOSE(CONTROL!$C$16, $D$10, 100%, $F$10)</f>
        <v>13.9962</v>
      </c>
      <c r="K552" s="4"/>
      <c r="L552" s="9">
        <v>29.7257</v>
      </c>
      <c r="M552" s="9">
        <v>11.6745</v>
      </c>
      <c r="N552" s="9">
        <v>4.7850000000000001</v>
      </c>
      <c r="O552" s="9">
        <v>0.36199999999999999</v>
      </c>
      <c r="P552" s="9">
        <v>1.2509999999999999</v>
      </c>
      <c r="Q552" s="9">
        <v>19.053000000000001</v>
      </c>
      <c r="R552" s="9"/>
      <c r="S552" s="11"/>
    </row>
    <row r="553" spans="1:19" ht="15" customHeight="1">
      <c r="A553" s="13">
        <v>58014</v>
      </c>
      <c r="B553" s="8">
        <f>CHOOSE( CONTROL!$C$33, 15.0792, 15.0781) * CHOOSE(CONTROL!$C$16, $D$10, 100%, $F$10)</f>
        <v>15.0792</v>
      </c>
      <c r="C553" s="8">
        <f>CHOOSE( CONTROL!$C$33, 15.0846, 15.0835) * CHOOSE(CONTROL!$C$16, $D$10, 100%, $F$10)</f>
        <v>15.0846</v>
      </c>
      <c r="D553" s="8">
        <f>CHOOSE( CONTROL!$C$33, 15.1134, 15.1122) * CHOOSE( CONTROL!$C$16, $D$10, 100%, $F$10)</f>
        <v>15.1134</v>
      </c>
      <c r="E553" s="12">
        <f>CHOOSE( CONTROL!$C$33, 15.1033, 15.1022) * CHOOSE( CONTROL!$C$16, $D$10, 100%, $F$10)</f>
        <v>15.103300000000001</v>
      </c>
      <c r="F553" s="4">
        <f>CHOOSE( CONTROL!$C$33, 15.8579, 15.8568) * CHOOSE(CONTROL!$C$16, $D$10, 100%, $F$10)</f>
        <v>15.857900000000001</v>
      </c>
      <c r="G553" s="8">
        <f>CHOOSE( CONTROL!$C$33, 14.9319, 14.9308) * CHOOSE( CONTROL!$C$16, $D$10, 100%, $F$10)</f>
        <v>14.931900000000001</v>
      </c>
      <c r="H553" s="4">
        <f>CHOOSE( CONTROL!$C$33, 15.9105, 15.9094) * CHOOSE(CONTROL!$C$16, $D$10, 100%, $F$10)</f>
        <v>15.910500000000001</v>
      </c>
      <c r="I553" s="8">
        <f>CHOOSE( CONTROL!$C$33, 14.7422, 14.7411) * CHOOSE(CONTROL!$C$16, $D$10, 100%, $F$10)</f>
        <v>14.7422</v>
      </c>
      <c r="J553" s="4">
        <f>CHOOSE( CONTROL!$C$33, 14.6175, 14.6164) * CHOOSE(CONTROL!$C$16, $D$10, 100%, $F$10)</f>
        <v>14.6175</v>
      </c>
      <c r="K553" s="4"/>
      <c r="L553" s="9">
        <v>31.095300000000002</v>
      </c>
      <c r="M553" s="9">
        <v>12.063700000000001</v>
      </c>
      <c r="N553" s="9">
        <v>4.9444999999999997</v>
      </c>
      <c r="O553" s="9">
        <v>0.37409999999999999</v>
      </c>
      <c r="P553" s="9">
        <v>1.2927</v>
      </c>
      <c r="Q553" s="9">
        <v>19.688099999999999</v>
      </c>
      <c r="R553" s="9"/>
      <c r="S553" s="11"/>
    </row>
    <row r="554" spans="1:19" ht="15" customHeight="1">
      <c r="A554" s="13">
        <v>58044</v>
      </c>
      <c r="B554" s="8">
        <f>CHOOSE( CONTROL!$C$33, 16.2639, 16.2628) * CHOOSE(CONTROL!$C$16, $D$10, 100%, $F$10)</f>
        <v>16.2639</v>
      </c>
      <c r="C554" s="8">
        <f>CHOOSE( CONTROL!$C$33, 16.269, 16.2679) * CHOOSE(CONTROL!$C$16, $D$10, 100%, $F$10)</f>
        <v>16.268999999999998</v>
      </c>
      <c r="D554" s="8">
        <f>CHOOSE( CONTROL!$C$33, 16.2487, 16.2476) * CHOOSE( CONTROL!$C$16, $D$10, 100%, $F$10)</f>
        <v>16.248699999999999</v>
      </c>
      <c r="E554" s="12">
        <f>CHOOSE( CONTROL!$C$33, 16.2556, 16.2545) * CHOOSE( CONTROL!$C$16, $D$10, 100%, $F$10)</f>
        <v>16.255600000000001</v>
      </c>
      <c r="F554" s="4">
        <f>CHOOSE( CONTROL!$C$33, 16.9268, 16.9257) * CHOOSE(CONTROL!$C$16, $D$10, 100%, $F$10)</f>
        <v>16.9268</v>
      </c>
      <c r="G554" s="8">
        <f>CHOOSE( CONTROL!$C$33, 16.073, 16.0719) * CHOOSE( CONTROL!$C$16, $D$10, 100%, $F$10)</f>
        <v>16.073</v>
      </c>
      <c r="H554" s="4">
        <f>CHOOSE( CONTROL!$C$33, 16.9645, 16.9634) * CHOOSE(CONTROL!$C$16, $D$10, 100%, $F$10)</f>
        <v>16.964500000000001</v>
      </c>
      <c r="I554" s="8">
        <f>CHOOSE( CONTROL!$C$33, 15.9381, 15.937) * CHOOSE(CONTROL!$C$16, $D$10, 100%, $F$10)</f>
        <v>15.9381</v>
      </c>
      <c r="J554" s="4">
        <f>CHOOSE( CONTROL!$C$33, 15.765, 15.7639) * CHOOSE(CONTROL!$C$16, $D$10, 100%, $F$10)</f>
        <v>15.765000000000001</v>
      </c>
      <c r="K554" s="4"/>
      <c r="L554" s="9">
        <v>28.360600000000002</v>
      </c>
      <c r="M554" s="9">
        <v>11.6745</v>
      </c>
      <c r="N554" s="9">
        <v>4.7850000000000001</v>
      </c>
      <c r="O554" s="9">
        <v>0.36199999999999999</v>
      </c>
      <c r="P554" s="9">
        <v>1.2509999999999999</v>
      </c>
      <c r="Q554" s="9">
        <v>19.053000000000001</v>
      </c>
      <c r="R554" s="9"/>
      <c r="S554" s="11"/>
    </row>
    <row r="555" spans="1:19" ht="15" customHeight="1">
      <c r="A555" s="13">
        <v>58075</v>
      </c>
      <c r="B555" s="8">
        <f>CHOOSE( CONTROL!$C$33, 16.2343, 16.2332) * CHOOSE(CONTROL!$C$16, $D$10, 100%, $F$10)</f>
        <v>16.234300000000001</v>
      </c>
      <c r="C555" s="8">
        <f>CHOOSE( CONTROL!$C$33, 16.2394, 16.2383) * CHOOSE(CONTROL!$C$16, $D$10, 100%, $F$10)</f>
        <v>16.2394</v>
      </c>
      <c r="D555" s="8">
        <f>CHOOSE( CONTROL!$C$33, 16.2205, 16.2194) * CHOOSE( CONTROL!$C$16, $D$10, 100%, $F$10)</f>
        <v>16.220500000000001</v>
      </c>
      <c r="E555" s="12">
        <f>CHOOSE( CONTROL!$C$33, 16.2269, 16.2258) * CHOOSE( CONTROL!$C$16, $D$10, 100%, $F$10)</f>
        <v>16.226900000000001</v>
      </c>
      <c r="F555" s="4">
        <f>CHOOSE( CONTROL!$C$33, 16.8972, 16.8961) * CHOOSE(CONTROL!$C$16, $D$10, 100%, $F$10)</f>
        <v>16.897200000000002</v>
      </c>
      <c r="G555" s="8">
        <f>CHOOSE( CONTROL!$C$33, 16.0448, 16.0437) * CHOOSE( CONTROL!$C$16, $D$10, 100%, $F$10)</f>
        <v>16.044799999999999</v>
      </c>
      <c r="H555" s="4">
        <f>CHOOSE( CONTROL!$C$33, 16.9353, 16.9342) * CHOOSE(CONTROL!$C$16, $D$10, 100%, $F$10)</f>
        <v>16.935300000000002</v>
      </c>
      <c r="I555" s="8">
        <f>CHOOSE( CONTROL!$C$33, 15.9139, 15.9128) * CHOOSE(CONTROL!$C$16, $D$10, 100%, $F$10)</f>
        <v>15.9139</v>
      </c>
      <c r="J555" s="4">
        <f>CHOOSE( CONTROL!$C$33, 15.7363, 15.7353) * CHOOSE(CONTROL!$C$16, $D$10, 100%, $F$10)</f>
        <v>15.7363</v>
      </c>
      <c r="K555" s="4"/>
      <c r="L555" s="9">
        <v>29.306000000000001</v>
      </c>
      <c r="M555" s="9">
        <v>12.063700000000001</v>
      </c>
      <c r="N555" s="9">
        <v>4.9444999999999997</v>
      </c>
      <c r="O555" s="9">
        <v>0.37409999999999999</v>
      </c>
      <c r="P555" s="9">
        <v>1.2927</v>
      </c>
      <c r="Q555" s="9">
        <v>19.688099999999999</v>
      </c>
      <c r="R555" s="9"/>
      <c r="S555" s="11"/>
    </row>
    <row r="556" spans="1:19" ht="15" customHeight="1">
      <c r="A556" s="13">
        <v>58106</v>
      </c>
      <c r="B556" s="8">
        <f>CHOOSE( CONTROL!$C$33, 16.7136, 16.7125) * CHOOSE(CONTROL!$C$16, $D$10, 100%, $F$10)</f>
        <v>16.7136</v>
      </c>
      <c r="C556" s="8">
        <f>CHOOSE( CONTROL!$C$33, 16.7187, 16.7176) * CHOOSE(CONTROL!$C$16, $D$10, 100%, $F$10)</f>
        <v>16.718699999999998</v>
      </c>
      <c r="D556" s="8">
        <f>CHOOSE( CONTROL!$C$33, 16.7111, 16.71) * CHOOSE( CONTROL!$C$16, $D$10, 100%, $F$10)</f>
        <v>16.711099999999998</v>
      </c>
      <c r="E556" s="12">
        <f>CHOOSE( CONTROL!$C$33, 16.7133, 16.7122) * CHOOSE( CONTROL!$C$16, $D$10, 100%, $F$10)</f>
        <v>16.7133</v>
      </c>
      <c r="F556" s="4">
        <f>CHOOSE( CONTROL!$C$33, 17.3765, 17.3754) * CHOOSE(CONTROL!$C$16, $D$10, 100%, $F$10)</f>
        <v>17.3765</v>
      </c>
      <c r="G556" s="8">
        <f>CHOOSE( CONTROL!$C$33, 16.5233, 16.5222) * CHOOSE( CONTROL!$C$16, $D$10, 100%, $F$10)</f>
        <v>16.523299999999999</v>
      </c>
      <c r="H556" s="4">
        <f>CHOOSE( CONTROL!$C$33, 17.4079, 17.4068) * CHOOSE(CONTROL!$C$16, $D$10, 100%, $F$10)</f>
        <v>17.407900000000001</v>
      </c>
      <c r="I556" s="8">
        <f>CHOOSE( CONTROL!$C$33, 16.3695, 16.3684) * CHOOSE(CONTROL!$C$16, $D$10, 100%, $F$10)</f>
        <v>16.369499999999999</v>
      </c>
      <c r="J556" s="4">
        <f>CHOOSE( CONTROL!$C$33, 16.2005, 16.1994) * CHOOSE(CONTROL!$C$16, $D$10, 100%, $F$10)</f>
        <v>16.200500000000002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" customHeight="1">
      <c r="A557" s="13">
        <v>58134</v>
      </c>
      <c r="B557" s="8">
        <f>CHOOSE( CONTROL!$C$33, 15.6321, 15.631) * CHOOSE(CONTROL!$C$16, $D$10, 100%, $F$10)</f>
        <v>15.632099999999999</v>
      </c>
      <c r="C557" s="8">
        <f>CHOOSE( CONTROL!$C$33, 15.6372, 15.6361) * CHOOSE(CONTROL!$C$16, $D$10, 100%, $F$10)</f>
        <v>15.6372</v>
      </c>
      <c r="D557" s="8">
        <f>CHOOSE( CONTROL!$C$33, 15.6294, 15.6282) * CHOOSE( CONTROL!$C$16, $D$10, 100%, $F$10)</f>
        <v>15.6294</v>
      </c>
      <c r="E557" s="12">
        <f>CHOOSE( CONTROL!$C$33, 15.6317, 15.6305) * CHOOSE( CONTROL!$C$16, $D$10, 100%, $F$10)</f>
        <v>15.6317</v>
      </c>
      <c r="F557" s="4">
        <f>CHOOSE( CONTROL!$C$33, 16.295, 16.2938) * CHOOSE(CONTROL!$C$16, $D$10, 100%, $F$10)</f>
        <v>16.295000000000002</v>
      </c>
      <c r="G557" s="8">
        <f>CHOOSE( CONTROL!$C$33, 15.4567, 15.4556) * CHOOSE( CONTROL!$C$16, $D$10, 100%, $F$10)</f>
        <v>15.4567</v>
      </c>
      <c r="H557" s="4">
        <f>CHOOSE( CONTROL!$C$33, 16.3415, 16.3404) * CHOOSE(CONTROL!$C$16, $D$10, 100%, $F$10)</f>
        <v>16.3415</v>
      </c>
      <c r="I557" s="8">
        <f>CHOOSE( CONTROL!$C$33, 15.3212, 15.3201) * CHOOSE(CONTROL!$C$16, $D$10, 100%, $F$10)</f>
        <v>15.321199999999999</v>
      </c>
      <c r="J557" s="4">
        <f>CHOOSE( CONTROL!$C$33, 15.1532, 15.1521) * CHOOSE(CONTROL!$C$16, $D$10, 100%, $F$10)</f>
        <v>15.1532</v>
      </c>
      <c r="K557" s="4"/>
      <c r="L557" s="9">
        <v>26.469899999999999</v>
      </c>
      <c r="M557" s="9">
        <v>10.8962</v>
      </c>
      <c r="N557" s="9">
        <v>4.4660000000000002</v>
      </c>
      <c r="O557" s="9">
        <v>0.33789999999999998</v>
      </c>
      <c r="P557" s="9">
        <v>1.1676</v>
      </c>
      <c r="Q557" s="9">
        <v>17.782800000000002</v>
      </c>
      <c r="R557" s="9"/>
      <c r="S557" s="11"/>
    </row>
    <row r="558" spans="1:19" ht="15" customHeight="1">
      <c r="A558" s="13">
        <v>58165</v>
      </c>
      <c r="B558" s="8">
        <f>CHOOSE( CONTROL!$C$33, 15.299, 15.2979) * CHOOSE(CONTROL!$C$16, $D$10, 100%, $F$10)</f>
        <v>15.298999999999999</v>
      </c>
      <c r="C558" s="8">
        <f>CHOOSE( CONTROL!$C$33, 15.3041, 15.303) * CHOOSE(CONTROL!$C$16, $D$10, 100%, $F$10)</f>
        <v>15.3041</v>
      </c>
      <c r="D558" s="8">
        <f>CHOOSE( CONTROL!$C$33, 15.2955, 15.2944) * CHOOSE( CONTROL!$C$16, $D$10, 100%, $F$10)</f>
        <v>15.295500000000001</v>
      </c>
      <c r="E558" s="12">
        <f>CHOOSE( CONTROL!$C$33, 15.2981, 15.297) * CHOOSE( CONTROL!$C$16, $D$10, 100%, $F$10)</f>
        <v>15.2981</v>
      </c>
      <c r="F558" s="4">
        <f>CHOOSE( CONTROL!$C$33, 15.9618, 15.9607) * CHOOSE(CONTROL!$C$16, $D$10, 100%, $F$10)</f>
        <v>15.9618</v>
      </c>
      <c r="G558" s="8">
        <f>CHOOSE( CONTROL!$C$33, 15.1277, 15.1266) * CHOOSE( CONTROL!$C$16, $D$10, 100%, $F$10)</f>
        <v>15.127700000000001</v>
      </c>
      <c r="H558" s="4">
        <f>CHOOSE( CONTROL!$C$33, 16.013, 16.0119) * CHOOSE(CONTROL!$C$16, $D$10, 100%, $F$10)</f>
        <v>16.013000000000002</v>
      </c>
      <c r="I558" s="8">
        <f>CHOOSE( CONTROL!$C$33, 14.9962, 14.9951) * CHOOSE(CONTROL!$C$16, $D$10, 100%, $F$10)</f>
        <v>14.9962</v>
      </c>
      <c r="J558" s="4">
        <f>CHOOSE( CONTROL!$C$33, 14.8307, 14.8296) * CHOOSE(CONTROL!$C$16, $D$10, 100%, $F$10)</f>
        <v>14.8307</v>
      </c>
      <c r="K558" s="4"/>
      <c r="L558" s="9">
        <v>29.306000000000001</v>
      </c>
      <c r="M558" s="9">
        <v>12.063700000000001</v>
      </c>
      <c r="N558" s="9">
        <v>4.9444999999999997</v>
      </c>
      <c r="O558" s="9">
        <v>0.37409999999999999</v>
      </c>
      <c r="P558" s="9">
        <v>1.2927</v>
      </c>
      <c r="Q558" s="9">
        <v>19.688099999999999</v>
      </c>
      <c r="R558" s="9"/>
      <c r="S558" s="11"/>
    </row>
    <row r="559" spans="1:19" ht="15" customHeight="1">
      <c r="A559" s="13">
        <v>58195</v>
      </c>
      <c r="B559" s="8">
        <f>CHOOSE( CONTROL!$C$33, 15.5325, 15.5314) * CHOOSE(CONTROL!$C$16, $D$10, 100%, $F$10)</f>
        <v>15.532500000000001</v>
      </c>
      <c r="C559" s="8">
        <f>CHOOSE( CONTROL!$C$33, 15.537, 15.5359) * CHOOSE(CONTROL!$C$16, $D$10, 100%, $F$10)</f>
        <v>15.537000000000001</v>
      </c>
      <c r="D559" s="8">
        <f>CHOOSE( CONTROL!$C$33, 15.5659, 15.5648) * CHOOSE( CONTROL!$C$16, $D$10, 100%, $F$10)</f>
        <v>15.565899999999999</v>
      </c>
      <c r="E559" s="12">
        <f>CHOOSE( CONTROL!$C$33, 15.5558, 15.5547) * CHOOSE( CONTROL!$C$16, $D$10, 100%, $F$10)</f>
        <v>15.5558</v>
      </c>
      <c r="F559" s="4">
        <f>CHOOSE( CONTROL!$C$33, 16.3108, 16.3097) * CHOOSE(CONTROL!$C$16, $D$10, 100%, $F$10)</f>
        <v>16.3108</v>
      </c>
      <c r="G559" s="8">
        <f>CHOOSE( CONTROL!$C$33, 15.3782, 15.3771) * CHOOSE( CONTROL!$C$16, $D$10, 100%, $F$10)</f>
        <v>15.3782</v>
      </c>
      <c r="H559" s="4">
        <f>CHOOSE( CONTROL!$C$33, 16.3571, 16.356) * CHOOSE(CONTROL!$C$16, $D$10, 100%, $F$10)</f>
        <v>16.357099999999999</v>
      </c>
      <c r="I559" s="8">
        <f>CHOOSE( CONTROL!$C$33, 15.1797, 15.1786) * CHOOSE(CONTROL!$C$16, $D$10, 100%, $F$10)</f>
        <v>15.1797</v>
      </c>
      <c r="J559" s="4">
        <f>CHOOSE( CONTROL!$C$33, 15.0561, 15.055) * CHOOSE(CONTROL!$C$16, $D$10, 100%, $F$10)</f>
        <v>15.056100000000001</v>
      </c>
      <c r="K559" s="4"/>
      <c r="L559" s="9">
        <v>30.092199999999998</v>
      </c>
      <c r="M559" s="9">
        <v>11.6745</v>
      </c>
      <c r="N559" s="9">
        <v>4.7850000000000001</v>
      </c>
      <c r="O559" s="9">
        <v>0.36199999999999999</v>
      </c>
      <c r="P559" s="9">
        <v>1.2509999999999999</v>
      </c>
      <c r="Q559" s="9">
        <v>19.053000000000001</v>
      </c>
      <c r="R559" s="9"/>
      <c r="S559" s="11"/>
    </row>
    <row r="560" spans="1:19" ht="15" customHeight="1">
      <c r="A560" s="13">
        <v>58226</v>
      </c>
      <c r="B560" s="8">
        <f>CHOOSE( CONTROL!$C$33, 15.9486, 15.947) * CHOOSE(CONTROL!$C$16, $D$10, 100%, $F$10)</f>
        <v>15.948600000000001</v>
      </c>
      <c r="C560" s="8">
        <f>CHOOSE( CONTROL!$C$33, 15.9566, 15.955) * CHOOSE(CONTROL!$C$16, $D$10, 100%, $F$10)</f>
        <v>15.9566</v>
      </c>
      <c r="D560" s="8">
        <f>CHOOSE( CONTROL!$C$33, 15.9788, 15.9773) * CHOOSE( CONTROL!$C$16, $D$10, 100%, $F$10)</f>
        <v>15.9788</v>
      </c>
      <c r="E560" s="12">
        <f>CHOOSE( CONTROL!$C$33, 15.9695, 15.968) * CHOOSE( CONTROL!$C$16, $D$10, 100%, $F$10)</f>
        <v>15.9695</v>
      </c>
      <c r="F560" s="4">
        <f>CHOOSE( CONTROL!$C$33, 16.7255, 16.724) * CHOOSE(CONTROL!$C$16, $D$10, 100%, $F$10)</f>
        <v>16.7255</v>
      </c>
      <c r="G560" s="8">
        <f>CHOOSE( CONTROL!$C$33, 15.7871, 15.7855) * CHOOSE( CONTROL!$C$16, $D$10, 100%, $F$10)</f>
        <v>15.787100000000001</v>
      </c>
      <c r="H560" s="4">
        <f>CHOOSE( CONTROL!$C$33, 16.766, 16.7645) * CHOOSE(CONTROL!$C$16, $D$10, 100%, $F$10)</f>
        <v>16.765999999999998</v>
      </c>
      <c r="I560" s="8">
        <f>CHOOSE( CONTROL!$C$33, 15.5811, 15.5795) * CHOOSE(CONTROL!$C$16, $D$10, 100%, $F$10)</f>
        <v>15.581099999999999</v>
      </c>
      <c r="J560" s="4">
        <f>CHOOSE( CONTROL!$C$33, 15.4576, 15.4561) * CHOOSE(CONTROL!$C$16, $D$10, 100%, $F$10)</f>
        <v>15.457599999999999</v>
      </c>
      <c r="K560" s="4"/>
      <c r="L560" s="9">
        <v>30.7165</v>
      </c>
      <c r="M560" s="9">
        <v>12.063700000000001</v>
      </c>
      <c r="N560" s="9">
        <v>4.9444999999999997</v>
      </c>
      <c r="O560" s="9">
        <v>0.37409999999999999</v>
      </c>
      <c r="P560" s="9">
        <v>1.2927</v>
      </c>
      <c r="Q560" s="9">
        <v>19.688099999999999</v>
      </c>
      <c r="R560" s="9"/>
      <c r="S560" s="11"/>
    </row>
    <row r="561" spans="1:19" ht="15" customHeight="1">
      <c r="A561" s="13">
        <v>58256</v>
      </c>
      <c r="B561" s="8">
        <f>CHOOSE( CONTROL!$C$33, 15.692, 15.6904) * CHOOSE(CONTROL!$C$16, $D$10, 100%, $F$10)</f>
        <v>15.692</v>
      </c>
      <c r="C561" s="8">
        <f>CHOOSE( CONTROL!$C$33, 15.7, 15.6984) * CHOOSE(CONTROL!$C$16, $D$10, 100%, $F$10)</f>
        <v>15.7</v>
      </c>
      <c r="D561" s="8">
        <f>CHOOSE( CONTROL!$C$33, 15.7224, 15.7208) * CHOOSE( CONTROL!$C$16, $D$10, 100%, $F$10)</f>
        <v>15.7224</v>
      </c>
      <c r="E561" s="12">
        <f>CHOOSE( CONTROL!$C$33, 15.7131, 15.7115) * CHOOSE( CONTROL!$C$16, $D$10, 100%, $F$10)</f>
        <v>15.713100000000001</v>
      </c>
      <c r="F561" s="4">
        <f>CHOOSE( CONTROL!$C$33, 16.4689, 16.4673) * CHOOSE(CONTROL!$C$16, $D$10, 100%, $F$10)</f>
        <v>16.468900000000001</v>
      </c>
      <c r="G561" s="8">
        <f>CHOOSE( CONTROL!$C$33, 15.5342, 15.5326) * CHOOSE( CONTROL!$C$16, $D$10, 100%, $F$10)</f>
        <v>15.5342</v>
      </c>
      <c r="H561" s="4">
        <f>CHOOSE( CONTROL!$C$33, 16.513, 16.5114) * CHOOSE(CONTROL!$C$16, $D$10, 100%, $F$10)</f>
        <v>16.513000000000002</v>
      </c>
      <c r="I561" s="8">
        <f>CHOOSE( CONTROL!$C$33, 15.333, 15.3315) * CHOOSE(CONTROL!$C$16, $D$10, 100%, $F$10)</f>
        <v>15.333</v>
      </c>
      <c r="J561" s="4">
        <f>CHOOSE( CONTROL!$C$33, 15.2091, 15.2076) * CHOOSE(CONTROL!$C$16, $D$10, 100%, $F$10)</f>
        <v>15.209099999999999</v>
      </c>
      <c r="K561" s="4"/>
      <c r="L561" s="9">
        <v>29.7257</v>
      </c>
      <c r="M561" s="9">
        <v>11.6745</v>
      </c>
      <c r="N561" s="9">
        <v>4.7850000000000001</v>
      </c>
      <c r="O561" s="9">
        <v>0.36199999999999999</v>
      </c>
      <c r="P561" s="9">
        <v>1.2509999999999999</v>
      </c>
      <c r="Q561" s="9">
        <v>19.053000000000001</v>
      </c>
      <c r="R561" s="9"/>
      <c r="S561" s="11"/>
    </row>
    <row r="562" spans="1:19" ht="15" customHeight="1">
      <c r="A562" s="13">
        <v>58287</v>
      </c>
      <c r="B562" s="8">
        <f>CHOOSE( CONTROL!$C$33, 16.3678, 16.3662) * CHOOSE(CONTROL!$C$16, $D$10, 100%, $F$10)</f>
        <v>16.367799999999999</v>
      </c>
      <c r="C562" s="8">
        <f>CHOOSE( CONTROL!$C$33, 16.3758, 16.3742) * CHOOSE(CONTROL!$C$16, $D$10, 100%, $F$10)</f>
        <v>16.375800000000002</v>
      </c>
      <c r="D562" s="8">
        <f>CHOOSE( CONTROL!$C$33, 16.3984, 16.3968) * CHOOSE( CONTROL!$C$16, $D$10, 100%, $F$10)</f>
        <v>16.398399999999999</v>
      </c>
      <c r="E562" s="12">
        <f>CHOOSE( CONTROL!$C$33, 16.389, 16.3874) * CHOOSE( CONTROL!$C$16, $D$10, 100%, $F$10)</f>
        <v>16.388999999999999</v>
      </c>
      <c r="F562" s="4">
        <f>CHOOSE( CONTROL!$C$33, 17.1447, 17.1431) * CHOOSE(CONTROL!$C$16, $D$10, 100%, $F$10)</f>
        <v>17.1447</v>
      </c>
      <c r="G562" s="8">
        <f>CHOOSE( CONTROL!$C$33, 16.2007, 16.1992) * CHOOSE( CONTROL!$C$16, $D$10, 100%, $F$10)</f>
        <v>16.200700000000001</v>
      </c>
      <c r="H562" s="4">
        <f>CHOOSE( CONTROL!$C$33, 17.1794, 17.1778) * CHOOSE(CONTROL!$C$16, $D$10, 100%, $F$10)</f>
        <v>17.179400000000001</v>
      </c>
      <c r="I562" s="8">
        <f>CHOOSE( CONTROL!$C$33, 15.9885, 15.987) * CHOOSE(CONTROL!$C$16, $D$10, 100%, $F$10)</f>
        <v>15.9885</v>
      </c>
      <c r="J562" s="4">
        <f>CHOOSE( CONTROL!$C$33, 15.8635, 15.862) * CHOOSE(CONTROL!$C$16, $D$10, 100%, $F$10)</f>
        <v>15.8635</v>
      </c>
      <c r="K562" s="4"/>
      <c r="L562" s="9">
        <v>30.7165</v>
      </c>
      <c r="M562" s="9">
        <v>12.063700000000001</v>
      </c>
      <c r="N562" s="9">
        <v>4.9444999999999997</v>
      </c>
      <c r="O562" s="9">
        <v>0.37409999999999999</v>
      </c>
      <c r="P562" s="9">
        <v>1.2927</v>
      </c>
      <c r="Q562" s="9">
        <v>19.688099999999999</v>
      </c>
      <c r="R562" s="9"/>
      <c r="S562" s="11"/>
    </row>
    <row r="563" spans="1:19" ht="15" customHeight="1">
      <c r="A563" s="13">
        <v>58318</v>
      </c>
      <c r="B563" s="8">
        <f>CHOOSE( CONTROL!$C$33, 15.1033, 15.1017) * CHOOSE(CONTROL!$C$16, $D$10, 100%, $F$10)</f>
        <v>15.103300000000001</v>
      </c>
      <c r="C563" s="8">
        <f>CHOOSE( CONTROL!$C$33, 15.1113, 15.1097) * CHOOSE(CONTROL!$C$16, $D$10, 100%, $F$10)</f>
        <v>15.1113</v>
      </c>
      <c r="D563" s="8">
        <f>CHOOSE( CONTROL!$C$33, 15.1339, 15.1324) * CHOOSE( CONTROL!$C$16, $D$10, 100%, $F$10)</f>
        <v>15.133900000000001</v>
      </c>
      <c r="E563" s="12">
        <f>CHOOSE( CONTROL!$C$33, 15.1245, 15.123) * CHOOSE( CONTROL!$C$16, $D$10, 100%, $F$10)</f>
        <v>15.124499999999999</v>
      </c>
      <c r="F563" s="4">
        <f>CHOOSE( CONTROL!$C$33, 15.8802, 15.8786) * CHOOSE(CONTROL!$C$16, $D$10, 100%, $F$10)</f>
        <v>15.8802</v>
      </c>
      <c r="G563" s="8">
        <f>CHOOSE( CONTROL!$C$33, 14.9539, 14.9523) * CHOOSE( CONTROL!$C$16, $D$10, 100%, $F$10)</f>
        <v>14.953900000000001</v>
      </c>
      <c r="H563" s="4">
        <f>CHOOSE( CONTROL!$C$33, 15.9325, 15.9309) * CHOOSE(CONTROL!$C$16, $D$10, 100%, $F$10)</f>
        <v>15.932499999999999</v>
      </c>
      <c r="I563" s="8">
        <f>CHOOSE( CONTROL!$C$33, 14.7636, 14.7621) * CHOOSE(CONTROL!$C$16, $D$10, 100%, $F$10)</f>
        <v>14.7636</v>
      </c>
      <c r="J563" s="4">
        <f>CHOOSE( CONTROL!$C$33, 14.6391, 14.6376) * CHOOSE(CONTROL!$C$16, $D$10, 100%, $F$10)</f>
        <v>14.639099999999999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1.2927</v>
      </c>
      <c r="Q563" s="9">
        <v>19.688099999999999</v>
      </c>
      <c r="R563" s="9"/>
      <c r="S563" s="11"/>
    </row>
    <row r="564" spans="1:19" ht="15" customHeight="1">
      <c r="A564" s="13">
        <v>58348</v>
      </c>
      <c r="B564" s="8">
        <f>CHOOSE( CONTROL!$C$33, 14.7866, 14.7851) * CHOOSE(CONTROL!$C$16, $D$10, 100%, $F$10)</f>
        <v>14.7866</v>
      </c>
      <c r="C564" s="8">
        <f>CHOOSE( CONTROL!$C$33, 14.7946, 14.7931) * CHOOSE(CONTROL!$C$16, $D$10, 100%, $F$10)</f>
        <v>14.794600000000001</v>
      </c>
      <c r="D564" s="8">
        <f>CHOOSE( CONTROL!$C$33, 14.8172, 14.8156) * CHOOSE( CONTROL!$C$16, $D$10, 100%, $F$10)</f>
        <v>14.8172</v>
      </c>
      <c r="E564" s="12">
        <f>CHOOSE( CONTROL!$C$33, 14.8078, 14.8062) * CHOOSE( CONTROL!$C$16, $D$10, 100%, $F$10)</f>
        <v>14.8078</v>
      </c>
      <c r="F564" s="4">
        <f>CHOOSE( CONTROL!$C$33, 15.5635, 15.562) * CHOOSE(CONTROL!$C$16, $D$10, 100%, $F$10)</f>
        <v>15.563499999999999</v>
      </c>
      <c r="G564" s="8">
        <f>CHOOSE( CONTROL!$C$33, 14.6416, 14.64) * CHOOSE( CONTROL!$C$16, $D$10, 100%, $F$10)</f>
        <v>14.6416</v>
      </c>
      <c r="H564" s="4">
        <f>CHOOSE( CONTROL!$C$33, 15.6203, 15.6187) * CHOOSE(CONTROL!$C$16, $D$10, 100%, $F$10)</f>
        <v>15.6203</v>
      </c>
      <c r="I564" s="8">
        <f>CHOOSE( CONTROL!$C$33, 14.4564, 14.4549) * CHOOSE(CONTROL!$C$16, $D$10, 100%, $F$10)</f>
        <v>14.4564</v>
      </c>
      <c r="J564" s="4">
        <f>CHOOSE( CONTROL!$C$33, 14.3325, 14.331) * CHOOSE(CONTROL!$C$16, $D$10, 100%, $F$10)</f>
        <v>14.3325</v>
      </c>
      <c r="K564" s="4"/>
      <c r="L564" s="9">
        <v>29.7257</v>
      </c>
      <c r="M564" s="9">
        <v>11.6745</v>
      </c>
      <c r="N564" s="9">
        <v>4.7850000000000001</v>
      </c>
      <c r="O564" s="9">
        <v>0.36199999999999999</v>
      </c>
      <c r="P564" s="9">
        <v>1.2509999999999999</v>
      </c>
      <c r="Q564" s="9">
        <v>19.053000000000001</v>
      </c>
      <c r="R564" s="9"/>
      <c r="S564" s="11"/>
    </row>
    <row r="565" spans="1:19" ht="15" customHeight="1">
      <c r="A565" s="13">
        <v>58379</v>
      </c>
      <c r="B565" s="8">
        <f>CHOOSE( CONTROL!$C$33, 15.4419, 15.4408) * CHOOSE(CONTROL!$C$16, $D$10, 100%, $F$10)</f>
        <v>15.4419</v>
      </c>
      <c r="C565" s="8">
        <f>CHOOSE( CONTROL!$C$33, 15.4473, 15.4462) * CHOOSE(CONTROL!$C$16, $D$10, 100%, $F$10)</f>
        <v>15.4473</v>
      </c>
      <c r="D565" s="8">
        <f>CHOOSE( CONTROL!$C$33, 15.4761, 15.4749) * CHOOSE( CONTROL!$C$16, $D$10, 100%, $F$10)</f>
        <v>15.476100000000001</v>
      </c>
      <c r="E565" s="12">
        <f>CHOOSE( CONTROL!$C$33, 15.466, 15.4649) * CHOOSE( CONTROL!$C$16, $D$10, 100%, $F$10)</f>
        <v>15.465999999999999</v>
      </c>
      <c r="F565" s="4">
        <f>CHOOSE( CONTROL!$C$33, 16.2206, 16.2194) * CHOOSE(CONTROL!$C$16, $D$10, 100%, $F$10)</f>
        <v>16.220600000000001</v>
      </c>
      <c r="G565" s="8">
        <f>CHOOSE( CONTROL!$C$33, 15.2895, 15.2884) * CHOOSE( CONTROL!$C$16, $D$10, 100%, $F$10)</f>
        <v>15.2895</v>
      </c>
      <c r="H565" s="4">
        <f>CHOOSE( CONTROL!$C$33, 16.2681, 16.267) * CHOOSE(CONTROL!$C$16, $D$10, 100%, $F$10)</f>
        <v>16.2681</v>
      </c>
      <c r="I565" s="8">
        <f>CHOOSE( CONTROL!$C$33, 15.0935, 15.0925) * CHOOSE(CONTROL!$C$16, $D$10, 100%, $F$10)</f>
        <v>15.093500000000001</v>
      </c>
      <c r="J565" s="4">
        <f>CHOOSE( CONTROL!$C$33, 14.9687, 14.9676) * CHOOSE(CONTROL!$C$16, $D$10, 100%, $F$10)</f>
        <v>14.9687</v>
      </c>
      <c r="K565" s="4"/>
      <c r="L565" s="9">
        <v>31.095300000000002</v>
      </c>
      <c r="M565" s="9">
        <v>12.063700000000001</v>
      </c>
      <c r="N565" s="9">
        <v>4.9444999999999997</v>
      </c>
      <c r="O565" s="9">
        <v>0.37409999999999999</v>
      </c>
      <c r="P565" s="9">
        <v>1.2927</v>
      </c>
      <c r="Q565" s="9">
        <v>19.688099999999999</v>
      </c>
      <c r="R565" s="9"/>
      <c r="S565" s="11"/>
    </row>
    <row r="566" spans="1:19" ht="15" customHeight="1">
      <c r="A566" s="13">
        <v>58409</v>
      </c>
      <c r="B566" s="8">
        <f>CHOOSE( CONTROL!$C$33, 16.6551, 16.654) * CHOOSE(CONTROL!$C$16, $D$10, 100%, $F$10)</f>
        <v>16.655100000000001</v>
      </c>
      <c r="C566" s="8">
        <f>CHOOSE( CONTROL!$C$33, 16.6602, 16.6591) * CHOOSE(CONTROL!$C$16, $D$10, 100%, $F$10)</f>
        <v>16.6602</v>
      </c>
      <c r="D566" s="8">
        <f>CHOOSE( CONTROL!$C$33, 16.6399, 16.6387) * CHOOSE( CONTROL!$C$16, $D$10, 100%, $F$10)</f>
        <v>16.639900000000001</v>
      </c>
      <c r="E566" s="12">
        <f>CHOOSE( CONTROL!$C$33, 16.6468, 16.6456) * CHOOSE( CONTROL!$C$16, $D$10, 100%, $F$10)</f>
        <v>16.646799999999999</v>
      </c>
      <c r="F566" s="4">
        <f>CHOOSE( CONTROL!$C$33, 17.318, 17.3168) * CHOOSE(CONTROL!$C$16, $D$10, 100%, $F$10)</f>
        <v>17.318000000000001</v>
      </c>
      <c r="G566" s="8">
        <f>CHOOSE( CONTROL!$C$33, 16.4587, 16.4576) * CHOOSE( CONTROL!$C$16, $D$10, 100%, $F$10)</f>
        <v>16.4587</v>
      </c>
      <c r="H566" s="4">
        <f>CHOOSE( CONTROL!$C$33, 17.3502, 17.3491) * CHOOSE(CONTROL!$C$16, $D$10, 100%, $F$10)</f>
        <v>17.350200000000001</v>
      </c>
      <c r="I566" s="8">
        <f>CHOOSE( CONTROL!$C$33, 16.317, 16.3159) * CHOOSE(CONTROL!$C$16, $D$10, 100%, $F$10)</f>
        <v>16.317</v>
      </c>
      <c r="J566" s="4">
        <f>CHOOSE( CONTROL!$C$33, 16.1438, 16.1427) * CHOOSE(CONTROL!$C$16, $D$10, 100%, $F$10)</f>
        <v>16.143799999999999</v>
      </c>
      <c r="K566" s="4"/>
      <c r="L566" s="9">
        <v>28.360600000000002</v>
      </c>
      <c r="M566" s="9">
        <v>11.6745</v>
      </c>
      <c r="N566" s="9">
        <v>4.7850000000000001</v>
      </c>
      <c r="O566" s="9">
        <v>0.36199999999999999</v>
      </c>
      <c r="P566" s="9">
        <v>1.2509999999999999</v>
      </c>
      <c r="Q566" s="9">
        <v>19.053000000000001</v>
      </c>
      <c r="R566" s="9"/>
      <c r="S566" s="11"/>
    </row>
    <row r="567" spans="1:19" ht="15" customHeight="1">
      <c r="A567" s="13">
        <v>58440</v>
      </c>
      <c r="B567" s="8">
        <f>CHOOSE( CONTROL!$C$33, 16.6248, 16.6236) * CHOOSE(CONTROL!$C$16, $D$10, 100%, $F$10)</f>
        <v>16.6248</v>
      </c>
      <c r="C567" s="8">
        <f>CHOOSE( CONTROL!$C$33, 16.6299, 16.6287) * CHOOSE(CONTROL!$C$16, $D$10, 100%, $F$10)</f>
        <v>16.629899999999999</v>
      </c>
      <c r="D567" s="8">
        <f>CHOOSE( CONTROL!$C$33, 16.611, 16.6099) * CHOOSE( CONTROL!$C$16, $D$10, 100%, $F$10)</f>
        <v>16.611000000000001</v>
      </c>
      <c r="E567" s="12">
        <f>CHOOSE( CONTROL!$C$33, 16.6174, 16.6162) * CHOOSE( CONTROL!$C$16, $D$10, 100%, $F$10)</f>
        <v>16.6174</v>
      </c>
      <c r="F567" s="4">
        <f>CHOOSE( CONTROL!$C$33, 17.2876, 17.2865) * CHOOSE(CONTROL!$C$16, $D$10, 100%, $F$10)</f>
        <v>17.287600000000001</v>
      </c>
      <c r="G567" s="8">
        <f>CHOOSE( CONTROL!$C$33, 16.4298, 16.4287) * CHOOSE( CONTROL!$C$16, $D$10, 100%, $F$10)</f>
        <v>16.4298</v>
      </c>
      <c r="H567" s="4">
        <f>CHOOSE( CONTROL!$C$33, 17.3203, 17.3192) * CHOOSE(CONTROL!$C$16, $D$10, 100%, $F$10)</f>
        <v>17.3203</v>
      </c>
      <c r="I567" s="8">
        <f>CHOOSE( CONTROL!$C$33, 16.2922, 16.2911) * CHOOSE(CONTROL!$C$16, $D$10, 100%, $F$10)</f>
        <v>16.292200000000001</v>
      </c>
      <c r="J567" s="4">
        <f>CHOOSE( CONTROL!$C$33, 16.1144, 16.1133) * CHOOSE(CONTROL!$C$16, $D$10, 100%, $F$10)</f>
        <v>16.1144</v>
      </c>
      <c r="K567" s="4"/>
      <c r="L567" s="9">
        <v>29.306000000000001</v>
      </c>
      <c r="M567" s="9">
        <v>12.063700000000001</v>
      </c>
      <c r="N567" s="9">
        <v>4.9444999999999997</v>
      </c>
      <c r="O567" s="9">
        <v>0.37409999999999999</v>
      </c>
      <c r="P567" s="9">
        <v>1.2927</v>
      </c>
      <c r="Q567" s="9">
        <v>19.688099999999999</v>
      </c>
      <c r="R567" s="9"/>
      <c r="S567" s="11"/>
    </row>
    <row r="568" spans="1:19" ht="15" customHeight="1">
      <c r="A568" s="13">
        <v>58471</v>
      </c>
      <c r="B568" s="8">
        <f>CHOOSE( CONTROL!$C$33, 17.1156, 17.1145) * CHOOSE(CONTROL!$C$16, $D$10, 100%, $F$10)</f>
        <v>17.115600000000001</v>
      </c>
      <c r="C568" s="8">
        <f>CHOOSE( CONTROL!$C$33, 17.1207, 17.1196) * CHOOSE(CONTROL!$C$16, $D$10, 100%, $F$10)</f>
        <v>17.120699999999999</v>
      </c>
      <c r="D568" s="8">
        <f>CHOOSE( CONTROL!$C$33, 17.1131, 17.112) * CHOOSE( CONTROL!$C$16, $D$10, 100%, $F$10)</f>
        <v>17.113099999999999</v>
      </c>
      <c r="E568" s="12">
        <f>CHOOSE( CONTROL!$C$33, 17.1153, 17.1142) * CHOOSE( CONTROL!$C$16, $D$10, 100%, $F$10)</f>
        <v>17.115300000000001</v>
      </c>
      <c r="F568" s="4">
        <f>CHOOSE( CONTROL!$C$33, 17.7785, 17.7774) * CHOOSE(CONTROL!$C$16, $D$10, 100%, $F$10)</f>
        <v>17.778500000000001</v>
      </c>
      <c r="G568" s="8">
        <f>CHOOSE( CONTROL!$C$33, 16.9197, 16.9186) * CHOOSE( CONTROL!$C$16, $D$10, 100%, $F$10)</f>
        <v>16.919699999999999</v>
      </c>
      <c r="H568" s="4">
        <f>CHOOSE( CONTROL!$C$33, 17.8043, 17.8032) * CHOOSE(CONTROL!$C$16, $D$10, 100%, $F$10)</f>
        <v>17.804300000000001</v>
      </c>
      <c r="I568" s="8">
        <f>CHOOSE( CONTROL!$C$33, 16.7589, 16.7579) * CHOOSE(CONTROL!$C$16, $D$10, 100%, $F$10)</f>
        <v>16.758900000000001</v>
      </c>
      <c r="J568" s="4">
        <f>CHOOSE( CONTROL!$C$33, 16.5897, 16.5886) * CHOOSE(CONTROL!$C$16, $D$10, 100%, $F$10)</f>
        <v>16.589700000000001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" customHeight="1">
      <c r="A569" s="13">
        <v>58499</v>
      </c>
      <c r="B569" s="8">
        <f>CHOOSE( CONTROL!$C$33, 16.0081, 16.007) * CHOOSE(CONTROL!$C$16, $D$10, 100%, $F$10)</f>
        <v>16.008099999999999</v>
      </c>
      <c r="C569" s="8">
        <f>CHOOSE( CONTROL!$C$33, 16.0132, 16.0121) * CHOOSE(CONTROL!$C$16, $D$10, 100%, $F$10)</f>
        <v>16.013200000000001</v>
      </c>
      <c r="D569" s="8">
        <f>CHOOSE( CONTROL!$C$33, 16.0054, 16.0042) * CHOOSE( CONTROL!$C$16, $D$10, 100%, $F$10)</f>
        <v>16.005400000000002</v>
      </c>
      <c r="E569" s="12">
        <f>CHOOSE( CONTROL!$C$33, 16.0077, 16.0065) * CHOOSE( CONTROL!$C$16, $D$10, 100%, $F$10)</f>
        <v>16.0077</v>
      </c>
      <c r="F569" s="4">
        <f>CHOOSE( CONTROL!$C$33, 16.6709, 16.6698) * CHOOSE(CONTROL!$C$16, $D$10, 100%, $F$10)</f>
        <v>16.6709</v>
      </c>
      <c r="G569" s="8">
        <f>CHOOSE( CONTROL!$C$33, 15.8275, 15.8264) * CHOOSE( CONTROL!$C$16, $D$10, 100%, $F$10)</f>
        <v>15.827500000000001</v>
      </c>
      <c r="H569" s="4">
        <f>CHOOSE( CONTROL!$C$33, 16.7122, 16.7111) * CHOOSE(CONTROL!$C$16, $D$10, 100%, $F$10)</f>
        <v>16.712199999999999</v>
      </c>
      <c r="I569" s="8">
        <f>CHOOSE( CONTROL!$C$33, 15.6854, 15.6843) * CHOOSE(CONTROL!$C$16, $D$10, 100%, $F$10)</f>
        <v>15.6854</v>
      </c>
      <c r="J569" s="4">
        <f>CHOOSE( CONTROL!$C$33, 15.5173, 15.5162) * CHOOSE(CONTROL!$C$16, $D$10, 100%, $F$10)</f>
        <v>15.517300000000001</v>
      </c>
      <c r="K569" s="4"/>
      <c r="L569" s="9">
        <v>27.415299999999998</v>
      </c>
      <c r="M569" s="9">
        <v>11.285299999999999</v>
      </c>
      <c r="N569" s="9">
        <v>4.6254999999999997</v>
      </c>
      <c r="O569" s="9">
        <v>0.34989999999999999</v>
      </c>
      <c r="P569" s="9">
        <v>1.2093</v>
      </c>
      <c r="Q569" s="9">
        <v>18.417899999999999</v>
      </c>
      <c r="R569" s="9"/>
      <c r="S569" s="11"/>
    </row>
    <row r="570" spans="1:19" ht="15" customHeight="1">
      <c r="A570" s="13">
        <v>58531</v>
      </c>
      <c r="B570" s="8">
        <f>CHOOSE( CONTROL!$C$33, 15.667, 15.6658) * CHOOSE(CONTROL!$C$16, $D$10, 100%, $F$10)</f>
        <v>15.667</v>
      </c>
      <c r="C570" s="8">
        <f>CHOOSE( CONTROL!$C$33, 15.6721, 15.6709) * CHOOSE(CONTROL!$C$16, $D$10, 100%, $F$10)</f>
        <v>15.6721</v>
      </c>
      <c r="D570" s="8">
        <f>CHOOSE( CONTROL!$C$33, 15.6635, 15.6624) * CHOOSE( CONTROL!$C$16, $D$10, 100%, $F$10)</f>
        <v>15.663500000000001</v>
      </c>
      <c r="E570" s="12">
        <f>CHOOSE( CONTROL!$C$33, 15.6661, 15.665) * CHOOSE( CONTROL!$C$16, $D$10, 100%, $F$10)</f>
        <v>15.6661</v>
      </c>
      <c r="F570" s="4">
        <f>CHOOSE( CONTROL!$C$33, 16.3298, 16.3287) * CHOOSE(CONTROL!$C$16, $D$10, 100%, $F$10)</f>
        <v>16.329799999999999</v>
      </c>
      <c r="G570" s="8">
        <f>CHOOSE( CONTROL!$C$33, 15.4906, 15.4895) * CHOOSE( CONTROL!$C$16, $D$10, 100%, $F$10)</f>
        <v>15.490600000000001</v>
      </c>
      <c r="H570" s="4">
        <f>CHOOSE( CONTROL!$C$33, 16.3759, 16.3747) * CHOOSE(CONTROL!$C$16, $D$10, 100%, $F$10)</f>
        <v>16.375900000000001</v>
      </c>
      <c r="I570" s="8">
        <f>CHOOSE( CONTROL!$C$33, 15.3527, 15.3516) * CHOOSE(CONTROL!$C$16, $D$10, 100%, $F$10)</f>
        <v>15.3527</v>
      </c>
      <c r="J570" s="4">
        <f>CHOOSE( CONTROL!$C$33, 15.187, 15.1859) * CHOOSE(CONTROL!$C$16, $D$10, 100%, $F$10)</f>
        <v>15.186999999999999</v>
      </c>
      <c r="K570" s="4"/>
      <c r="L570" s="9">
        <v>29.306000000000001</v>
      </c>
      <c r="M570" s="9">
        <v>12.063700000000001</v>
      </c>
      <c r="N570" s="9">
        <v>4.9444999999999997</v>
      </c>
      <c r="O570" s="9">
        <v>0.37409999999999999</v>
      </c>
      <c r="P570" s="9">
        <v>1.2927</v>
      </c>
      <c r="Q570" s="9">
        <v>19.688099999999999</v>
      </c>
      <c r="R570" s="9"/>
      <c r="S570" s="11"/>
    </row>
    <row r="571" spans="1:19" ht="15" customHeight="1">
      <c r="A571" s="13">
        <v>58561</v>
      </c>
      <c r="B571" s="8">
        <f>CHOOSE( CONTROL!$C$33, 15.9061, 15.905) * CHOOSE(CONTROL!$C$16, $D$10, 100%, $F$10)</f>
        <v>15.9061</v>
      </c>
      <c r="C571" s="8">
        <f>CHOOSE( CONTROL!$C$33, 15.9106, 15.9095) * CHOOSE(CONTROL!$C$16, $D$10, 100%, $F$10)</f>
        <v>15.910600000000001</v>
      </c>
      <c r="D571" s="8">
        <f>CHOOSE( CONTROL!$C$33, 15.9395, 15.9384) * CHOOSE( CONTROL!$C$16, $D$10, 100%, $F$10)</f>
        <v>15.939500000000001</v>
      </c>
      <c r="E571" s="12">
        <f>CHOOSE( CONTROL!$C$33, 15.9294, 15.9283) * CHOOSE( CONTROL!$C$16, $D$10, 100%, $F$10)</f>
        <v>15.929399999999999</v>
      </c>
      <c r="F571" s="4">
        <f>CHOOSE( CONTROL!$C$33, 16.6844, 16.6833) * CHOOSE(CONTROL!$C$16, $D$10, 100%, $F$10)</f>
        <v>16.6844</v>
      </c>
      <c r="G571" s="8">
        <f>CHOOSE( CONTROL!$C$33, 15.7466, 15.7455) * CHOOSE( CONTROL!$C$16, $D$10, 100%, $F$10)</f>
        <v>15.746600000000001</v>
      </c>
      <c r="H571" s="4">
        <f>CHOOSE( CONTROL!$C$33, 16.7255, 16.7243) * CHOOSE(CONTROL!$C$16, $D$10, 100%, $F$10)</f>
        <v>16.7255</v>
      </c>
      <c r="I571" s="8">
        <f>CHOOSE( CONTROL!$C$33, 15.5416, 15.5405) * CHOOSE(CONTROL!$C$16, $D$10, 100%, $F$10)</f>
        <v>15.541600000000001</v>
      </c>
      <c r="J571" s="4">
        <f>CHOOSE( CONTROL!$C$33, 15.4178, 15.4167) * CHOOSE(CONTROL!$C$16, $D$10, 100%, $F$10)</f>
        <v>15.4178</v>
      </c>
      <c r="K571" s="4"/>
      <c r="L571" s="9">
        <v>30.092199999999998</v>
      </c>
      <c r="M571" s="9">
        <v>11.6745</v>
      </c>
      <c r="N571" s="9">
        <v>4.7850000000000001</v>
      </c>
      <c r="O571" s="9">
        <v>0.36199999999999999</v>
      </c>
      <c r="P571" s="9">
        <v>1.2509999999999999</v>
      </c>
      <c r="Q571" s="9">
        <v>19.053000000000001</v>
      </c>
      <c r="R571" s="9"/>
      <c r="S571" s="11"/>
    </row>
    <row r="572" spans="1:19" ht="15" customHeight="1">
      <c r="A572" s="13">
        <v>58592</v>
      </c>
      <c r="B572" s="8">
        <f>CHOOSE( CONTROL!$C$33, 16.3321, 16.3306) * CHOOSE(CONTROL!$C$16, $D$10, 100%, $F$10)</f>
        <v>16.332100000000001</v>
      </c>
      <c r="C572" s="8">
        <f>CHOOSE( CONTROL!$C$33, 16.3401, 16.3386) * CHOOSE(CONTROL!$C$16, $D$10, 100%, $F$10)</f>
        <v>16.3401</v>
      </c>
      <c r="D572" s="8">
        <f>CHOOSE( CONTROL!$C$33, 16.3624, 16.3608) * CHOOSE( CONTROL!$C$16, $D$10, 100%, $F$10)</f>
        <v>16.362400000000001</v>
      </c>
      <c r="E572" s="12">
        <f>CHOOSE( CONTROL!$C$33, 16.3531, 16.3515) * CHOOSE( CONTROL!$C$16, $D$10, 100%, $F$10)</f>
        <v>16.353100000000001</v>
      </c>
      <c r="F572" s="4">
        <f>CHOOSE( CONTROL!$C$33, 17.1091, 17.1075) * CHOOSE(CONTROL!$C$16, $D$10, 100%, $F$10)</f>
        <v>17.109100000000002</v>
      </c>
      <c r="G572" s="8">
        <f>CHOOSE( CONTROL!$C$33, 16.1653, 16.1637) * CHOOSE( CONTROL!$C$16, $D$10, 100%, $F$10)</f>
        <v>16.165299999999998</v>
      </c>
      <c r="H572" s="4">
        <f>CHOOSE( CONTROL!$C$33, 17.1442, 17.1427) * CHOOSE(CONTROL!$C$16, $D$10, 100%, $F$10)</f>
        <v>17.144200000000001</v>
      </c>
      <c r="I572" s="8">
        <f>CHOOSE( CONTROL!$C$33, 15.9526, 15.9511) * CHOOSE(CONTROL!$C$16, $D$10, 100%, $F$10)</f>
        <v>15.9526</v>
      </c>
      <c r="J572" s="4">
        <f>CHOOSE( CONTROL!$C$33, 15.829, 15.8275) * CHOOSE(CONTROL!$C$16, $D$10, 100%, $F$10)</f>
        <v>15.829000000000001</v>
      </c>
      <c r="K572" s="4"/>
      <c r="L572" s="9">
        <v>30.7165</v>
      </c>
      <c r="M572" s="9">
        <v>12.063700000000001</v>
      </c>
      <c r="N572" s="9">
        <v>4.9444999999999997</v>
      </c>
      <c r="O572" s="9">
        <v>0.37409999999999999</v>
      </c>
      <c r="P572" s="9">
        <v>1.2927</v>
      </c>
      <c r="Q572" s="9">
        <v>19.688099999999999</v>
      </c>
      <c r="R572" s="9"/>
      <c r="S572" s="11"/>
    </row>
    <row r="573" spans="1:19" ht="15" customHeight="1">
      <c r="A573" s="13">
        <v>58622</v>
      </c>
      <c r="B573" s="8">
        <f>CHOOSE( CONTROL!$C$33, 16.0693, 16.0678) * CHOOSE(CONTROL!$C$16, $D$10, 100%, $F$10)</f>
        <v>16.069299999999998</v>
      </c>
      <c r="C573" s="8">
        <f>CHOOSE( CONTROL!$C$33, 16.0773, 16.0758) * CHOOSE(CONTROL!$C$16, $D$10, 100%, $F$10)</f>
        <v>16.077300000000001</v>
      </c>
      <c r="D573" s="8">
        <f>CHOOSE( CONTROL!$C$33, 16.0997, 16.0982) * CHOOSE( CONTROL!$C$16, $D$10, 100%, $F$10)</f>
        <v>16.099699999999999</v>
      </c>
      <c r="E573" s="12">
        <f>CHOOSE( CONTROL!$C$33, 16.0904, 16.0889) * CHOOSE( CONTROL!$C$16, $D$10, 100%, $F$10)</f>
        <v>16.090399999999999</v>
      </c>
      <c r="F573" s="4">
        <f>CHOOSE( CONTROL!$C$33, 16.8463, 16.8447) * CHOOSE(CONTROL!$C$16, $D$10, 100%, $F$10)</f>
        <v>16.846299999999999</v>
      </c>
      <c r="G573" s="8">
        <f>CHOOSE( CONTROL!$C$33, 15.9063, 15.9047) * CHOOSE( CONTROL!$C$16, $D$10, 100%, $F$10)</f>
        <v>15.9063</v>
      </c>
      <c r="H573" s="4">
        <f>CHOOSE( CONTROL!$C$33, 16.8851, 16.8835) * CHOOSE(CONTROL!$C$16, $D$10, 100%, $F$10)</f>
        <v>16.885100000000001</v>
      </c>
      <c r="I573" s="8">
        <f>CHOOSE( CONTROL!$C$33, 15.6986, 15.6971) * CHOOSE(CONTROL!$C$16, $D$10, 100%, $F$10)</f>
        <v>15.698600000000001</v>
      </c>
      <c r="J573" s="4">
        <f>CHOOSE( CONTROL!$C$33, 15.5745, 15.573) * CHOOSE(CONTROL!$C$16, $D$10, 100%, $F$10)</f>
        <v>15.5745</v>
      </c>
      <c r="K573" s="4"/>
      <c r="L573" s="9">
        <v>29.7257</v>
      </c>
      <c r="M573" s="9">
        <v>11.6745</v>
      </c>
      <c r="N573" s="9">
        <v>4.7850000000000001</v>
      </c>
      <c r="O573" s="9">
        <v>0.36199999999999999</v>
      </c>
      <c r="P573" s="9">
        <v>1.2509999999999999</v>
      </c>
      <c r="Q573" s="9">
        <v>19.053000000000001</v>
      </c>
      <c r="R573" s="9"/>
      <c r="S573" s="11"/>
    </row>
    <row r="574" spans="1:19" ht="15" customHeight="1">
      <c r="A574" s="13">
        <v>58653</v>
      </c>
      <c r="B574" s="8">
        <f>CHOOSE( CONTROL!$C$33, 16.7614, 16.7598) * CHOOSE(CONTROL!$C$16, $D$10, 100%, $F$10)</f>
        <v>16.761399999999998</v>
      </c>
      <c r="C574" s="8">
        <f>CHOOSE( CONTROL!$C$33, 16.7694, 16.7678) * CHOOSE(CONTROL!$C$16, $D$10, 100%, $F$10)</f>
        <v>16.769400000000001</v>
      </c>
      <c r="D574" s="8">
        <f>CHOOSE( CONTROL!$C$33, 16.792, 16.7904) * CHOOSE( CONTROL!$C$16, $D$10, 100%, $F$10)</f>
        <v>16.792000000000002</v>
      </c>
      <c r="E574" s="12">
        <f>CHOOSE( CONTROL!$C$33, 16.7826, 16.781) * CHOOSE( CONTROL!$C$16, $D$10, 100%, $F$10)</f>
        <v>16.782599999999999</v>
      </c>
      <c r="F574" s="4">
        <f>CHOOSE( CONTROL!$C$33, 17.5383, 17.5367) * CHOOSE(CONTROL!$C$16, $D$10, 100%, $F$10)</f>
        <v>17.5383</v>
      </c>
      <c r="G574" s="8">
        <f>CHOOSE( CONTROL!$C$33, 16.5888, 16.5873) * CHOOSE( CONTROL!$C$16, $D$10, 100%, $F$10)</f>
        <v>16.588799999999999</v>
      </c>
      <c r="H574" s="4">
        <f>CHOOSE( CONTROL!$C$33, 17.5675, 17.5659) * CHOOSE(CONTROL!$C$16, $D$10, 100%, $F$10)</f>
        <v>17.567499999999999</v>
      </c>
      <c r="I574" s="8">
        <f>CHOOSE( CONTROL!$C$33, 16.3698, 16.3683) * CHOOSE(CONTROL!$C$16, $D$10, 100%, $F$10)</f>
        <v>16.369800000000001</v>
      </c>
      <c r="J574" s="4">
        <f>CHOOSE( CONTROL!$C$33, 16.2446, 16.2431) * CHOOSE(CONTROL!$C$16, $D$10, 100%, $F$10)</f>
        <v>16.244599999999998</v>
      </c>
      <c r="K574" s="4"/>
      <c r="L574" s="9">
        <v>30.7165</v>
      </c>
      <c r="M574" s="9">
        <v>12.063700000000001</v>
      </c>
      <c r="N574" s="9">
        <v>4.9444999999999997</v>
      </c>
      <c r="O574" s="9">
        <v>0.37409999999999999</v>
      </c>
      <c r="P574" s="9">
        <v>1.2927</v>
      </c>
      <c r="Q574" s="9">
        <v>19.688099999999999</v>
      </c>
      <c r="R574" s="9"/>
      <c r="S574" s="11"/>
    </row>
    <row r="575" spans="1:19" ht="15" customHeight="1">
      <c r="A575" s="13">
        <v>58684</v>
      </c>
      <c r="B575" s="8">
        <f>CHOOSE( CONTROL!$C$33, 15.4665, 15.4649) * CHOOSE(CONTROL!$C$16, $D$10, 100%, $F$10)</f>
        <v>15.4665</v>
      </c>
      <c r="C575" s="8">
        <f>CHOOSE( CONTROL!$C$33, 15.4745, 15.4729) * CHOOSE(CONTROL!$C$16, $D$10, 100%, $F$10)</f>
        <v>15.474500000000001</v>
      </c>
      <c r="D575" s="8">
        <f>CHOOSE( CONTROL!$C$33, 15.4972, 15.4956) * CHOOSE( CONTROL!$C$16, $D$10, 100%, $F$10)</f>
        <v>15.497199999999999</v>
      </c>
      <c r="E575" s="12">
        <f>CHOOSE( CONTROL!$C$33, 15.4878, 15.4862) * CHOOSE( CONTROL!$C$16, $D$10, 100%, $F$10)</f>
        <v>15.4878</v>
      </c>
      <c r="F575" s="4">
        <f>CHOOSE( CONTROL!$C$33, 16.2434, 16.2418) * CHOOSE(CONTROL!$C$16, $D$10, 100%, $F$10)</f>
        <v>16.243400000000001</v>
      </c>
      <c r="G575" s="8">
        <f>CHOOSE( CONTROL!$C$33, 15.312, 15.3105) * CHOOSE( CONTROL!$C$16, $D$10, 100%, $F$10)</f>
        <v>15.311999999999999</v>
      </c>
      <c r="H575" s="4">
        <f>CHOOSE( CONTROL!$C$33, 16.2906, 16.2891) * CHOOSE(CONTROL!$C$16, $D$10, 100%, $F$10)</f>
        <v>16.290600000000001</v>
      </c>
      <c r="I575" s="8">
        <f>CHOOSE( CONTROL!$C$33, 15.1155, 15.114) * CHOOSE(CONTROL!$C$16, $D$10, 100%, $F$10)</f>
        <v>15.115500000000001</v>
      </c>
      <c r="J575" s="4">
        <f>CHOOSE( CONTROL!$C$33, 14.9908, 14.9893) * CHOOSE(CONTROL!$C$16, $D$10, 100%, $F$10)</f>
        <v>14.9908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1.2927</v>
      </c>
      <c r="Q575" s="9">
        <v>19.688099999999999</v>
      </c>
      <c r="R575" s="9"/>
      <c r="S575" s="11"/>
    </row>
    <row r="576" spans="1:19" ht="15" customHeight="1">
      <c r="A576" s="13">
        <v>58714</v>
      </c>
      <c r="B576" s="8">
        <f>CHOOSE( CONTROL!$C$33, 15.1422, 15.1407) * CHOOSE(CONTROL!$C$16, $D$10, 100%, $F$10)</f>
        <v>15.142200000000001</v>
      </c>
      <c r="C576" s="8">
        <f>CHOOSE( CONTROL!$C$33, 15.1502, 15.1487) * CHOOSE(CONTROL!$C$16, $D$10, 100%, $F$10)</f>
        <v>15.1502</v>
      </c>
      <c r="D576" s="8">
        <f>CHOOSE( CONTROL!$C$33, 15.1728, 15.1712) * CHOOSE( CONTROL!$C$16, $D$10, 100%, $F$10)</f>
        <v>15.172800000000001</v>
      </c>
      <c r="E576" s="12">
        <f>CHOOSE( CONTROL!$C$33, 15.1634, 15.1618) * CHOOSE( CONTROL!$C$16, $D$10, 100%, $F$10)</f>
        <v>15.163399999999999</v>
      </c>
      <c r="F576" s="4">
        <f>CHOOSE( CONTROL!$C$33, 15.9192, 15.9176) * CHOOSE(CONTROL!$C$16, $D$10, 100%, $F$10)</f>
        <v>15.9192</v>
      </c>
      <c r="G576" s="8">
        <f>CHOOSE( CONTROL!$C$33, 14.9922, 14.9907) * CHOOSE( CONTROL!$C$16, $D$10, 100%, $F$10)</f>
        <v>14.9922</v>
      </c>
      <c r="H576" s="4">
        <f>CHOOSE( CONTROL!$C$33, 15.9709, 15.9694) * CHOOSE(CONTROL!$C$16, $D$10, 100%, $F$10)</f>
        <v>15.9709</v>
      </c>
      <c r="I576" s="8">
        <f>CHOOSE( CONTROL!$C$33, 14.801, 14.7994) * CHOOSE(CONTROL!$C$16, $D$10, 100%, $F$10)</f>
        <v>14.801</v>
      </c>
      <c r="J576" s="4">
        <f>CHOOSE( CONTROL!$C$33, 14.6768, 14.6753) * CHOOSE(CONTROL!$C$16, $D$10, 100%, $F$10)</f>
        <v>14.6768</v>
      </c>
      <c r="K576" s="4"/>
      <c r="L576" s="9">
        <v>29.7257</v>
      </c>
      <c r="M576" s="9">
        <v>11.6745</v>
      </c>
      <c r="N576" s="9">
        <v>4.7850000000000001</v>
      </c>
      <c r="O576" s="9">
        <v>0.36199999999999999</v>
      </c>
      <c r="P576" s="9">
        <v>1.2509999999999999</v>
      </c>
      <c r="Q576" s="9">
        <v>19.053000000000001</v>
      </c>
      <c r="R576" s="9"/>
      <c r="S576" s="11"/>
    </row>
    <row r="577" spans="1:19" ht="15" customHeight="1">
      <c r="A577" s="13">
        <v>58745</v>
      </c>
      <c r="B577" s="8">
        <f>CHOOSE( CONTROL!$C$33, 15.8133, 15.8122) * CHOOSE(CONTROL!$C$16, $D$10, 100%, $F$10)</f>
        <v>15.8133</v>
      </c>
      <c r="C577" s="8">
        <f>CHOOSE( CONTROL!$C$33, 15.8187, 15.8176) * CHOOSE(CONTROL!$C$16, $D$10, 100%, $F$10)</f>
        <v>15.8187</v>
      </c>
      <c r="D577" s="8">
        <f>CHOOSE( CONTROL!$C$33, 15.8475, 15.8463) * CHOOSE( CONTROL!$C$16, $D$10, 100%, $F$10)</f>
        <v>15.8475</v>
      </c>
      <c r="E577" s="12">
        <f>CHOOSE( CONTROL!$C$33, 15.8374, 15.8363) * CHOOSE( CONTROL!$C$16, $D$10, 100%, $F$10)</f>
        <v>15.837400000000001</v>
      </c>
      <c r="F577" s="4">
        <f>CHOOSE( CONTROL!$C$33, 16.592, 16.5909) * CHOOSE(CONTROL!$C$16, $D$10, 100%, $F$10)</f>
        <v>16.591999999999999</v>
      </c>
      <c r="G577" s="8">
        <f>CHOOSE( CONTROL!$C$33, 15.6558, 15.6546) * CHOOSE( CONTROL!$C$16, $D$10, 100%, $F$10)</f>
        <v>15.655799999999999</v>
      </c>
      <c r="H577" s="4">
        <f>CHOOSE( CONTROL!$C$33, 16.6343, 16.6332) * CHOOSE(CONTROL!$C$16, $D$10, 100%, $F$10)</f>
        <v>16.6343</v>
      </c>
      <c r="I577" s="8">
        <f>CHOOSE( CONTROL!$C$33, 15.4534, 15.4523) * CHOOSE(CONTROL!$C$16, $D$10, 100%, $F$10)</f>
        <v>15.4534</v>
      </c>
      <c r="J577" s="4">
        <f>CHOOSE( CONTROL!$C$33, 15.3283, 15.3272) * CHOOSE(CONTROL!$C$16, $D$10, 100%, $F$10)</f>
        <v>15.3283</v>
      </c>
      <c r="K577" s="4"/>
      <c r="L577" s="9">
        <v>31.095300000000002</v>
      </c>
      <c r="M577" s="9">
        <v>12.063700000000001</v>
      </c>
      <c r="N577" s="9">
        <v>4.9444999999999997</v>
      </c>
      <c r="O577" s="9">
        <v>0.37409999999999999</v>
      </c>
      <c r="P577" s="9">
        <v>1.2927</v>
      </c>
      <c r="Q577" s="9">
        <v>19.688099999999999</v>
      </c>
      <c r="R577" s="9"/>
      <c r="S577" s="11"/>
    </row>
    <row r="578" spans="1:19" ht="15" customHeight="1">
      <c r="A578" s="13">
        <v>58775</v>
      </c>
      <c r="B578" s="8">
        <f>CHOOSE( CONTROL!$C$33, 17.0556, 17.0545) * CHOOSE(CONTROL!$C$16, $D$10, 100%, $F$10)</f>
        <v>17.055599999999998</v>
      </c>
      <c r="C578" s="8">
        <f>CHOOSE( CONTROL!$C$33, 17.0607, 17.0596) * CHOOSE(CONTROL!$C$16, $D$10, 100%, $F$10)</f>
        <v>17.060700000000001</v>
      </c>
      <c r="D578" s="8">
        <f>CHOOSE( CONTROL!$C$33, 17.0404, 17.0393) * CHOOSE( CONTROL!$C$16, $D$10, 100%, $F$10)</f>
        <v>17.040400000000002</v>
      </c>
      <c r="E578" s="12">
        <f>CHOOSE( CONTROL!$C$33, 17.0473, 17.0462) * CHOOSE( CONTROL!$C$16, $D$10, 100%, $F$10)</f>
        <v>17.0473</v>
      </c>
      <c r="F578" s="4">
        <f>CHOOSE( CONTROL!$C$33, 17.7185, 17.7174) * CHOOSE(CONTROL!$C$16, $D$10, 100%, $F$10)</f>
        <v>17.718499999999999</v>
      </c>
      <c r="G578" s="8">
        <f>CHOOSE( CONTROL!$C$33, 16.8537, 16.8525) * CHOOSE( CONTROL!$C$16, $D$10, 100%, $F$10)</f>
        <v>16.8537</v>
      </c>
      <c r="H578" s="4">
        <f>CHOOSE( CONTROL!$C$33, 17.7452, 17.7441) * CHOOSE(CONTROL!$C$16, $D$10, 100%, $F$10)</f>
        <v>17.745200000000001</v>
      </c>
      <c r="I578" s="8">
        <f>CHOOSE( CONTROL!$C$33, 16.7051, 16.704) * CHOOSE(CONTROL!$C$16, $D$10, 100%, $F$10)</f>
        <v>16.705100000000002</v>
      </c>
      <c r="J578" s="4">
        <f>CHOOSE( CONTROL!$C$33, 16.5316, 16.5306) * CHOOSE(CONTROL!$C$16, $D$10, 100%, $F$10)</f>
        <v>16.531600000000001</v>
      </c>
      <c r="K578" s="4"/>
      <c r="L578" s="9">
        <v>28.360600000000002</v>
      </c>
      <c r="M578" s="9">
        <v>11.6745</v>
      </c>
      <c r="N578" s="9">
        <v>4.7850000000000001</v>
      </c>
      <c r="O578" s="9">
        <v>0.36199999999999999</v>
      </c>
      <c r="P578" s="9">
        <v>1.2509999999999999</v>
      </c>
      <c r="Q578" s="9">
        <v>19.053000000000001</v>
      </c>
      <c r="R578" s="9"/>
      <c r="S578" s="11"/>
    </row>
    <row r="579" spans="1:19" ht="15" customHeight="1">
      <c r="A579" s="13">
        <v>58806</v>
      </c>
      <c r="B579" s="8">
        <f>CHOOSE( CONTROL!$C$33, 17.0246, 17.0235) * CHOOSE(CONTROL!$C$16, $D$10, 100%, $F$10)</f>
        <v>17.0246</v>
      </c>
      <c r="C579" s="8">
        <f>CHOOSE( CONTROL!$C$33, 17.0297, 17.0286) * CHOOSE(CONTROL!$C$16, $D$10, 100%, $F$10)</f>
        <v>17.029699999999998</v>
      </c>
      <c r="D579" s="8">
        <f>CHOOSE( CONTROL!$C$33, 17.0108, 17.0097) * CHOOSE( CONTROL!$C$16, $D$10, 100%, $F$10)</f>
        <v>17.0108</v>
      </c>
      <c r="E579" s="12">
        <f>CHOOSE( CONTROL!$C$33, 17.0172, 17.0161) * CHOOSE( CONTROL!$C$16, $D$10, 100%, $F$10)</f>
        <v>17.017199999999999</v>
      </c>
      <c r="F579" s="4">
        <f>CHOOSE( CONTROL!$C$33, 17.6875, 17.6863) * CHOOSE(CONTROL!$C$16, $D$10, 100%, $F$10)</f>
        <v>17.6875</v>
      </c>
      <c r="G579" s="8">
        <f>CHOOSE( CONTROL!$C$33, 16.8241, 16.823) * CHOOSE( CONTROL!$C$16, $D$10, 100%, $F$10)</f>
        <v>16.824100000000001</v>
      </c>
      <c r="H579" s="4">
        <f>CHOOSE( CONTROL!$C$33, 17.7146, 17.7134) * CHOOSE(CONTROL!$C$16, $D$10, 100%, $F$10)</f>
        <v>17.714600000000001</v>
      </c>
      <c r="I579" s="8">
        <f>CHOOSE( CONTROL!$C$33, 16.6795, 16.6784) * CHOOSE(CONTROL!$C$16, $D$10, 100%, $F$10)</f>
        <v>16.679500000000001</v>
      </c>
      <c r="J579" s="4">
        <f>CHOOSE( CONTROL!$C$33, 16.5016, 16.5005) * CHOOSE(CONTROL!$C$16, $D$10, 100%, $F$10)</f>
        <v>16.5016</v>
      </c>
      <c r="K579" s="4"/>
      <c r="L579" s="9">
        <v>29.306000000000001</v>
      </c>
      <c r="M579" s="9">
        <v>12.063700000000001</v>
      </c>
      <c r="N579" s="9">
        <v>4.9444999999999997</v>
      </c>
      <c r="O579" s="9">
        <v>0.37409999999999999</v>
      </c>
      <c r="P579" s="9">
        <v>1.2927</v>
      </c>
      <c r="Q579" s="9">
        <v>19.688099999999999</v>
      </c>
      <c r="R579" s="9"/>
      <c r="S579" s="11"/>
    </row>
    <row r="580" spans="1:19" ht="15" customHeight="1">
      <c r="A580" s="13">
        <v>58837</v>
      </c>
      <c r="B580" s="8">
        <f>CHOOSE( CONTROL!$C$33, 17.5272, 17.5261) * CHOOSE(CONTROL!$C$16, $D$10, 100%, $F$10)</f>
        <v>17.527200000000001</v>
      </c>
      <c r="C580" s="8">
        <f>CHOOSE( CONTROL!$C$33, 17.5323, 17.5312) * CHOOSE(CONTROL!$C$16, $D$10, 100%, $F$10)</f>
        <v>17.532299999999999</v>
      </c>
      <c r="D580" s="8">
        <f>CHOOSE( CONTROL!$C$33, 17.5247, 17.5236) * CHOOSE( CONTROL!$C$16, $D$10, 100%, $F$10)</f>
        <v>17.524699999999999</v>
      </c>
      <c r="E580" s="12">
        <f>CHOOSE( CONTROL!$C$33, 17.5269, 17.5258) * CHOOSE( CONTROL!$C$16, $D$10, 100%, $F$10)</f>
        <v>17.526900000000001</v>
      </c>
      <c r="F580" s="4">
        <f>CHOOSE( CONTROL!$C$33, 18.1901, 18.189) * CHOOSE(CONTROL!$C$16, $D$10, 100%, $F$10)</f>
        <v>18.190100000000001</v>
      </c>
      <c r="G580" s="8">
        <f>CHOOSE( CONTROL!$C$33, 17.3256, 17.3245) * CHOOSE( CONTROL!$C$16, $D$10, 100%, $F$10)</f>
        <v>17.325600000000001</v>
      </c>
      <c r="H580" s="4">
        <f>CHOOSE( CONTROL!$C$33, 18.2102, 18.2091) * CHOOSE(CONTROL!$C$16, $D$10, 100%, $F$10)</f>
        <v>18.2102</v>
      </c>
      <c r="I580" s="8">
        <f>CHOOSE( CONTROL!$C$33, 17.1577, 17.1566) * CHOOSE(CONTROL!$C$16, $D$10, 100%, $F$10)</f>
        <v>17.157699999999998</v>
      </c>
      <c r="J580" s="4">
        <f>CHOOSE( CONTROL!$C$33, 16.9883, 16.9872) * CHOOSE(CONTROL!$C$16, $D$10, 100%, $F$10)</f>
        <v>16.988299999999999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" customHeight="1">
      <c r="A581" s="13">
        <v>58865</v>
      </c>
      <c r="B581" s="8">
        <f>CHOOSE( CONTROL!$C$33, 16.3931, 16.392) * CHOOSE(CONTROL!$C$16, $D$10, 100%, $F$10)</f>
        <v>16.3931</v>
      </c>
      <c r="C581" s="8">
        <f>CHOOSE( CONTROL!$C$33, 16.3982, 16.3971) * CHOOSE(CONTROL!$C$16, $D$10, 100%, $F$10)</f>
        <v>16.398199999999999</v>
      </c>
      <c r="D581" s="8">
        <f>CHOOSE( CONTROL!$C$33, 16.3904, 16.3893) * CHOOSE( CONTROL!$C$16, $D$10, 100%, $F$10)</f>
        <v>16.3904</v>
      </c>
      <c r="E581" s="12">
        <f>CHOOSE( CONTROL!$C$33, 16.3927, 16.3916) * CHOOSE( CONTROL!$C$16, $D$10, 100%, $F$10)</f>
        <v>16.392700000000001</v>
      </c>
      <c r="F581" s="4">
        <f>CHOOSE( CONTROL!$C$33, 17.056, 17.0548) * CHOOSE(CONTROL!$C$16, $D$10, 100%, $F$10)</f>
        <v>17.056000000000001</v>
      </c>
      <c r="G581" s="8">
        <f>CHOOSE( CONTROL!$C$33, 16.2071, 16.206) * CHOOSE( CONTROL!$C$16, $D$10, 100%, $F$10)</f>
        <v>16.207100000000001</v>
      </c>
      <c r="H581" s="4">
        <f>CHOOSE( CONTROL!$C$33, 17.0919, 17.0908) * CHOOSE(CONTROL!$C$16, $D$10, 100%, $F$10)</f>
        <v>17.091899999999999</v>
      </c>
      <c r="I581" s="8">
        <f>CHOOSE( CONTROL!$C$33, 16.0584, 16.0573) * CHOOSE(CONTROL!$C$16, $D$10, 100%, $F$10)</f>
        <v>16.058399999999999</v>
      </c>
      <c r="J581" s="4">
        <f>CHOOSE( CONTROL!$C$33, 15.8901, 15.889) * CHOOSE(CONTROL!$C$16, $D$10, 100%, $F$10)</f>
        <v>15.8901</v>
      </c>
      <c r="K581" s="4"/>
      <c r="L581" s="9">
        <v>26.469899999999999</v>
      </c>
      <c r="M581" s="9">
        <v>10.8962</v>
      </c>
      <c r="N581" s="9">
        <v>4.4660000000000002</v>
      </c>
      <c r="O581" s="9">
        <v>0.33789999999999998</v>
      </c>
      <c r="P581" s="9">
        <v>1.1676</v>
      </c>
      <c r="Q581" s="9">
        <v>17.782800000000002</v>
      </c>
      <c r="R581" s="9"/>
      <c r="S581" s="11"/>
    </row>
    <row r="582" spans="1:19" ht="15" customHeight="1">
      <c r="A582" s="13">
        <v>58893</v>
      </c>
      <c r="B582" s="8">
        <f>CHOOSE( CONTROL!$C$33, 16.0438, 16.0427) * CHOOSE(CONTROL!$C$16, $D$10, 100%, $F$10)</f>
        <v>16.043800000000001</v>
      </c>
      <c r="C582" s="8">
        <f>CHOOSE( CONTROL!$C$33, 16.0489, 16.0478) * CHOOSE(CONTROL!$C$16, $D$10, 100%, $F$10)</f>
        <v>16.0489</v>
      </c>
      <c r="D582" s="8">
        <f>CHOOSE( CONTROL!$C$33, 16.0403, 16.0392) * CHOOSE( CONTROL!$C$16, $D$10, 100%, $F$10)</f>
        <v>16.040299999999998</v>
      </c>
      <c r="E582" s="12">
        <f>CHOOSE( CONTROL!$C$33, 16.0429, 16.0418) * CHOOSE( CONTROL!$C$16, $D$10, 100%, $F$10)</f>
        <v>16.042899999999999</v>
      </c>
      <c r="F582" s="4">
        <f>CHOOSE( CONTROL!$C$33, 16.7067, 16.7055) * CHOOSE(CONTROL!$C$16, $D$10, 100%, $F$10)</f>
        <v>16.706700000000001</v>
      </c>
      <c r="G582" s="8">
        <f>CHOOSE( CONTROL!$C$33, 15.8621, 15.861) * CHOOSE( CONTROL!$C$16, $D$10, 100%, $F$10)</f>
        <v>15.8621</v>
      </c>
      <c r="H582" s="4">
        <f>CHOOSE( CONTROL!$C$33, 16.7474, 16.7463) * CHOOSE(CONTROL!$C$16, $D$10, 100%, $F$10)</f>
        <v>16.747399999999999</v>
      </c>
      <c r="I582" s="8">
        <f>CHOOSE( CONTROL!$C$33, 15.7177, 15.7166) * CHOOSE(CONTROL!$C$16, $D$10, 100%, $F$10)</f>
        <v>15.717700000000001</v>
      </c>
      <c r="J582" s="4">
        <f>CHOOSE( CONTROL!$C$33, 15.5519, 15.5508) * CHOOSE(CONTROL!$C$16, $D$10, 100%, $F$10)</f>
        <v>15.5519</v>
      </c>
      <c r="K582" s="4"/>
      <c r="L582" s="9">
        <v>29.306000000000001</v>
      </c>
      <c r="M582" s="9">
        <v>12.063700000000001</v>
      </c>
      <c r="N582" s="9">
        <v>4.9444999999999997</v>
      </c>
      <c r="O582" s="9">
        <v>0.37409999999999999</v>
      </c>
      <c r="P582" s="9">
        <v>1.2927</v>
      </c>
      <c r="Q582" s="9">
        <v>19.688099999999999</v>
      </c>
      <c r="R582" s="9"/>
      <c r="S582" s="11"/>
    </row>
    <row r="583" spans="1:19" ht="15" customHeight="1">
      <c r="A583" s="13">
        <v>58926</v>
      </c>
      <c r="B583" s="8">
        <f>CHOOSE( CONTROL!$C$33, 16.2886, 16.2875) * CHOOSE(CONTROL!$C$16, $D$10, 100%, $F$10)</f>
        <v>16.288599999999999</v>
      </c>
      <c r="C583" s="8">
        <f>CHOOSE( CONTROL!$C$33, 16.2932, 16.292) * CHOOSE(CONTROL!$C$16, $D$10, 100%, $F$10)</f>
        <v>16.293199999999999</v>
      </c>
      <c r="D583" s="8">
        <f>CHOOSE( CONTROL!$C$33, 16.322, 16.3209) * CHOOSE( CONTROL!$C$16, $D$10, 100%, $F$10)</f>
        <v>16.321999999999999</v>
      </c>
      <c r="E583" s="12">
        <f>CHOOSE( CONTROL!$C$33, 16.312, 16.3108) * CHOOSE( CONTROL!$C$16, $D$10, 100%, $F$10)</f>
        <v>16.312000000000001</v>
      </c>
      <c r="F583" s="4">
        <f>CHOOSE( CONTROL!$C$33, 17.0669, 17.0658) * CHOOSE(CONTROL!$C$16, $D$10, 100%, $F$10)</f>
        <v>17.0669</v>
      </c>
      <c r="G583" s="8">
        <f>CHOOSE( CONTROL!$C$33, 16.1238, 16.1227) * CHOOSE( CONTROL!$C$16, $D$10, 100%, $F$10)</f>
        <v>16.123799999999999</v>
      </c>
      <c r="H583" s="4">
        <f>CHOOSE( CONTROL!$C$33, 17.1027, 17.1016) * CHOOSE(CONTROL!$C$16, $D$10, 100%, $F$10)</f>
        <v>17.102699999999999</v>
      </c>
      <c r="I583" s="8">
        <f>CHOOSE( CONTROL!$C$33, 15.9122, 15.9111) * CHOOSE(CONTROL!$C$16, $D$10, 100%, $F$10)</f>
        <v>15.9122</v>
      </c>
      <c r="J583" s="4">
        <f>CHOOSE( CONTROL!$C$33, 15.7882, 15.7871) * CHOOSE(CONTROL!$C$16, $D$10, 100%, $F$10)</f>
        <v>15.7882</v>
      </c>
      <c r="K583" s="4"/>
      <c r="L583" s="9">
        <v>30.092199999999998</v>
      </c>
      <c r="M583" s="9">
        <v>11.6745</v>
      </c>
      <c r="N583" s="9">
        <v>4.7850000000000001</v>
      </c>
      <c r="O583" s="9">
        <v>0.36199999999999999</v>
      </c>
      <c r="P583" s="9">
        <v>1.2509999999999999</v>
      </c>
      <c r="Q583" s="9">
        <v>19.053000000000001</v>
      </c>
      <c r="R583" s="9"/>
      <c r="S583" s="11"/>
    </row>
    <row r="584" spans="1:19" ht="15" customHeight="1">
      <c r="A584" s="13">
        <v>58957</v>
      </c>
      <c r="B584" s="8">
        <f>CHOOSE( CONTROL!$C$33, 16.7249, 16.7233) * CHOOSE(CONTROL!$C$16, $D$10, 100%, $F$10)</f>
        <v>16.724900000000002</v>
      </c>
      <c r="C584" s="8">
        <f>CHOOSE( CONTROL!$C$33, 16.7329, 16.7313) * CHOOSE(CONTROL!$C$16, $D$10, 100%, $F$10)</f>
        <v>16.732900000000001</v>
      </c>
      <c r="D584" s="8">
        <f>CHOOSE( CONTROL!$C$33, 16.7551, 16.7535) * CHOOSE( CONTROL!$C$16, $D$10, 100%, $F$10)</f>
        <v>16.755099999999999</v>
      </c>
      <c r="E584" s="12">
        <f>CHOOSE( CONTROL!$C$33, 16.7458, 16.7442) * CHOOSE( CONTROL!$C$16, $D$10, 100%, $F$10)</f>
        <v>16.745799999999999</v>
      </c>
      <c r="F584" s="4">
        <f>CHOOSE( CONTROL!$C$33, 17.5018, 17.5002) * CHOOSE(CONTROL!$C$16, $D$10, 100%, $F$10)</f>
        <v>17.501799999999999</v>
      </c>
      <c r="G584" s="8">
        <f>CHOOSE( CONTROL!$C$33, 16.5525, 16.551) * CHOOSE( CONTROL!$C$16, $D$10, 100%, $F$10)</f>
        <v>16.552499999999998</v>
      </c>
      <c r="H584" s="4">
        <f>CHOOSE( CONTROL!$C$33, 17.5315, 17.5299) * CHOOSE(CONTROL!$C$16, $D$10, 100%, $F$10)</f>
        <v>17.531500000000001</v>
      </c>
      <c r="I584" s="8">
        <f>CHOOSE( CONTROL!$C$33, 16.3331, 16.3316) * CHOOSE(CONTROL!$C$16, $D$10, 100%, $F$10)</f>
        <v>16.333100000000002</v>
      </c>
      <c r="J584" s="4">
        <f>CHOOSE( CONTROL!$C$33, 16.2093, 16.2078) * CHOOSE(CONTROL!$C$16, $D$10, 100%, $F$10)</f>
        <v>16.209299999999999</v>
      </c>
      <c r="K584" s="4"/>
      <c r="L584" s="9">
        <v>30.7165</v>
      </c>
      <c r="M584" s="9">
        <v>12.063700000000001</v>
      </c>
      <c r="N584" s="9">
        <v>4.9444999999999997</v>
      </c>
      <c r="O584" s="9">
        <v>0.37409999999999999</v>
      </c>
      <c r="P584" s="9">
        <v>1.2927</v>
      </c>
      <c r="Q584" s="9">
        <v>19.688099999999999</v>
      </c>
      <c r="R584" s="9"/>
      <c r="S584" s="11"/>
    </row>
    <row r="585" spans="1:19" ht="15" customHeight="1">
      <c r="A585" s="13">
        <v>58987</v>
      </c>
      <c r="B585" s="8">
        <f>CHOOSE( CONTROL!$C$33, 16.4558, 16.4542) * CHOOSE(CONTROL!$C$16, $D$10, 100%, $F$10)</f>
        <v>16.4558</v>
      </c>
      <c r="C585" s="8">
        <f>CHOOSE( CONTROL!$C$33, 16.4638, 16.4622) * CHOOSE(CONTROL!$C$16, $D$10, 100%, $F$10)</f>
        <v>16.463799999999999</v>
      </c>
      <c r="D585" s="8">
        <f>CHOOSE( CONTROL!$C$33, 16.4862, 16.4846) * CHOOSE( CONTROL!$C$16, $D$10, 100%, $F$10)</f>
        <v>16.4862</v>
      </c>
      <c r="E585" s="12">
        <f>CHOOSE( CONTROL!$C$33, 16.4769, 16.4753) * CHOOSE( CONTROL!$C$16, $D$10, 100%, $F$10)</f>
        <v>16.476900000000001</v>
      </c>
      <c r="F585" s="4">
        <f>CHOOSE( CONTROL!$C$33, 17.2327, 17.2311) * CHOOSE(CONTROL!$C$16, $D$10, 100%, $F$10)</f>
        <v>17.232700000000001</v>
      </c>
      <c r="G585" s="8">
        <f>CHOOSE( CONTROL!$C$33, 16.2873, 16.2858) * CHOOSE( CONTROL!$C$16, $D$10, 100%, $F$10)</f>
        <v>16.287299999999998</v>
      </c>
      <c r="H585" s="4">
        <f>CHOOSE( CONTROL!$C$33, 17.2661, 17.2646) * CHOOSE(CONTROL!$C$16, $D$10, 100%, $F$10)</f>
        <v>17.266100000000002</v>
      </c>
      <c r="I585" s="8">
        <f>CHOOSE( CONTROL!$C$33, 16.073, 16.0715) * CHOOSE(CONTROL!$C$16, $D$10, 100%, $F$10)</f>
        <v>16.073</v>
      </c>
      <c r="J585" s="4">
        <f>CHOOSE( CONTROL!$C$33, 15.9487, 15.9472) * CHOOSE(CONTROL!$C$16, $D$10, 100%, $F$10)</f>
        <v>15.948700000000001</v>
      </c>
      <c r="K585" s="4"/>
      <c r="L585" s="9">
        <v>29.7257</v>
      </c>
      <c r="M585" s="9">
        <v>11.6745</v>
      </c>
      <c r="N585" s="9">
        <v>4.7850000000000001</v>
      </c>
      <c r="O585" s="9">
        <v>0.36199999999999999</v>
      </c>
      <c r="P585" s="9">
        <v>1.2509999999999999</v>
      </c>
      <c r="Q585" s="9">
        <v>19.053000000000001</v>
      </c>
      <c r="R585" s="9"/>
      <c r="S585" s="11"/>
    </row>
    <row r="586" spans="1:19" ht="15" customHeight="1">
      <c r="A586" s="13">
        <v>59018</v>
      </c>
      <c r="B586" s="8">
        <f>CHOOSE( CONTROL!$C$33, 17.1644, 17.1629) * CHOOSE(CONTROL!$C$16, $D$10, 100%, $F$10)</f>
        <v>17.164400000000001</v>
      </c>
      <c r="C586" s="8">
        <f>CHOOSE( CONTROL!$C$33, 17.1724, 17.1709) * CHOOSE(CONTROL!$C$16, $D$10, 100%, $F$10)</f>
        <v>17.1724</v>
      </c>
      <c r="D586" s="8">
        <f>CHOOSE( CONTROL!$C$33, 17.1951, 17.1935) * CHOOSE( CONTROL!$C$16, $D$10, 100%, $F$10)</f>
        <v>17.1951</v>
      </c>
      <c r="E586" s="12">
        <f>CHOOSE( CONTROL!$C$33, 17.1857, 17.1841) * CHOOSE( CONTROL!$C$16, $D$10, 100%, $F$10)</f>
        <v>17.185700000000001</v>
      </c>
      <c r="F586" s="4">
        <f>CHOOSE( CONTROL!$C$33, 17.9414, 17.9398) * CHOOSE(CONTROL!$C$16, $D$10, 100%, $F$10)</f>
        <v>17.941400000000002</v>
      </c>
      <c r="G586" s="8">
        <f>CHOOSE( CONTROL!$C$33, 16.9863, 16.9847) * CHOOSE( CONTROL!$C$16, $D$10, 100%, $F$10)</f>
        <v>16.9863</v>
      </c>
      <c r="H586" s="4">
        <f>CHOOSE( CONTROL!$C$33, 17.9649, 17.9634) * CHOOSE(CONTROL!$C$16, $D$10, 100%, $F$10)</f>
        <v>17.9649</v>
      </c>
      <c r="I586" s="8">
        <f>CHOOSE( CONTROL!$C$33, 16.7603, 16.7588) * CHOOSE(CONTROL!$C$16, $D$10, 100%, $F$10)</f>
        <v>16.760300000000001</v>
      </c>
      <c r="J586" s="4">
        <f>CHOOSE( CONTROL!$C$33, 16.6349, 16.6334) * CHOOSE(CONTROL!$C$16, $D$10, 100%, $F$10)</f>
        <v>16.634899999999998</v>
      </c>
      <c r="K586" s="4"/>
      <c r="L586" s="9">
        <v>30.7165</v>
      </c>
      <c r="M586" s="9">
        <v>12.063700000000001</v>
      </c>
      <c r="N586" s="9">
        <v>4.9444999999999997</v>
      </c>
      <c r="O586" s="9">
        <v>0.37409999999999999</v>
      </c>
      <c r="P586" s="9">
        <v>1.2927</v>
      </c>
      <c r="Q586" s="9">
        <v>19.688099999999999</v>
      </c>
      <c r="R586" s="9"/>
      <c r="S586" s="11"/>
    </row>
    <row r="587" spans="1:19" ht="15" customHeight="1">
      <c r="A587" s="13">
        <v>59049</v>
      </c>
      <c r="B587" s="8">
        <f>CHOOSE( CONTROL!$C$33, 15.8384, 15.8369) * CHOOSE(CONTROL!$C$16, $D$10, 100%, $F$10)</f>
        <v>15.8384</v>
      </c>
      <c r="C587" s="8">
        <f>CHOOSE( CONTROL!$C$33, 15.8464, 15.8449) * CHOOSE(CONTROL!$C$16, $D$10, 100%, $F$10)</f>
        <v>15.846399999999999</v>
      </c>
      <c r="D587" s="8">
        <f>CHOOSE( CONTROL!$C$33, 15.8691, 15.8675) * CHOOSE( CONTROL!$C$16, $D$10, 100%, $F$10)</f>
        <v>15.8691</v>
      </c>
      <c r="E587" s="12">
        <f>CHOOSE( CONTROL!$C$33, 15.8597, 15.8581) * CHOOSE( CONTROL!$C$16, $D$10, 100%, $F$10)</f>
        <v>15.8597</v>
      </c>
      <c r="F587" s="4">
        <f>CHOOSE( CONTROL!$C$33, 16.6154, 16.6138) * CHOOSE(CONTROL!$C$16, $D$10, 100%, $F$10)</f>
        <v>16.615400000000001</v>
      </c>
      <c r="G587" s="8">
        <f>CHOOSE( CONTROL!$C$33, 15.6788, 15.6772) * CHOOSE( CONTROL!$C$16, $D$10, 100%, $F$10)</f>
        <v>15.678800000000001</v>
      </c>
      <c r="H587" s="4">
        <f>CHOOSE( CONTROL!$C$33, 16.6574, 16.6558) * CHOOSE(CONTROL!$C$16, $D$10, 100%, $F$10)</f>
        <v>16.657399999999999</v>
      </c>
      <c r="I587" s="8">
        <f>CHOOSE( CONTROL!$C$33, 15.4759, 15.4743) * CHOOSE(CONTROL!$C$16, $D$10, 100%, $F$10)</f>
        <v>15.475899999999999</v>
      </c>
      <c r="J587" s="4">
        <f>CHOOSE( CONTROL!$C$33, 15.351, 15.3494) * CHOOSE(CONTROL!$C$16, $D$10, 100%, $F$10)</f>
        <v>15.351000000000001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1.2927</v>
      </c>
      <c r="Q587" s="9">
        <v>19.688099999999999</v>
      </c>
      <c r="R587" s="9"/>
      <c r="S587" s="11"/>
    </row>
    <row r="588" spans="1:19" ht="15" customHeight="1">
      <c r="A588" s="13">
        <v>59079</v>
      </c>
      <c r="B588" s="8">
        <f>CHOOSE( CONTROL!$C$33, 15.5064, 15.5048) * CHOOSE(CONTROL!$C$16, $D$10, 100%, $F$10)</f>
        <v>15.506399999999999</v>
      </c>
      <c r="C588" s="8">
        <f>CHOOSE( CONTROL!$C$33, 15.5144, 15.5128) * CHOOSE(CONTROL!$C$16, $D$10, 100%, $F$10)</f>
        <v>15.5144</v>
      </c>
      <c r="D588" s="8">
        <f>CHOOSE( CONTROL!$C$33, 15.5369, 15.5354) * CHOOSE( CONTROL!$C$16, $D$10, 100%, $F$10)</f>
        <v>15.536899999999999</v>
      </c>
      <c r="E588" s="12">
        <f>CHOOSE( CONTROL!$C$33, 15.5275, 15.526) * CHOOSE( CONTROL!$C$16, $D$10, 100%, $F$10)</f>
        <v>15.5275</v>
      </c>
      <c r="F588" s="4">
        <f>CHOOSE( CONTROL!$C$33, 16.2833, 16.2817) * CHOOSE(CONTROL!$C$16, $D$10, 100%, $F$10)</f>
        <v>16.283300000000001</v>
      </c>
      <c r="G588" s="8">
        <f>CHOOSE( CONTROL!$C$33, 15.3513, 15.3497) * CHOOSE( CONTROL!$C$16, $D$10, 100%, $F$10)</f>
        <v>15.3513</v>
      </c>
      <c r="H588" s="4">
        <f>CHOOSE( CONTROL!$C$33, 16.33, 16.3284) * CHOOSE(CONTROL!$C$16, $D$10, 100%, $F$10)</f>
        <v>16.329999999999998</v>
      </c>
      <c r="I588" s="8">
        <f>CHOOSE( CONTROL!$C$33, 15.1537, 15.1522) * CHOOSE(CONTROL!$C$16, $D$10, 100%, $F$10)</f>
        <v>15.153700000000001</v>
      </c>
      <c r="J588" s="4">
        <f>CHOOSE( CONTROL!$C$33, 15.0294, 15.0279) * CHOOSE(CONTROL!$C$16, $D$10, 100%, $F$10)</f>
        <v>15.029400000000001</v>
      </c>
      <c r="K588" s="4"/>
      <c r="L588" s="9">
        <v>29.7257</v>
      </c>
      <c r="M588" s="9">
        <v>11.6745</v>
      </c>
      <c r="N588" s="9">
        <v>4.7850000000000001</v>
      </c>
      <c r="O588" s="9">
        <v>0.36199999999999999</v>
      </c>
      <c r="P588" s="9">
        <v>1.2509999999999999</v>
      </c>
      <c r="Q588" s="9">
        <v>19.053000000000001</v>
      </c>
      <c r="R588" s="9"/>
      <c r="S588" s="11"/>
    </row>
    <row r="589" spans="1:19" ht="15" customHeight="1">
      <c r="A589" s="13">
        <v>59110</v>
      </c>
      <c r="B589" s="8">
        <f>CHOOSE( CONTROL!$C$33, 16.1937, 16.1925) * CHOOSE(CONTROL!$C$16, $D$10, 100%, $F$10)</f>
        <v>16.1937</v>
      </c>
      <c r="C589" s="8">
        <f>CHOOSE( CONTROL!$C$33, 16.199, 16.1979) * CHOOSE(CONTROL!$C$16, $D$10, 100%, $F$10)</f>
        <v>16.199000000000002</v>
      </c>
      <c r="D589" s="8">
        <f>CHOOSE( CONTROL!$C$33, 16.2278, 16.2267) * CHOOSE( CONTROL!$C$16, $D$10, 100%, $F$10)</f>
        <v>16.227799999999998</v>
      </c>
      <c r="E589" s="12">
        <f>CHOOSE( CONTROL!$C$33, 16.2177, 16.2166) * CHOOSE( CONTROL!$C$16, $D$10, 100%, $F$10)</f>
        <v>16.217700000000001</v>
      </c>
      <c r="F589" s="4">
        <f>CHOOSE( CONTROL!$C$33, 16.9723, 16.9712) * CHOOSE(CONTROL!$C$16, $D$10, 100%, $F$10)</f>
        <v>16.972300000000001</v>
      </c>
      <c r="G589" s="8">
        <f>CHOOSE( CONTROL!$C$33, 16.0308, 16.0297) * CHOOSE( CONTROL!$C$16, $D$10, 100%, $F$10)</f>
        <v>16.030799999999999</v>
      </c>
      <c r="H589" s="4">
        <f>CHOOSE( CONTROL!$C$33, 17.0094, 17.0083) * CHOOSE(CONTROL!$C$16, $D$10, 100%, $F$10)</f>
        <v>17.009399999999999</v>
      </c>
      <c r="I589" s="8">
        <f>CHOOSE( CONTROL!$C$33, 15.8218, 15.8207) * CHOOSE(CONTROL!$C$16, $D$10, 100%, $F$10)</f>
        <v>15.8218</v>
      </c>
      <c r="J589" s="4">
        <f>CHOOSE( CONTROL!$C$33, 15.6966, 15.6955) * CHOOSE(CONTROL!$C$16, $D$10, 100%, $F$10)</f>
        <v>15.6966</v>
      </c>
      <c r="K589" s="4"/>
      <c r="L589" s="9">
        <v>31.095300000000002</v>
      </c>
      <c r="M589" s="9">
        <v>12.063700000000001</v>
      </c>
      <c r="N589" s="9">
        <v>4.9444999999999997</v>
      </c>
      <c r="O589" s="9">
        <v>0.37409999999999999</v>
      </c>
      <c r="P589" s="9">
        <v>1.2927</v>
      </c>
      <c r="Q589" s="9">
        <v>19.688099999999999</v>
      </c>
      <c r="R589" s="9"/>
      <c r="S589" s="11"/>
    </row>
    <row r="590" spans="1:19" ht="15" customHeight="1">
      <c r="A590" s="13">
        <v>59140</v>
      </c>
      <c r="B590" s="8">
        <f>CHOOSE( CONTROL!$C$33, 17.4658, 17.4647) * CHOOSE(CONTROL!$C$16, $D$10, 100%, $F$10)</f>
        <v>17.465800000000002</v>
      </c>
      <c r="C590" s="8">
        <f>CHOOSE( CONTROL!$C$33, 17.4709, 17.4698) * CHOOSE(CONTROL!$C$16, $D$10, 100%, $F$10)</f>
        <v>17.4709</v>
      </c>
      <c r="D590" s="8">
        <f>CHOOSE( CONTROL!$C$33, 17.4506, 17.4495) * CHOOSE( CONTROL!$C$16, $D$10, 100%, $F$10)</f>
        <v>17.450600000000001</v>
      </c>
      <c r="E590" s="12">
        <f>CHOOSE( CONTROL!$C$33, 17.4575, 17.4564) * CHOOSE( CONTROL!$C$16, $D$10, 100%, $F$10)</f>
        <v>17.4575</v>
      </c>
      <c r="F590" s="4">
        <f>CHOOSE( CONTROL!$C$33, 18.1287, 18.1276) * CHOOSE(CONTROL!$C$16, $D$10, 100%, $F$10)</f>
        <v>18.128699999999998</v>
      </c>
      <c r="G590" s="8">
        <f>CHOOSE( CONTROL!$C$33, 17.2581, 17.257) * CHOOSE( CONTROL!$C$16, $D$10, 100%, $F$10)</f>
        <v>17.258099999999999</v>
      </c>
      <c r="H590" s="4">
        <f>CHOOSE( CONTROL!$C$33, 18.1496, 18.1485) * CHOOSE(CONTROL!$C$16, $D$10, 100%, $F$10)</f>
        <v>18.1496</v>
      </c>
      <c r="I590" s="8">
        <f>CHOOSE( CONTROL!$C$33, 17.1025, 17.1014) * CHOOSE(CONTROL!$C$16, $D$10, 100%, $F$10)</f>
        <v>17.102499999999999</v>
      </c>
      <c r="J590" s="4">
        <f>CHOOSE( CONTROL!$C$33, 16.9288, 16.9277) * CHOOSE(CONTROL!$C$16, $D$10, 100%, $F$10)</f>
        <v>16.928799999999999</v>
      </c>
      <c r="K590" s="4"/>
      <c r="L590" s="9">
        <v>28.360600000000002</v>
      </c>
      <c r="M590" s="9">
        <v>11.6745</v>
      </c>
      <c r="N590" s="9">
        <v>4.7850000000000001</v>
      </c>
      <c r="O590" s="9">
        <v>0.36199999999999999</v>
      </c>
      <c r="P590" s="9">
        <v>1.2509999999999999</v>
      </c>
      <c r="Q590" s="9">
        <v>19.053000000000001</v>
      </c>
      <c r="R590" s="9"/>
      <c r="S590" s="11"/>
    </row>
    <row r="591" spans="1:19" ht="15" customHeight="1">
      <c r="A591" s="13">
        <v>59171</v>
      </c>
      <c r="B591" s="8">
        <f>CHOOSE( CONTROL!$C$33, 17.434, 17.4329) * CHOOSE(CONTROL!$C$16, $D$10, 100%, $F$10)</f>
        <v>17.434000000000001</v>
      </c>
      <c r="C591" s="8">
        <f>CHOOSE( CONTROL!$C$33, 17.4391, 17.438) * CHOOSE(CONTROL!$C$16, $D$10, 100%, $F$10)</f>
        <v>17.4391</v>
      </c>
      <c r="D591" s="8">
        <f>CHOOSE( CONTROL!$C$33, 17.4203, 17.4191) * CHOOSE( CONTROL!$C$16, $D$10, 100%, $F$10)</f>
        <v>17.420300000000001</v>
      </c>
      <c r="E591" s="12">
        <f>CHOOSE( CONTROL!$C$33, 17.4266, 17.4255) * CHOOSE( CONTROL!$C$16, $D$10, 100%, $F$10)</f>
        <v>17.426600000000001</v>
      </c>
      <c r="F591" s="4">
        <f>CHOOSE( CONTROL!$C$33, 18.0969, 18.0958) * CHOOSE(CONTROL!$C$16, $D$10, 100%, $F$10)</f>
        <v>18.096900000000002</v>
      </c>
      <c r="G591" s="8">
        <f>CHOOSE( CONTROL!$C$33, 17.2278, 17.2267) * CHOOSE( CONTROL!$C$16, $D$10, 100%, $F$10)</f>
        <v>17.227799999999998</v>
      </c>
      <c r="H591" s="4">
        <f>CHOOSE( CONTROL!$C$33, 18.1183, 18.1172) * CHOOSE(CONTROL!$C$16, $D$10, 100%, $F$10)</f>
        <v>18.118300000000001</v>
      </c>
      <c r="I591" s="8">
        <f>CHOOSE( CONTROL!$C$33, 17.0762, 17.0751) * CHOOSE(CONTROL!$C$16, $D$10, 100%, $F$10)</f>
        <v>17.0762</v>
      </c>
      <c r="J591" s="4">
        <f>CHOOSE( CONTROL!$C$33, 16.898, 16.897) * CHOOSE(CONTROL!$C$16, $D$10, 100%, $F$10)</f>
        <v>16.898</v>
      </c>
      <c r="K591" s="4"/>
      <c r="L591" s="9">
        <v>29.306000000000001</v>
      </c>
      <c r="M591" s="9">
        <v>12.063700000000001</v>
      </c>
      <c r="N591" s="9">
        <v>4.9444999999999997</v>
      </c>
      <c r="O591" s="9">
        <v>0.37409999999999999</v>
      </c>
      <c r="P591" s="9">
        <v>1.2927</v>
      </c>
      <c r="Q591" s="9">
        <v>19.688099999999999</v>
      </c>
      <c r="R591" s="9"/>
      <c r="S591" s="11"/>
    </row>
    <row r="592" spans="1:19" ht="15" customHeight="1">
      <c r="A592" s="13">
        <v>59202</v>
      </c>
      <c r="B592" s="8">
        <f>CHOOSE( CONTROL!$C$33, 17.9488, 17.9476) * CHOOSE(CONTROL!$C$16, $D$10, 100%, $F$10)</f>
        <v>17.948799999999999</v>
      </c>
      <c r="C592" s="8">
        <f>CHOOSE( CONTROL!$C$33, 17.9539, 17.9527) * CHOOSE(CONTROL!$C$16, $D$10, 100%, $F$10)</f>
        <v>17.953900000000001</v>
      </c>
      <c r="D592" s="8">
        <f>CHOOSE( CONTROL!$C$33, 17.9462, 17.9451) * CHOOSE( CONTROL!$C$16, $D$10, 100%, $F$10)</f>
        <v>17.946200000000001</v>
      </c>
      <c r="E592" s="12">
        <f>CHOOSE( CONTROL!$C$33, 17.9485, 17.9473) * CHOOSE( CONTROL!$C$16, $D$10, 100%, $F$10)</f>
        <v>17.948499999999999</v>
      </c>
      <c r="F592" s="4">
        <f>CHOOSE( CONTROL!$C$33, 18.6116, 18.6105) * CHOOSE(CONTROL!$C$16, $D$10, 100%, $F$10)</f>
        <v>18.611599999999999</v>
      </c>
      <c r="G592" s="8">
        <f>CHOOSE( CONTROL!$C$33, 17.7412, 17.7401) * CHOOSE( CONTROL!$C$16, $D$10, 100%, $F$10)</f>
        <v>17.741199999999999</v>
      </c>
      <c r="H592" s="4">
        <f>CHOOSE( CONTROL!$C$33, 18.6258, 18.6247) * CHOOSE(CONTROL!$C$16, $D$10, 100%, $F$10)</f>
        <v>18.625800000000002</v>
      </c>
      <c r="I592" s="8">
        <f>CHOOSE( CONTROL!$C$33, 17.5661, 17.565) * CHOOSE(CONTROL!$C$16, $D$10, 100%, $F$10)</f>
        <v>17.566099999999999</v>
      </c>
      <c r="J592" s="4">
        <f>CHOOSE( CONTROL!$C$33, 17.3964, 17.3954) * CHOOSE(CONTROL!$C$16, $D$10, 100%, $F$10)</f>
        <v>17.3964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" customHeight="1">
      <c r="A593" s="13">
        <v>59230</v>
      </c>
      <c r="B593" s="8">
        <f>CHOOSE( CONTROL!$C$33, 16.7874, 16.7862) * CHOOSE(CONTROL!$C$16, $D$10, 100%, $F$10)</f>
        <v>16.787400000000002</v>
      </c>
      <c r="C593" s="8">
        <f>CHOOSE( CONTROL!$C$33, 16.7925, 16.7913) * CHOOSE(CONTROL!$C$16, $D$10, 100%, $F$10)</f>
        <v>16.7925</v>
      </c>
      <c r="D593" s="8">
        <f>CHOOSE( CONTROL!$C$33, 16.7846, 16.7835) * CHOOSE( CONTROL!$C$16, $D$10, 100%, $F$10)</f>
        <v>16.784600000000001</v>
      </c>
      <c r="E593" s="12">
        <f>CHOOSE( CONTROL!$C$33, 16.7869, 16.7858) * CHOOSE( CONTROL!$C$16, $D$10, 100%, $F$10)</f>
        <v>16.786899999999999</v>
      </c>
      <c r="F593" s="4">
        <f>CHOOSE( CONTROL!$C$33, 17.4502, 17.4491) * CHOOSE(CONTROL!$C$16, $D$10, 100%, $F$10)</f>
        <v>17.450199999999999</v>
      </c>
      <c r="G593" s="8">
        <f>CHOOSE( CONTROL!$C$33, 16.5959, 16.5948) * CHOOSE( CONTROL!$C$16, $D$10, 100%, $F$10)</f>
        <v>16.5959</v>
      </c>
      <c r="H593" s="4">
        <f>CHOOSE( CONTROL!$C$33, 17.4806, 17.4795) * CHOOSE(CONTROL!$C$16, $D$10, 100%, $F$10)</f>
        <v>17.480599999999999</v>
      </c>
      <c r="I593" s="8">
        <f>CHOOSE( CONTROL!$C$33, 16.4404, 16.4393) * CHOOSE(CONTROL!$C$16, $D$10, 100%, $F$10)</f>
        <v>16.4404</v>
      </c>
      <c r="J593" s="4">
        <f>CHOOSE( CONTROL!$C$33, 16.2719, 16.2708) * CHOOSE(CONTROL!$C$16, $D$10, 100%, $F$10)</f>
        <v>16.271899999999999</v>
      </c>
      <c r="K593" s="4"/>
      <c r="L593" s="9">
        <v>26.469899999999999</v>
      </c>
      <c r="M593" s="9">
        <v>10.8962</v>
      </c>
      <c r="N593" s="9">
        <v>4.4660000000000002</v>
      </c>
      <c r="O593" s="9">
        <v>0.33789999999999998</v>
      </c>
      <c r="P593" s="9">
        <v>1.1676</v>
      </c>
      <c r="Q593" s="9">
        <v>17.782800000000002</v>
      </c>
      <c r="R593" s="9"/>
      <c r="S593" s="11"/>
    </row>
    <row r="594" spans="1:19" ht="15" customHeight="1">
      <c r="A594" s="13">
        <v>59261</v>
      </c>
      <c r="B594" s="8">
        <f>CHOOSE( CONTROL!$C$33, 16.4297, 16.4285) * CHOOSE(CONTROL!$C$16, $D$10, 100%, $F$10)</f>
        <v>16.4297</v>
      </c>
      <c r="C594" s="8">
        <f>CHOOSE( CONTROL!$C$33, 16.4348, 16.4336) * CHOOSE(CONTROL!$C$16, $D$10, 100%, $F$10)</f>
        <v>16.434799999999999</v>
      </c>
      <c r="D594" s="8">
        <f>CHOOSE( CONTROL!$C$33, 16.4262, 16.4251) * CHOOSE( CONTROL!$C$16, $D$10, 100%, $F$10)</f>
        <v>16.426200000000001</v>
      </c>
      <c r="E594" s="12">
        <f>CHOOSE( CONTROL!$C$33, 16.4288, 16.4277) * CHOOSE( CONTROL!$C$16, $D$10, 100%, $F$10)</f>
        <v>16.428799999999999</v>
      </c>
      <c r="F594" s="4">
        <f>CHOOSE( CONTROL!$C$33, 17.0925, 17.0914) * CHOOSE(CONTROL!$C$16, $D$10, 100%, $F$10)</f>
        <v>17.092500000000001</v>
      </c>
      <c r="G594" s="8">
        <f>CHOOSE( CONTROL!$C$33, 16.2426, 16.2415) * CHOOSE( CONTROL!$C$16, $D$10, 100%, $F$10)</f>
        <v>16.242599999999999</v>
      </c>
      <c r="H594" s="4">
        <f>CHOOSE( CONTROL!$C$33, 17.1279, 17.1268) * CHOOSE(CONTROL!$C$16, $D$10, 100%, $F$10)</f>
        <v>17.1279</v>
      </c>
      <c r="I594" s="8">
        <f>CHOOSE( CONTROL!$C$33, 16.0916, 16.0905) * CHOOSE(CONTROL!$C$16, $D$10, 100%, $F$10)</f>
        <v>16.0916</v>
      </c>
      <c r="J594" s="4">
        <f>CHOOSE( CONTROL!$C$33, 15.9255, 15.9244) * CHOOSE(CONTROL!$C$16, $D$10, 100%, $F$10)</f>
        <v>15.9255</v>
      </c>
      <c r="K594" s="4"/>
      <c r="L594" s="9">
        <v>29.306000000000001</v>
      </c>
      <c r="M594" s="9">
        <v>12.063700000000001</v>
      </c>
      <c r="N594" s="9">
        <v>4.9444999999999997</v>
      </c>
      <c r="O594" s="9">
        <v>0.37409999999999999</v>
      </c>
      <c r="P594" s="9">
        <v>1.2927</v>
      </c>
      <c r="Q594" s="9">
        <v>19.688099999999999</v>
      </c>
      <c r="R594" s="9"/>
      <c r="S594" s="11"/>
    </row>
    <row r="595" spans="1:19" ht="15" customHeight="1">
      <c r="A595" s="13">
        <v>59291</v>
      </c>
      <c r="B595" s="8">
        <f>CHOOSE( CONTROL!$C$33, 16.6804, 16.6793) * CHOOSE(CONTROL!$C$16, $D$10, 100%, $F$10)</f>
        <v>16.680399999999999</v>
      </c>
      <c r="C595" s="8">
        <f>CHOOSE( CONTROL!$C$33, 16.6849, 16.6838) * CHOOSE(CONTROL!$C$16, $D$10, 100%, $F$10)</f>
        <v>16.684899999999999</v>
      </c>
      <c r="D595" s="8">
        <f>CHOOSE( CONTROL!$C$33, 16.7138, 16.7127) * CHOOSE( CONTROL!$C$16, $D$10, 100%, $F$10)</f>
        <v>16.713799999999999</v>
      </c>
      <c r="E595" s="12">
        <f>CHOOSE( CONTROL!$C$33, 16.7037, 16.7026) * CHOOSE( CONTROL!$C$16, $D$10, 100%, $F$10)</f>
        <v>16.703700000000001</v>
      </c>
      <c r="F595" s="4">
        <f>CHOOSE( CONTROL!$C$33, 17.4587, 17.4575) * CHOOSE(CONTROL!$C$16, $D$10, 100%, $F$10)</f>
        <v>17.4587</v>
      </c>
      <c r="G595" s="8">
        <f>CHOOSE( CONTROL!$C$33, 16.5101, 16.5089) * CHOOSE( CONTROL!$C$16, $D$10, 100%, $F$10)</f>
        <v>16.510100000000001</v>
      </c>
      <c r="H595" s="4">
        <f>CHOOSE( CONTROL!$C$33, 17.4889, 17.4878) * CHOOSE(CONTROL!$C$16, $D$10, 100%, $F$10)</f>
        <v>17.488900000000001</v>
      </c>
      <c r="I595" s="8">
        <f>CHOOSE( CONTROL!$C$33, 16.2917, 16.2906) * CHOOSE(CONTROL!$C$16, $D$10, 100%, $F$10)</f>
        <v>16.291699999999999</v>
      </c>
      <c r="J595" s="4">
        <f>CHOOSE( CONTROL!$C$33, 16.1675, 16.1664) * CHOOSE(CONTROL!$C$16, $D$10, 100%, $F$10)</f>
        <v>16.1675</v>
      </c>
      <c r="K595" s="4"/>
      <c r="L595" s="9">
        <v>30.092199999999998</v>
      </c>
      <c r="M595" s="9">
        <v>11.6745</v>
      </c>
      <c r="N595" s="9">
        <v>4.7850000000000001</v>
      </c>
      <c r="O595" s="9">
        <v>0.36199999999999999</v>
      </c>
      <c r="P595" s="9">
        <v>1.2509999999999999</v>
      </c>
      <c r="Q595" s="9">
        <v>19.053000000000001</v>
      </c>
      <c r="R595" s="9"/>
      <c r="S595" s="11"/>
    </row>
    <row r="596" spans="1:19" ht="15" customHeight="1">
      <c r="A596" s="13">
        <v>59322</v>
      </c>
      <c r="B596" s="8">
        <f>CHOOSE( CONTROL!$C$33, 17.1271, 17.1255) * CHOOSE(CONTROL!$C$16, $D$10, 100%, $F$10)</f>
        <v>17.127099999999999</v>
      </c>
      <c r="C596" s="8">
        <f>CHOOSE( CONTROL!$C$33, 17.1351, 17.1335) * CHOOSE(CONTROL!$C$16, $D$10, 100%, $F$10)</f>
        <v>17.135100000000001</v>
      </c>
      <c r="D596" s="8">
        <f>CHOOSE( CONTROL!$C$33, 17.1573, 17.1557) * CHOOSE( CONTROL!$C$16, $D$10, 100%, $F$10)</f>
        <v>17.157299999999999</v>
      </c>
      <c r="E596" s="12">
        <f>CHOOSE( CONTROL!$C$33, 17.148, 17.1464) * CHOOSE( CONTROL!$C$16, $D$10, 100%, $F$10)</f>
        <v>17.148</v>
      </c>
      <c r="F596" s="4">
        <f>CHOOSE( CONTROL!$C$33, 17.904, 17.9024) * CHOOSE(CONTROL!$C$16, $D$10, 100%, $F$10)</f>
        <v>17.904</v>
      </c>
      <c r="G596" s="8">
        <f>CHOOSE( CONTROL!$C$33, 16.9491, 16.9475) * CHOOSE( CONTROL!$C$16, $D$10, 100%, $F$10)</f>
        <v>16.949100000000001</v>
      </c>
      <c r="H596" s="4">
        <f>CHOOSE( CONTROL!$C$33, 17.928, 17.9265) * CHOOSE(CONTROL!$C$16, $D$10, 100%, $F$10)</f>
        <v>17.928000000000001</v>
      </c>
      <c r="I596" s="8">
        <f>CHOOSE( CONTROL!$C$33, 16.7227, 16.7212) * CHOOSE(CONTROL!$C$16, $D$10, 100%, $F$10)</f>
        <v>16.7227</v>
      </c>
      <c r="J596" s="4">
        <f>CHOOSE( CONTROL!$C$33, 16.5987, 16.5972) * CHOOSE(CONTROL!$C$16, $D$10, 100%, $F$10)</f>
        <v>16.598700000000001</v>
      </c>
      <c r="K596" s="4"/>
      <c r="L596" s="9">
        <v>30.7165</v>
      </c>
      <c r="M596" s="9">
        <v>12.063700000000001</v>
      </c>
      <c r="N596" s="9">
        <v>4.9444999999999997</v>
      </c>
      <c r="O596" s="9">
        <v>0.37409999999999999</v>
      </c>
      <c r="P596" s="9">
        <v>1.2927</v>
      </c>
      <c r="Q596" s="9">
        <v>19.688099999999999</v>
      </c>
      <c r="R596" s="9"/>
      <c r="S596" s="11"/>
    </row>
    <row r="597" spans="1:19" ht="15" customHeight="1">
      <c r="A597" s="13">
        <v>59352</v>
      </c>
      <c r="B597" s="8">
        <f>CHOOSE( CONTROL!$C$33, 16.8515, 16.8499) * CHOOSE(CONTROL!$C$16, $D$10, 100%, $F$10)</f>
        <v>16.851500000000001</v>
      </c>
      <c r="C597" s="8">
        <f>CHOOSE( CONTROL!$C$33, 16.8595, 16.8579) * CHOOSE(CONTROL!$C$16, $D$10, 100%, $F$10)</f>
        <v>16.859500000000001</v>
      </c>
      <c r="D597" s="8">
        <f>CHOOSE( CONTROL!$C$33, 16.8819, 16.8803) * CHOOSE( CONTROL!$C$16, $D$10, 100%, $F$10)</f>
        <v>16.881900000000002</v>
      </c>
      <c r="E597" s="12">
        <f>CHOOSE( CONTROL!$C$33, 16.8726, 16.871) * CHOOSE( CONTROL!$C$16, $D$10, 100%, $F$10)</f>
        <v>16.872599999999998</v>
      </c>
      <c r="F597" s="4">
        <f>CHOOSE( CONTROL!$C$33, 17.6284, 17.6268) * CHOOSE(CONTROL!$C$16, $D$10, 100%, $F$10)</f>
        <v>17.628399999999999</v>
      </c>
      <c r="G597" s="8">
        <f>CHOOSE( CONTROL!$C$33, 16.6775, 16.6759) * CHOOSE( CONTROL!$C$16, $D$10, 100%, $F$10)</f>
        <v>16.677499999999998</v>
      </c>
      <c r="H597" s="4">
        <f>CHOOSE( CONTROL!$C$33, 17.6563, 17.6548) * CHOOSE(CONTROL!$C$16, $D$10, 100%, $F$10)</f>
        <v>17.656300000000002</v>
      </c>
      <c r="I597" s="8">
        <f>CHOOSE( CONTROL!$C$33, 16.4563, 16.4548) * CHOOSE(CONTROL!$C$16, $D$10, 100%, $F$10)</f>
        <v>16.456299999999999</v>
      </c>
      <c r="J597" s="4">
        <f>CHOOSE( CONTROL!$C$33, 16.3319, 16.3304) * CHOOSE(CONTROL!$C$16, $D$10, 100%, $F$10)</f>
        <v>16.331900000000001</v>
      </c>
      <c r="K597" s="4"/>
      <c r="L597" s="9">
        <v>29.7257</v>
      </c>
      <c r="M597" s="9">
        <v>11.6745</v>
      </c>
      <c r="N597" s="9">
        <v>4.7850000000000001</v>
      </c>
      <c r="O597" s="9">
        <v>0.36199999999999999</v>
      </c>
      <c r="P597" s="9">
        <v>1.2509999999999999</v>
      </c>
      <c r="Q597" s="9">
        <v>19.053000000000001</v>
      </c>
      <c r="R597" s="9"/>
      <c r="S597" s="11"/>
    </row>
    <row r="598" spans="1:19" ht="15" customHeight="1">
      <c r="A598" s="13">
        <v>59383</v>
      </c>
      <c r="B598" s="8">
        <f>CHOOSE( CONTROL!$C$33, 17.5772, 17.5756) * CHOOSE(CONTROL!$C$16, $D$10, 100%, $F$10)</f>
        <v>17.577200000000001</v>
      </c>
      <c r="C598" s="8">
        <f>CHOOSE( CONTROL!$C$33, 17.5852, 17.5836) * CHOOSE(CONTROL!$C$16, $D$10, 100%, $F$10)</f>
        <v>17.5852</v>
      </c>
      <c r="D598" s="8">
        <f>CHOOSE( CONTROL!$C$33, 17.6078, 17.6062) * CHOOSE( CONTROL!$C$16, $D$10, 100%, $F$10)</f>
        <v>17.607800000000001</v>
      </c>
      <c r="E598" s="12">
        <f>CHOOSE( CONTROL!$C$33, 17.5984, 17.5968) * CHOOSE( CONTROL!$C$16, $D$10, 100%, $F$10)</f>
        <v>17.598400000000002</v>
      </c>
      <c r="F598" s="4">
        <f>CHOOSE( CONTROL!$C$33, 18.3541, 18.3525) * CHOOSE(CONTROL!$C$16, $D$10, 100%, $F$10)</f>
        <v>18.354099999999999</v>
      </c>
      <c r="G598" s="8">
        <f>CHOOSE( CONTROL!$C$33, 17.3933, 17.3917) * CHOOSE( CONTROL!$C$16, $D$10, 100%, $F$10)</f>
        <v>17.3933</v>
      </c>
      <c r="H598" s="4">
        <f>CHOOSE( CONTROL!$C$33, 18.3719, 18.3703) * CHOOSE(CONTROL!$C$16, $D$10, 100%, $F$10)</f>
        <v>18.3719</v>
      </c>
      <c r="I598" s="8">
        <f>CHOOSE( CONTROL!$C$33, 17.1602, 17.1586) * CHOOSE(CONTROL!$C$16, $D$10, 100%, $F$10)</f>
        <v>17.1602</v>
      </c>
      <c r="J598" s="4">
        <f>CHOOSE( CONTROL!$C$33, 17.0346, 17.0331) * CHOOSE(CONTROL!$C$16, $D$10, 100%, $F$10)</f>
        <v>17.034600000000001</v>
      </c>
      <c r="K598" s="4"/>
      <c r="L598" s="9">
        <v>30.7165</v>
      </c>
      <c r="M598" s="9">
        <v>12.063700000000001</v>
      </c>
      <c r="N598" s="9">
        <v>4.9444999999999997</v>
      </c>
      <c r="O598" s="9">
        <v>0.37409999999999999</v>
      </c>
      <c r="P598" s="9">
        <v>1.2927</v>
      </c>
      <c r="Q598" s="9">
        <v>19.688099999999999</v>
      </c>
      <c r="R598" s="9"/>
      <c r="S598" s="11"/>
    </row>
    <row r="599" spans="1:19" ht="15" customHeight="1">
      <c r="A599" s="13">
        <v>59414</v>
      </c>
      <c r="B599" s="8">
        <f>CHOOSE( CONTROL!$C$33, 16.2193, 16.2177) * CHOOSE(CONTROL!$C$16, $D$10, 100%, $F$10)</f>
        <v>16.2193</v>
      </c>
      <c r="C599" s="8">
        <f>CHOOSE( CONTROL!$C$33, 16.2273, 16.2257) * CHOOSE(CONTROL!$C$16, $D$10, 100%, $F$10)</f>
        <v>16.2273</v>
      </c>
      <c r="D599" s="8">
        <f>CHOOSE( CONTROL!$C$33, 16.25, 16.2484) * CHOOSE( CONTROL!$C$16, $D$10, 100%, $F$10)</f>
        <v>16.25</v>
      </c>
      <c r="E599" s="12">
        <f>CHOOSE( CONTROL!$C$33, 16.2406, 16.239) * CHOOSE( CONTROL!$C$16, $D$10, 100%, $F$10)</f>
        <v>16.240600000000001</v>
      </c>
      <c r="F599" s="4">
        <f>CHOOSE( CONTROL!$C$33, 16.9962, 16.9947) * CHOOSE(CONTROL!$C$16, $D$10, 100%, $F$10)</f>
        <v>16.996200000000002</v>
      </c>
      <c r="G599" s="8">
        <f>CHOOSE( CONTROL!$C$33, 16.0544, 16.0528) * CHOOSE( CONTROL!$C$16, $D$10, 100%, $F$10)</f>
        <v>16.054400000000001</v>
      </c>
      <c r="H599" s="4">
        <f>CHOOSE( CONTROL!$C$33, 17.033, 17.0314) * CHOOSE(CONTROL!$C$16, $D$10, 100%, $F$10)</f>
        <v>17.033000000000001</v>
      </c>
      <c r="I599" s="8">
        <f>CHOOSE( CONTROL!$C$33, 15.8449, 15.8433) * CHOOSE(CONTROL!$C$16, $D$10, 100%, $F$10)</f>
        <v>15.844900000000001</v>
      </c>
      <c r="J599" s="4">
        <f>CHOOSE( CONTROL!$C$33, 15.7198, 15.7182) * CHOOSE(CONTROL!$C$16, $D$10, 100%, $F$10)</f>
        <v>15.719799999999999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1.2927</v>
      </c>
      <c r="Q599" s="9">
        <v>19.688099999999999</v>
      </c>
      <c r="R599" s="9"/>
      <c r="S599" s="11"/>
    </row>
    <row r="600" spans="1:19" ht="15" customHeight="1">
      <c r="A600" s="13">
        <v>59444</v>
      </c>
      <c r="B600" s="8">
        <f>CHOOSE( CONTROL!$C$33, 15.8793, 15.8777) * CHOOSE(CONTROL!$C$16, $D$10, 100%, $F$10)</f>
        <v>15.879300000000001</v>
      </c>
      <c r="C600" s="8">
        <f>CHOOSE( CONTROL!$C$33, 15.8873, 15.8857) * CHOOSE(CONTROL!$C$16, $D$10, 100%, $F$10)</f>
        <v>15.8873</v>
      </c>
      <c r="D600" s="8">
        <f>CHOOSE( CONTROL!$C$33, 15.9098, 15.9083) * CHOOSE( CONTROL!$C$16, $D$10, 100%, $F$10)</f>
        <v>15.909800000000001</v>
      </c>
      <c r="E600" s="12">
        <f>CHOOSE( CONTROL!$C$33, 15.9004, 15.8989) * CHOOSE( CONTROL!$C$16, $D$10, 100%, $F$10)</f>
        <v>15.900399999999999</v>
      </c>
      <c r="F600" s="4">
        <f>CHOOSE( CONTROL!$C$33, 16.6562, 16.6546) * CHOOSE(CONTROL!$C$16, $D$10, 100%, $F$10)</f>
        <v>16.656199999999998</v>
      </c>
      <c r="G600" s="8">
        <f>CHOOSE( CONTROL!$C$33, 15.719, 15.7174) * CHOOSE( CONTROL!$C$16, $D$10, 100%, $F$10)</f>
        <v>15.718999999999999</v>
      </c>
      <c r="H600" s="4">
        <f>CHOOSE( CONTROL!$C$33, 16.6977, 16.6961) * CHOOSE(CONTROL!$C$16, $D$10, 100%, $F$10)</f>
        <v>16.697700000000001</v>
      </c>
      <c r="I600" s="8">
        <f>CHOOSE( CONTROL!$C$33, 15.515, 15.5135) * CHOOSE(CONTROL!$C$16, $D$10, 100%, $F$10)</f>
        <v>15.515000000000001</v>
      </c>
      <c r="J600" s="4">
        <f>CHOOSE( CONTROL!$C$33, 15.3905, 15.389) * CHOOSE(CONTROL!$C$16, $D$10, 100%, $F$10)</f>
        <v>15.390499999999999</v>
      </c>
      <c r="K600" s="4"/>
      <c r="L600" s="9">
        <v>29.7257</v>
      </c>
      <c r="M600" s="9">
        <v>11.6745</v>
      </c>
      <c r="N600" s="9">
        <v>4.7850000000000001</v>
      </c>
      <c r="O600" s="9">
        <v>0.36199999999999999</v>
      </c>
      <c r="P600" s="9">
        <v>1.2509999999999999</v>
      </c>
      <c r="Q600" s="9">
        <v>19.053000000000001</v>
      </c>
      <c r="R600" s="9"/>
      <c r="S600" s="11"/>
    </row>
    <row r="601" spans="1:19" ht="15" customHeight="1">
      <c r="A601" s="13">
        <v>59475</v>
      </c>
      <c r="B601" s="8">
        <f>CHOOSE( CONTROL!$C$33, 16.5831, 16.582) * CHOOSE(CONTROL!$C$16, $D$10, 100%, $F$10)</f>
        <v>16.583100000000002</v>
      </c>
      <c r="C601" s="8">
        <f>CHOOSE( CONTROL!$C$33, 16.5885, 16.5874) * CHOOSE(CONTROL!$C$16, $D$10, 100%, $F$10)</f>
        <v>16.5885</v>
      </c>
      <c r="D601" s="8">
        <f>CHOOSE( CONTROL!$C$33, 16.6173, 16.6161) * CHOOSE( CONTROL!$C$16, $D$10, 100%, $F$10)</f>
        <v>16.6173</v>
      </c>
      <c r="E601" s="12">
        <f>CHOOSE( CONTROL!$C$33, 16.6072, 16.6061) * CHOOSE( CONTROL!$C$16, $D$10, 100%, $F$10)</f>
        <v>16.607199999999999</v>
      </c>
      <c r="F601" s="4">
        <f>CHOOSE( CONTROL!$C$33, 17.3618, 17.3607) * CHOOSE(CONTROL!$C$16, $D$10, 100%, $F$10)</f>
        <v>17.361799999999999</v>
      </c>
      <c r="G601" s="8">
        <f>CHOOSE( CONTROL!$C$33, 16.4148, 16.4137) * CHOOSE( CONTROL!$C$16, $D$10, 100%, $F$10)</f>
        <v>16.4148</v>
      </c>
      <c r="H601" s="4">
        <f>CHOOSE( CONTROL!$C$33, 17.3934, 17.3923) * CHOOSE(CONTROL!$C$16, $D$10, 100%, $F$10)</f>
        <v>17.3934</v>
      </c>
      <c r="I601" s="8">
        <f>CHOOSE( CONTROL!$C$33, 16.1991, 16.198) * CHOOSE(CONTROL!$C$16, $D$10, 100%, $F$10)</f>
        <v>16.199100000000001</v>
      </c>
      <c r="J601" s="4">
        <f>CHOOSE( CONTROL!$C$33, 16.0737, 16.0726) * CHOOSE(CONTROL!$C$16, $D$10, 100%, $F$10)</f>
        <v>16.073699999999999</v>
      </c>
      <c r="K601" s="4"/>
      <c r="L601" s="9">
        <v>31.095300000000002</v>
      </c>
      <c r="M601" s="9">
        <v>12.063700000000001</v>
      </c>
      <c r="N601" s="9">
        <v>4.9444999999999997</v>
      </c>
      <c r="O601" s="9">
        <v>0.37409999999999999</v>
      </c>
      <c r="P601" s="9">
        <v>1.2927</v>
      </c>
      <c r="Q601" s="9">
        <v>19.688099999999999</v>
      </c>
      <c r="R601" s="9"/>
      <c r="S601" s="11"/>
    </row>
    <row r="602" spans="1:19" ht="15" customHeight="1">
      <c r="A602" s="13">
        <v>59505</v>
      </c>
      <c r="B602" s="8">
        <f>CHOOSE( CONTROL!$C$33, 17.8859, 17.8848) * CHOOSE(CONTROL!$C$16, $D$10, 100%, $F$10)</f>
        <v>17.885899999999999</v>
      </c>
      <c r="C602" s="8">
        <f>CHOOSE( CONTROL!$C$33, 17.891, 17.8899) * CHOOSE(CONTROL!$C$16, $D$10, 100%, $F$10)</f>
        <v>17.890999999999998</v>
      </c>
      <c r="D602" s="8">
        <f>CHOOSE( CONTROL!$C$33, 17.8707, 17.8695) * CHOOSE( CONTROL!$C$16, $D$10, 100%, $F$10)</f>
        <v>17.870699999999999</v>
      </c>
      <c r="E602" s="12">
        <f>CHOOSE( CONTROL!$C$33, 17.8776, 17.8764) * CHOOSE( CONTROL!$C$16, $D$10, 100%, $F$10)</f>
        <v>17.877600000000001</v>
      </c>
      <c r="F602" s="4">
        <f>CHOOSE( CONTROL!$C$33, 18.5488, 18.5476) * CHOOSE(CONTROL!$C$16, $D$10, 100%, $F$10)</f>
        <v>18.5488</v>
      </c>
      <c r="G602" s="8">
        <f>CHOOSE( CONTROL!$C$33, 17.6723, 17.6712) * CHOOSE( CONTROL!$C$16, $D$10, 100%, $F$10)</f>
        <v>17.6723</v>
      </c>
      <c r="H602" s="4">
        <f>CHOOSE( CONTROL!$C$33, 18.5638, 18.5627) * CHOOSE(CONTROL!$C$16, $D$10, 100%, $F$10)</f>
        <v>18.563800000000001</v>
      </c>
      <c r="I602" s="8">
        <f>CHOOSE( CONTROL!$C$33, 17.5094, 17.5083) * CHOOSE(CONTROL!$C$16, $D$10, 100%, $F$10)</f>
        <v>17.509399999999999</v>
      </c>
      <c r="J602" s="4">
        <f>CHOOSE( CONTROL!$C$33, 17.3356, 17.3345) * CHOOSE(CONTROL!$C$16, $D$10, 100%, $F$10)</f>
        <v>17.335599999999999</v>
      </c>
      <c r="K602" s="4"/>
      <c r="L602" s="9">
        <v>28.360600000000002</v>
      </c>
      <c r="M602" s="9">
        <v>11.6745</v>
      </c>
      <c r="N602" s="9">
        <v>4.7850000000000001</v>
      </c>
      <c r="O602" s="9">
        <v>0.36199999999999999</v>
      </c>
      <c r="P602" s="9">
        <v>1.2509999999999999</v>
      </c>
      <c r="Q602" s="9">
        <v>19.053000000000001</v>
      </c>
      <c r="R602" s="9"/>
      <c r="S602" s="11"/>
    </row>
    <row r="603" spans="1:19" ht="15" customHeight="1">
      <c r="A603" s="13">
        <v>59536</v>
      </c>
      <c r="B603" s="8">
        <f>CHOOSE( CONTROL!$C$33, 17.8533, 17.8522) * CHOOSE(CONTROL!$C$16, $D$10, 100%, $F$10)</f>
        <v>17.853300000000001</v>
      </c>
      <c r="C603" s="8">
        <f>CHOOSE( CONTROL!$C$33, 17.8584, 17.8573) * CHOOSE(CONTROL!$C$16, $D$10, 100%, $F$10)</f>
        <v>17.8584</v>
      </c>
      <c r="D603" s="8">
        <f>CHOOSE( CONTROL!$C$33, 17.8396, 17.8384) * CHOOSE( CONTROL!$C$16, $D$10, 100%, $F$10)</f>
        <v>17.839600000000001</v>
      </c>
      <c r="E603" s="12">
        <f>CHOOSE( CONTROL!$C$33, 17.8459, 17.8448) * CHOOSE( CONTROL!$C$16, $D$10, 100%, $F$10)</f>
        <v>17.8459</v>
      </c>
      <c r="F603" s="4">
        <f>CHOOSE( CONTROL!$C$33, 18.5162, 18.5151) * CHOOSE(CONTROL!$C$16, $D$10, 100%, $F$10)</f>
        <v>18.516200000000001</v>
      </c>
      <c r="G603" s="8">
        <f>CHOOSE( CONTROL!$C$33, 17.6412, 17.6401) * CHOOSE( CONTROL!$C$16, $D$10, 100%, $F$10)</f>
        <v>17.641200000000001</v>
      </c>
      <c r="H603" s="4">
        <f>CHOOSE( CONTROL!$C$33, 18.5317, 18.5306) * CHOOSE(CONTROL!$C$16, $D$10, 100%, $F$10)</f>
        <v>18.531700000000001</v>
      </c>
      <c r="I603" s="8">
        <f>CHOOSE( CONTROL!$C$33, 17.4824, 17.4813) * CHOOSE(CONTROL!$C$16, $D$10, 100%, $F$10)</f>
        <v>17.482399999999998</v>
      </c>
      <c r="J603" s="4">
        <f>CHOOSE( CONTROL!$C$33, 17.304, 17.3029) * CHOOSE(CONTROL!$C$16, $D$10, 100%, $F$10)</f>
        <v>17.303999999999998</v>
      </c>
      <c r="K603" s="4"/>
      <c r="L603" s="9">
        <v>29.306000000000001</v>
      </c>
      <c r="M603" s="9">
        <v>12.063700000000001</v>
      </c>
      <c r="N603" s="9">
        <v>4.9444999999999997</v>
      </c>
      <c r="O603" s="9">
        <v>0.37409999999999999</v>
      </c>
      <c r="P603" s="9">
        <v>1.2927</v>
      </c>
      <c r="Q603" s="9">
        <v>19.688099999999999</v>
      </c>
      <c r="R603" s="9"/>
      <c r="S603" s="11"/>
    </row>
    <row r="604" spans="1:19" ht="15" customHeight="1">
      <c r="A604" s="13">
        <v>59567</v>
      </c>
      <c r="B604" s="8">
        <f>CHOOSE( CONTROL!$C$33, 18.3804, 18.3793) * CHOOSE(CONTROL!$C$16, $D$10, 100%, $F$10)</f>
        <v>18.380400000000002</v>
      </c>
      <c r="C604" s="8">
        <f>CHOOSE( CONTROL!$C$33, 18.3855, 18.3844) * CHOOSE(CONTROL!$C$16, $D$10, 100%, $F$10)</f>
        <v>18.3855</v>
      </c>
      <c r="D604" s="8">
        <f>CHOOSE( CONTROL!$C$33, 18.3779, 18.3768) * CHOOSE( CONTROL!$C$16, $D$10, 100%, $F$10)</f>
        <v>18.3779</v>
      </c>
      <c r="E604" s="12">
        <f>CHOOSE( CONTROL!$C$33, 18.3801, 18.379) * CHOOSE( CONTROL!$C$16, $D$10, 100%, $F$10)</f>
        <v>18.380099999999999</v>
      </c>
      <c r="F604" s="4">
        <f>CHOOSE( CONTROL!$C$33, 19.0433, 19.0422) * CHOOSE(CONTROL!$C$16, $D$10, 100%, $F$10)</f>
        <v>19.043299999999999</v>
      </c>
      <c r="G604" s="8">
        <f>CHOOSE( CONTROL!$C$33, 18.1668, 18.1657) * CHOOSE( CONTROL!$C$16, $D$10, 100%, $F$10)</f>
        <v>18.166799999999999</v>
      </c>
      <c r="H604" s="4">
        <f>CHOOSE( CONTROL!$C$33, 19.0515, 19.0503) * CHOOSE(CONTROL!$C$16, $D$10, 100%, $F$10)</f>
        <v>19.051500000000001</v>
      </c>
      <c r="I604" s="8">
        <f>CHOOSE( CONTROL!$C$33, 17.9843, 17.9832) * CHOOSE(CONTROL!$C$16, $D$10, 100%, $F$10)</f>
        <v>17.984300000000001</v>
      </c>
      <c r="J604" s="4">
        <f>CHOOSE( CONTROL!$C$33, 17.8144, 17.8133) * CHOOSE(CONTROL!$C$16, $D$10, 100%, $F$10)</f>
        <v>17.814399999999999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" customHeight="1">
      <c r="A605" s="13">
        <v>59595</v>
      </c>
      <c r="B605" s="8">
        <f>CHOOSE( CONTROL!$C$33, 17.1911, 17.19) * CHOOSE(CONTROL!$C$16, $D$10, 100%, $F$10)</f>
        <v>17.191099999999999</v>
      </c>
      <c r="C605" s="8">
        <f>CHOOSE( CONTROL!$C$33, 17.1962, 17.1951) * CHOOSE(CONTROL!$C$16, $D$10, 100%, $F$10)</f>
        <v>17.196200000000001</v>
      </c>
      <c r="D605" s="8">
        <f>CHOOSE( CONTROL!$C$33, 17.1884, 17.1873) * CHOOSE( CONTROL!$C$16, $D$10, 100%, $F$10)</f>
        <v>17.188400000000001</v>
      </c>
      <c r="E605" s="12">
        <f>CHOOSE( CONTROL!$C$33, 17.1907, 17.1896) * CHOOSE( CONTROL!$C$16, $D$10, 100%, $F$10)</f>
        <v>17.1907</v>
      </c>
      <c r="F605" s="4">
        <f>CHOOSE( CONTROL!$C$33, 17.854, 17.8529) * CHOOSE(CONTROL!$C$16, $D$10, 100%, $F$10)</f>
        <v>17.853999999999999</v>
      </c>
      <c r="G605" s="8">
        <f>CHOOSE( CONTROL!$C$33, 16.994, 16.9929) * CHOOSE( CONTROL!$C$16, $D$10, 100%, $F$10)</f>
        <v>16.994</v>
      </c>
      <c r="H605" s="4">
        <f>CHOOSE( CONTROL!$C$33, 17.8787, 17.8776) * CHOOSE(CONTROL!$C$16, $D$10, 100%, $F$10)</f>
        <v>17.878699999999998</v>
      </c>
      <c r="I605" s="8">
        <f>CHOOSE( CONTROL!$C$33, 16.8315, 16.8304) * CHOOSE(CONTROL!$C$16, $D$10, 100%, $F$10)</f>
        <v>16.831499999999998</v>
      </c>
      <c r="J605" s="4">
        <f>CHOOSE( CONTROL!$C$33, 16.6628, 16.6617) * CHOOSE(CONTROL!$C$16, $D$10, 100%, $F$10)</f>
        <v>16.662800000000001</v>
      </c>
      <c r="K605" s="4"/>
      <c r="L605" s="9">
        <v>26.469899999999999</v>
      </c>
      <c r="M605" s="9">
        <v>10.8962</v>
      </c>
      <c r="N605" s="9">
        <v>4.4660000000000002</v>
      </c>
      <c r="O605" s="9">
        <v>0.33789999999999998</v>
      </c>
      <c r="P605" s="9">
        <v>1.1676</v>
      </c>
      <c r="Q605" s="9">
        <v>17.782800000000002</v>
      </c>
      <c r="R605" s="9"/>
      <c r="S605" s="11"/>
    </row>
    <row r="606" spans="1:19" ht="15" customHeight="1">
      <c r="A606" s="13">
        <v>59626</v>
      </c>
      <c r="B606" s="8">
        <f>CHOOSE( CONTROL!$C$33, 16.8248, 16.8237) * CHOOSE(CONTROL!$C$16, $D$10, 100%, $F$10)</f>
        <v>16.8248</v>
      </c>
      <c r="C606" s="8">
        <f>CHOOSE( CONTROL!$C$33, 16.8299, 16.8288) * CHOOSE(CONTROL!$C$16, $D$10, 100%, $F$10)</f>
        <v>16.829899999999999</v>
      </c>
      <c r="D606" s="8">
        <f>CHOOSE( CONTROL!$C$33, 16.8214, 16.8202) * CHOOSE( CONTROL!$C$16, $D$10, 100%, $F$10)</f>
        <v>16.821400000000001</v>
      </c>
      <c r="E606" s="12">
        <f>CHOOSE( CONTROL!$C$33, 16.824, 16.8228) * CHOOSE( CONTROL!$C$16, $D$10, 100%, $F$10)</f>
        <v>16.824000000000002</v>
      </c>
      <c r="F606" s="4">
        <f>CHOOSE( CONTROL!$C$33, 17.4877, 17.4866) * CHOOSE(CONTROL!$C$16, $D$10, 100%, $F$10)</f>
        <v>17.4877</v>
      </c>
      <c r="G606" s="8">
        <f>CHOOSE( CONTROL!$C$33, 16.6323, 16.6312) * CHOOSE( CONTROL!$C$16, $D$10, 100%, $F$10)</f>
        <v>16.632300000000001</v>
      </c>
      <c r="H606" s="4">
        <f>CHOOSE( CONTROL!$C$33, 17.5176, 17.5164) * CHOOSE(CONTROL!$C$16, $D$10, 100%, $F$10)</f>
        <v>17.517600000000002</v>
      </c>
      <c r="I606" s="8">
        <f>CHOOSE( CONTROL!$C$33, 16.4744, 16.4733) * CHOOSE(CONTROL!$C$16, $D$10, 100%, $F$10)</f>
        <v>16.474399999999999</v>
      </c>
      <c r="J606" s="4">
        <f>CHOOSE( CONTROL!$C$33, 16.3081, 16.307) * CHOOSE(CONTROL!$C$16, $D$10, 100%, $F$10)</f>
        <v>16.3081</v>
      </c>
      <c r="K606" s="4"/>
      <c r="L606" s="9">
        <v>29.306000000000001</v>
      </c>
      <c r="M606" s="9">
        <v>12.063700000000001</v>
      </c>
      <c r="N606" s="9">
        <v>4.9444999999999997</v>
      </c>
      <c r="O606" s="9">
        <v>0.37409999999999999</v>
      </c>
      <c r="P606" s="9">
        <v>1.2927</v>
      </c>
      <c r="Q606" s="9">
        <v>19.688099999999999</v>
      </c>
      <c r="R606" s="9"/>
      <c r="S606" s="11"/>
    </row>
    <row r="607" spans="1:19" ht="15" customHeight="1">
      <c r="A607" s="13">
        <v>59656</v>
      </c>
      <c r="B607" s="8">
        <f>CHOOSE( CONTROL!$C$33, 17.0815, 17.0804) * CHOOSE(CONTROL!$C$16, $D$10, 100%, $F$10)</f>
        <v>17.081499999999998</v>
      </c>
      <c r="C607" s="8">
        <f>CHOOSE( CONTROL!$C$33, 17.0861, 17.0849) * CHOOSE(CONTROL!$C$16, $D$10, 100%, $F$10)</f>
        <v>17.086099999999998</v>
      </c>
      <c r="D607" s="8">
        <f>CHOOSE( CONTROL!$C$33, 17.1149, 17.1138) * CHOOSE( CONTROL!$C$16, $D$10, 100%, $F$10)</f>
        <v>17.114899999999999</v>
      </c>
      <c r="E607" s="12">
        <f>CHOOSE( CONTROL!$C$33, 17.1049, 17.1037) * CHOOSE( CONTROL!$C$16, $D$10, 100%, $F$10)</f>
        <v>17.104900000000001</v>
      </c>
      <c r="F607" s="4">
        <f>CHOOSE( CONTROL!$C$33, 17.8598, 17.8587) * CHOOSE(CONTROL!$C$16, $D$10, 100%, $F$10)</f>
        <v>17.8598</v>
      </c>
      <c r="G607" s="8">
        <f>CHOOSE( CONTROL!$C$33, 16.9056, 16.9045) * CHOOSE( CONTROL!$C$16, $D$10, 100%, $F$10)</f>
        <v>16.9056</v>
      </c>
      <c r="H607" s="4">
        <f>CHOOSE( CONTROL!$C$33, 17.8845, 17.8834) * CHOOSE(CONTROL!$C$16, $D$10, 100%, $F$10)</f>
        <v>17.884499999999999</v>
      </c>
      <c r="I607" s="8">
        <f>CHOOSE( CONTROL!$C$33, 16.6803, 16.6792) * CHOOSE(CONTROL!$C$16, $D$10, 100%, $F$10)</f>
        <v>16.680299999999999</v>
      </c>
      <c r="J607" s="4">
        <f>CHOOSE( CONTROL!$C$33, 16.556, 16.5549) * CHOOSE(CONTROL!$C$16, $D$10, 100%, $F$10)</f>
        <v>16.556000000000001</v>
      </c>
      <c r="K607" s="4"/>
      <c r="L607" s="9">
        <v>30.092199999999998</v>
      </c>
      <c r="M607" s="9">
        <v>11.6745</v>
      </c>
      <c r="N607" s="9">
        <v>4.7850000000000001</v>
      </c>
      <c r="O607" s="9">
        <v>0.36199999999999999</v>
      </c>
      <c r="P607" s="9">
        <v>1.2509999999999999</v>
      </c>
      <c r="Q607" s="9">
        <v>19.053000000000001</v>
      </c>
      <c r="R607" s="9"/>
      <c r="S607" s="11"/>
    </row>
    <row r="608" spans="1:19" ht="15" customHeight="1">
      <c r="A608" s="13">
        <v>59687</v>
      </c>
      <c r="B608" s="8">
        <f>CHOOSE( CONTROL!$C$33, 17.5389, 17.5373) * CHOOSE(CONTROL!$C$16, $D$10, 100%, $F$10)</f>
        <v>17.538900000000002</v>
      </c>
      <c r="C608" s="8">
        <f>CHOOSE( CONTROL!$C$33, 17.5469, 17.5453) * CHOOSE(CONTROL!$C$16, $D$10, 100%, $F$10)</f>
        <v>17.546900000000001</v>
      </c>
      <c r="D608" s="8">
        <f>CHOOSE( CONTROL!$C$33, 17.5691, 17.5676) * CHOOSE( CONTROL!$C$16, $D$10, 100%, $F$10)</f>
        <v>17.569099999999999</v>
      </c>
      <c r="E608" s="12">
        <f>CHOOSE( CONTROL!$C$33, 17.5598, 17.5583) * CHOOSE( CONTROL!$C$16, $D$10, 100%, $F$10)</f>
        <v>17.559799999999999</v>
      </c>
      <c r="F608" s="4">
        <f>CHOOSE( CONTROL!$C$33, 18.3158, 18.3143) * CHOOSE(CONTROL!$C$16, $D$10, 100%, $F$10)</f>
        <v>18.315799999999999</v>
      </c>
      <c r="G608" s="8">
        <f>CHOOSE( CONTROL!$C$33, 17.3552, 17.3536) * CHOOSE( CONTROL!$C$16, $D$10, 100%, $F$10)</f>
        <v>17.3552</v>
      </c>
      <c r="H608" s="4">
        <f>CHOOSE( CONTROL!$C$33, 18.3341, 18.3326) * CHOOSE(CONTROL!$C$16, $D$10, 100%, $F$10)</f>
        <v>18.334099999999999</v>
      </c>
      <c r="I608" s="8">
        <f>CHOOSE( CONTROL!$C$33, 17.1217, 17.1202) * CHOOSE(CONTROL!$C$16, $D$10, 100%, $F$10)</f>
        <v>17.121700000000001</v>
      </c>
      <c r="J608" s="4">
        <f>CHOOSE( CONTROL!$C$33, 16.9975, 16.996) * CHOOSE(CONTROL!$C$16, $D$10, 100%, $F$10)</f>
        <v>16.997499999999999</v>
      </c>
      <c r="K608" s="4"/>
      <c r="L608" s="9">
        <v>30.7165</v>
      </c>
      <c r="M608" s="9">
        <v>12.063700000000001</v>
      </c>
      <c r="N608" s="9">
        <v>4.9444999999999997</v>
      </c>
      <c r="O608" s="9">
        <v>0.37409999999999999</v>
      </c>
      <c r="P608" s="9">
        <v>1.2927</v>
      </c>
      <c r="Q608" s="9">
        <v>19.688099999999999</v>
      </c>
      <c r="R608" s="9"/>
      <c r="S608" s="11"/>
    </row>
    <row r="609" spans="1:19" ht="15" customHeight="1">
      <c r="A609" s="13">
        <v>59717</v>
      </c>
      <c r="B609" s="8">
        <f>CHOOSE( CONTROL!$C$33, 17.2567, 17.2551) * CHOOSE(CONTROL!$C$16, $D$10, 100%, $F$10)</f>
        <v>17.256699999999999</v>
      </c>
      <c r="C609" s="8">
        <f>CHOOSE( CONTROL!$C$33, 17.2647, 17.2631) * CHOOSE(CONTROL!$C$16, $D$10, 100%, $F$10)</f>
        <v>17.264700000000001</v>
      </c>
      <c r="D609" s="8">
        <f>CHOOSE( CONTROL!$C$33, 17.2871, 17.2855) * CHOOSE( CONTROL!$C$16, $D$10, 100%, $F$10)</f>
        <v>17.287099999999999</v>
      </c>
      <c r="E609" s="12">
        <f>CHOOSE( CONTROL!$C$33, 17.2778, 17.2762) * CHOOSE( CONTROL!$C$16, $D$10, 100%, $F$10)</f>
        <v>17.277799999999999</v>
      </c>
      <c r="F609" s="4">
        <f>CHOOSE( CONTROL!$C$33, 18.0336, 18.0321) * CHOOSE(CONTROL!$C$16, $D$10, 100%, $F$10)</f>
        <v>18.0336</v>
      </c>
      <c r="G609" s="8">
        <f>CHOOSE( CONTROL!$C$33, 17.0771, 17.0755) * CHOOSE( CONTROL!$C$16, $D$10, 100%, $F$10)</f>
        <v>17.077100000000002</v>
      </c>
      <c r="H609" s="4">
        <f>CHOOSE( CONTROL!$C$33, 18.0559, 18.0543) * CHOOSE(CONTROL!$C$16, $D$10, 100%, $F$10)</f>
        <v>18.055900000000001</v>
      </c>
      <c r="I609" s="8">
        <f>CHOOSE( CONTROL!$C$33, 16.8489, 16.8474) * CHOOSE(CONTROL!$C$16, $D$10, 100%, $F$10)</f>
        <v>16.8489</v>
      </c>
      <c r="J609" s="4">
        <f>CHOOSE( CONTROL!$C$33, 16.7243, 16.7227) * CHOOSE(CONTROL!$C$16, $D$10, 100%, $F$10)</f>
        <v>16.724299999999999</v>
      </c>
      <c r="K609" s="4"/>
      <c r="L609" s="9">
        <v>29.7257</v>
      </c>
      <c r="M609" s="9">
        <v>11.6745</v>
      </c>
      <c r="N609" s="9">
        <v>4.7850000000000001</v>
      </c>
      <c r="O609" s="9">
        <v>0.36199999999999999</v>
      </c>
      <c r="P609" s="9">
        <v>1.2509999999999999</v>
      </c>
      <c r="Q609" s="9">
        <v>19.053000000000001</v>
      </c>
      <c r="R609" s="9"/>
      <c r="S609" s="11"/>
    </row>
    <row r="610" spans="1:19" ht="15" customHeight="1">
      <c r="A610" s="13">
        <v>59748</v>
      </c>
      <c r="B610" s="8">
        <f>CHOOSE( CONTROL!$C$33, 17.9998, 17.9983) * CHOOSE(CONTROL!$C$16, $D$10, 100%, $F$10)</f>
        <v>17.9998</v>
      </c>
      <c r="C610" s="8">
        <f>CHOOSE( CONTROL!$C$33, 18.0078, 18.0063) * CHOOSE(CONTROL!$C$16, $D$10, 100%, $F$10)</f>
        <v>18.0078</v>
      </c>
      <c r="D610" s="8">
        <f>CHOOSE( CONTROL!$C$33, 18.0305, 18.0289) * CHOOSE( CONTROL!$C$16, $D$10, 100%, $F$10)</f>
        <v>18.0305</v>
      </c>
      <c r="E610" s="12">
        <f>CHOOSE( CONTROL!$C$33, 18.0211, 18.0195) * CHOOSE( CONTROL!$C$16, $D$10, 100%, $F$10)</f>
        <v>18.021100000000001</v>
      </c>
      <c r="F610" s="4">
        <f>CHOOSE( CONTROL!$C$33, 18.7768, 18.7752) * CHOOSE(CONTROL!$C$16, $D$10, 100%, $F$10)</f>
        <v>18.776800000000001</v>
      </c>
      <c r="G610" s="8">
        <f>CHOOSE( CONTROL!$C$33, 17.81, 17.8085) * CHOOSE( CONTROL!$C$16, $D$10, 100%, $F$10)</f>
        <v>17.809999999999999</v>
      </c>
      <c r="H610" s="4">
        <f>CHOOSE( CONTROL!$C$33, 18.7887, 18.7871) * CHOOSE(CONTROL!$C$16, $D$10, 100%, $F$10)</f>
        <v>18.788699999999999</v>
      </c>
      <c r="I610" s="8">
        <f>CHOOSE( CONTROL!$C$33, 17.5696, 17.5681) * CHOOSE(CONTROL!$C$16, $D$10, 100%, $F$10)</f>
        <v>17.569600000000001</v>
      </c>
      <c r="J610" s="4">
        <f>CHOOSE( CONTROL!$C$33, 17.4439, 17.4423) * CHOOSE(CONTROL!$C$16, $D$10, 100%, $F$10)</f>
        <v>17.443899999999999</v>
      </c>
      <c r="K610" s="4"/>
      <c r="L610" s="9">
        <v>30.7165</v>
      </c>
      <c r="M610" s="9">
        <v>12.063700000000001</v>
      </c>
      <c r="N610" s="9">
        <v>4.9444999999999997</v>
      </c>
      <c r="O610" s="9">
        <v>0.37409999999999999</v>
      </c>
      <c r="P610" s="9">
        <v>1.2927</v>
      </c>
      <c r="Q610" s="9">
        <v>19.688099999999999</v>
      </c>
      <c r="R610" s="9"/>
      <c r="S610" s="11"/>
    </row>
    <row r="611" spans="1:19" ht="15" customHeight="1">
      <c r="A611" s="13">
        <v>59779</v>
      </c>
      <c r="B611" s="8">
        <f>CHOOSE( CONTROL!$C$33, 16.6094, 16.6078) * CHOOSE(CONTROL!$C$16, $D$10, 100%, $F$10)</f>
        <v>16.609400000000001</v>
      </c>
      <c r="C611" s="8">
        <f>CHOOSE( CONTROL!$C$33, 16.6173, 16.6158) * CHOOSE(CONTROL!$C$16, $D$10, 100%, $F$10)</f>
        <v>16.6173</v>
      </c>
      <c r="D611" s="8">
        <f>CHOOSE( CONTROL!$C$33, 16.64, 16.6385) * CHOOSE( CONTROL!$C$16, $D$10, 100%, $F$10)</f>
        <v>16.64</v>
      </c>
      <c r="E611" s="12">
        <f>CHOOSE( CONTROL!$C$33, 16.6306, 16.6291) * CHOOSE( CONTROL!$C$16, $D$10, 100%, $F$10)</f>
        <v>16.630600000000001</v>
      </c>
      <c r="F611" s="4">
        <f>CHOOSE( CONTROL!$C$33, 17.3863, 17.3847) * CHOOSE(CONTROL!$C$16, $D$10, 100%, $F$10)</f>
        <v>17.386299999999999</v>
      </c>
      <c r="G611" s="8">
        <f>CHOOSE( CONTROL!$C$33, 16.439, 16.4374) * CHOOSE( CONTROL!$C$16, $D$10, 100%, $F$10)</f>
        <v>16.439</v>
      </c>
      <c r="H611" s="4">
        <f>CHOOSE( CONTROL!$C$33, 17.4176, 17.416) * CHOOSE(CONTROL!$C$16, $D$10, 100%, $F$10)</f>
        <v>17.4176</v>
      </c>
      <c r="I611" s="8">
        <f>CHOOSE( CONTROL!$C$33, 16.2227, 16.2212) * CHOOSE(CONTROL!$C$16, $D$10, 100%, $F$10)</f>
        <v>16.2227</v>
      </c>
      <c r="J611" s="4">
        <f>CHOOSE( CONTROL!$C$33, 16.0974, 16.0959) * CHOOSE(CONTROL!$C$16, $D$10, 100%, $F$10)</f>
        <v>16.0974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1.2927</v>
      </c>
      <c r="Q611" s="9">
        <v>19.688099999999999</v>
      </c>
      <c r="R611" s="9"/>
      <c r="S611" s="11"/>
    </row>
    <row r="612" spans="1:19" ht="15" customHeight="1">
      <c r="A612" s="13">
        <v>59809</v>
      </c>
      <c r="B612" s="8">
        <f>CHOOSE( CONTROL!$C$33, 16.2612, 16.2596) * CHOOSE(CONTROL!$C$16, $D$10, 100%, $F$10)</f>
        <v>16.261199999999999</v>
      </c>
      <c r="C612" s="8">
        <f>CHOOSE( CONTROL!$C$33, 16.2692, 16.2676) * CHOOSE(CONTROL!$C$16, $D$10, 100%, $F$10)</f>
        <v>16.269200000000001</v>
      </c>
      <c r="D612" s="8">
        <f>CHOOSE( CONTROL!$C$33, 16.2917, 16.2901) * CHOOSE( CONTROL!$C$16, $D$10, 100%, $F$10)</f>
        <v>16.291699999999999</v>
      </c>
      <c r="E612" s="12">
        <f>CHOOSE( CONTROL!$C$33, 16.2823, 16.2807) * CHOOSE( CONTROL!$C$16, $D$10, 100%, $F$10)</f>
        <v>16.282299999999999</v>
      </c>
      <c r="F612" s="4">
        <f>CHOOSE( CONTROL!$C$33, 17.0381, 17.0365) * CHOOSE(CONTROL!$C$16, $D$10, 100%, $F$10)</f>
        <v>17.0381</v>
      </c>
      <c r="G612" s="8">
        <f>CHOOSE( CONTROL!$C$33, 16.0955, 16.094) * CHOOSE( CONTROL!$C$16, $D$10, 100%, $F$10)</f>
        <v>16.095500000000001</v>
      </c>
      <c r="H612" s="4">
        <f>CHOOSE( CONTROL!$C$33, 17.0742, 17.0727) * CHOOSE(CONTROL!$C$16, $D$10, 100%, $F$10)</f>
        <v>17.074200000000001</v>
      </c>
      <c r="I612" s="8">
        <f>CHOOSE( CONTROL!$C$33, 15.8849, 15.8834) * CHOOSE(CONTROL!$C$16, $D$10, 100%, $F$10)</f>
        <v>15.8849</v>
      </c>
      <c r="J612" s="4">
        <f>CHOOSE( CONTROL!$C$33, 15.7603, 15.7588) * CHOOSE(CONTROL!$C$16, $D$10, 100%, $F$10)</f>
        <v>15.760300000000001</v>
      </c>
      <c r="K612" s="4"/>
      <c r="L612" s="9">
        <v>29.7257</v>
      </c>
      <c r="M612" s="9">
        <v>11.6745</v>
      </c>
      <c r="N612" s="9">
        <v>4.7850000000000001</v>
      </c>
      <c r="O612" s="9">
        <v>0.36199999999999999</v>
      </c>
      <c r="P612" s="9">
        <v>1.2509999999999999</v>
      </c>
      <c r="Q612" s="9">
        <v>19.053000000000001</v>
      </c>
      <c r="R612" s="9"/>
      <c r="S612" s="11"/>
    </row>
    <row r="613" spans="1:19" ht="15" customHeight="1">
      <c r="A613" s="13">
        <v>59840</v>
      </c>
      <c r="B613" s="8">
        <f>CHOOSE( CONTROL!$C$33, 16.982, 16.9808) * CHOOSE(CONTROL!$C$16, $D$10, 100%, $F$10)</f>
        <v>16.981999999999999</v>
      </c>
      <c r="C613" s="8">
        <f>CHOOSE( CONTROL!$C$33, 16.9873, 16.9862) * CHOOSE(CONTROL!$C$16, $D$10, 100%, $F$10)</f>
        <v>16.987300000000001</v>
      </c>
      <c r="D613" s="8">
        <f>CHOOSE( CONTROL!$C$33, 17.0161, 17.015) * CHOOSE( CONTROL!$C$16, $D$10, 100%, $F$10)</f>
        <v>17.016100000000002</v>
      </c>
      <c r="E613" s="12">
        <f>CHOOSE( CONTROL!$C$33, 17.006, 17.0049) * CHOOSE( CONTROL!$C$16, $D$10, 100%, $F$10)</f>
        <v>17.006</v>
      </c>
      <c r="F613" s="4">
        <f>CHOOSE( CONTROL!$C$33, 17.7606, 17.7595) * CHOOSE(CONTROL!$C$16, $D$10, 100%, $F$10)</f>
        <v>17.7606</v>
      </c>
      <c r="G613" s="8">
        <f>CHOOSE( CONTROL!$C$33, 16.8081, 16.807) * CHOOSE( CONTROL!$C$16, $D$10, 100%, $F$10)</f>
        <v>16.8081</v>
      </c>
      <c r="H613" s="4">
        <f>CHOOSE( CONTROL!$C$33, 17.7867, 17.7856) * CHOOSE(CONTROL!$C$16, $D$10, 100%, $F$10)</f>
        <v>17.7867</v>
      </c>
      <c r="I613" s="8">
        <f>CHOOSE( CONTROL!$C$33, 16.5855, 16.5844) * CHOOSE(CONTROL!$C$16, $D$10, 100%, $F$10)</f>
        <v>16.5855</v>
      </c>
      <c r="J613" s="4">
        <f>CHOOSE( CONTROL!$C$33, 16.4599, 16.4588) * CHOOSE(CONTROL!$C$16, $D$10, 100%, $F$10)</f>
        <v>16.459900000000001</v>
      </c>
      <c r="K613" s="4"/>
      <c r="L613" s="9">
        <v>31.095300000000002</v>
      </c>
      <c r="M613" s="9">
        <v>12.063700000000001</v>
      </c>
      <c r="N613" s="9">
        <v>4.9444999999999997</v>
      </c>
      <c r="O613" s="9">
        <v>0.37409999999999999</v>
      </c>
      <c r="P613" s="9">
        <v>1.2927</v>
      </c>
      <c r="Q613" s="9">
        <v>19.688099999999999</v>
      </c>
      <c r="R613" s="9"/>
      <c r="S613" s="11"/>
    </row>
    <row r="614" spans="1:19" ht="15" customHeight="1">
      <c r="A614" s="13">
        <v>59870</v>
      </c>
      <c r="B614" s="8">
        <f>CHOOSE( CONTROL!$C$33, 18.316, 18.3149) * CHOOSE(CONTROL!$C$16, $D$10, 100%, $F$10)</f>
        <v>18.315999999999999</v>
      </c>
      <c r="C614" s="8">
        <f>CHOOSE( CONTROL!$C$33, 18.3211, 18.32) * CHOOSE(CONTROL!$C$16, $D$10, 100%, $F$10)</f>
        <v>18.321100000000001</v>
      </c>
      <c r="D614" s="8">
        <f>CHOOSE( CONTROL!$C$33, 18.3008, 18.2997) * CHOOSE( CONTROL!$C$16, $D$10, 100%, $F$10)</f>
        <v>18.300799999999999</v>
      </c>
      <c r="E614" s="12">
        <f>CHOOSE( CONTROL!$C$33, 18.3077, 18.3066) * CHOOSE( CONTROL!$C$16, $D$10, 100%, $F$10)</f>
        <v>18.307700000000001</v>
      </c>
      <c r="F614" s="4">
        <f>CHOOSE( CONTROL!$C$33, 18.9789, 18.9778) * CHOOSE(CONTROL!$C$16, $D$10, 100%, $F$10)</f>
        <v>18.978899999999999</v>
      </c>
      <c r="G614" s="8">
        <f>CHOOSE( CONTROL!$C$33, 18.0964, 18.0953) * CHOOSE( CONTROL!$C$16, $D$10, 100%, $F$10)</f>
        <v>18.096399999999999</v>
      </c>
      <c r="H614" s="4">
        <f>CHOOSE( CONTROL!$C$33, 18.988, 18.9869) * CHOOSE(CONTROL!$C$16, $D$10, 100%, $F$10)</f>
        <v>18.988</v>
      </c>
      <c r="I614" s="8">
        <f>CHOOSE( CONTROL!$C$33, 17.9261, 17.925) * CHOOSE(CONTROL!$C$16, $D$10, 100%, $F$10)</f>
        <v>17.926100000000002</v>
      </c>
      <c r="J614" s="4">
        <f>CHOOSE( CONTROL!$C$33, 17.7521, 17.751) * CHOOSE(CONTROL!$C$16, $D$10, 100%, $F$10)</f>
        <v>17.752099999999999</v>
      </c>
      <c r="K614" s="4"/>
      <c r="L614" s="9">
        <v>28.360600000000002</v>
      </c>
      <c r="M614" s="9">
        <v>11.6745</v>
      </c>
      <c r="N614" s="9">
        <v>4.7850000000000001</v>
      </c>
      <c r="O614" s="9">
        <v>0.36199999999999999</v>
      </c>
      <c r="P614" s="9">
        <v>1.2509999999999999</v>
      </c>
      <c r="Q614" s="9">
        <v>19.053000000000001</v>
      </c>
      <c r="R614" s="9"/>
      <c r="S614" s="11"/>
    </row>
    <row r="615" spans="1:19" ht="15" customHeight="1">
      <c r="A615" s="13">
        <v>59901</v>
      </c>
      <c r="B615" s="8">
        <f>CHOOSE( CONTROL!$C$33, 18.2827, 18.2816) * CHOOSE(CONTROL!$C$16, $D$10, 100%, $F$10)</f>
        <v>18.282699999999998</v>
      </c>
      <c r="C615" s="8">
        <f>CHOOSE( CONTROL!$C$33, 18.2878, 18.2867) * CHOOSE(CONTROL!$C$16, $D$10, 100%, $F$10)</f>
        <v>18.287800000000001</v>
      </c>
      <c r="D615" s="8">
        <f>CHOOSE( CONTROL!$C$33, 18.2689, 18.2678) * CHOOSE( CONTROL!$C$16, $D$10, 100%, $F$10)</f>
        <v>18.268899999999999</v>
      </c>
      <c r="E615" s="12">
        <f>CHOOSE( CONTROL!$C$33, 18.2753, 18.2742) * CHOOSE( CONTROL!$C$16, $D$10, 100%, $F$10)</f>
        <v>18.275300000000001</v>
      </c>
      <c r="F615" s="4">
        <f>CHOOSE( CONTROL!$C$33, 18.9456, 18.9444) * CHOOSE(CONTROL!$C$16, $D$10, 100%, $F$10)</f>
        <v>18.945599999999999</v>
      </c>
      <c r="G615" s="8">
        <f>CHOOSE( CONTROL!$C$33, 18.0646, 18.0635) * CHOOSE( CONTROL!$C$16, $D$10, 100%, $F$10)</f>
        <v>18.064599999999999</v>
      </c>
      <c r="H615" s="4">
        <f>CHOOSE( CONTROL!$C$33, 18.9551, 18.954) * CHOOSE(CONTROL!$C$16, $D$10, 100%, $F$10)</f>
        <v>18.955100000000002</v>
      </c>
      <c r="I615" s="8">
        <f>CHOOSE( CONTROL!$C$33, 17.8983, 17.8972) * CHOOSE(CONTROL!$C$16, $D$10, 100%, $F$10)</f>
        <v>17.898299999999999</v>
      </c>
      <c r="J615" s="4">
        <f>CHOOSE( CONTROL!$C$33, 17.7198, 17.7187) * CHOOSE(CONTROL!$C$16, $D$10, 100%, $F$10)</f>
        <v>17.719799999999999</v>
      </c>
      <c r="K615" s="4"/>
      <c r="L615" s="9">
        <v>29.306000000000001</v>
      </c>
      <c r="M615" s="9">
        <v>12.063700000000001</v>
      </c>
      <c r="N615" s="9">
        <v>4.9444999999999997</v>
      </c>
      <c r="O615" s="9">
        <v>0.37409999999999999</v>
      </c>
      <c r="P615" s="9">
        <v>1.2927</v>
      </c>
      <c r="Q615" s="9">
        <v>19.688099999999999</v>
      </c>
      <c r="R615" s="9"/>
      <c r="S615" s="11"/>
    </row>
    <row r="616" spans="1:19" ht="15" customHeight="1">
      <c r="A616" s="13">
        <v>59932</v>
      </c>
      <c r="B616" s="8">
        <f>CHOOSE( CONTROL!$C$33, 18.8224, 18.8213) * CHOOSE(CONTROL!$C$16, $D$10, 100%, $F$10)</f>
        <v>18.822399999999998</v>
      </c>
      <c r="C616" s="8">
        <f>CHOOSE( CONTROL!$C$33, 18.8275, 18.8264) * CHOOSE(CONTROL!$C$16, $D$10, 100%, $F$10)</f>
        <v>18.827500000000001</v>
      </c>
      <c r="D616" s="8">
        <f>CHOOSE( CONTROL!$C$33, 18.8199, 18.8188) * CHOOSE( CONTROL!$C$16, $D$10, 100%, $F$10)</f>
        <v>18.819900000000001</v>
      </c>
      <c r="E616" s="12">
        <f>CHOOSE( CONTROL!$C$33, 18.8221, 18.821) * CHOOSE( CONTROL!$C$16, $D$10, 100%, $F$10)</f>
        <v>18.822099999999999</v>
      </c>
      <c r="F616" s="4">
        <f>CHOOSE( CONTROL!$C$33, 19.4853, 19.4842) * CHOOSE(CONTROL!$C$16, $D$10, 100%, $F$10)</f>
        <v>19.485299999999999</v>
      </c>
      <c r="G616" s="8">
        <f>CHOOSE( CONTROL!$C$33, 18.6027, 18.6016) * CHOOSE( CONTROL!$C$16, $D$10, 100%, $F$10)</f>
        <v>18.602699999999999</v>
      </c>
      <c r="H616" s="4">
        <f>CHOOSE( CONTROL!$C$33, 19.4873, 19.4862) * CHOOSE(CONTROL!$C$16, $D$10, 100%, $F$10)</f>
        <v>19.487300000000001</v>
      </c>
      <c r="I616" s="8">
        <f>CHOOSE( CONTROL!$C$33, 18.4125, 18.4114) * CHOOSE(CONTROL!$C$16, $D$10, 100%, $F$10)</f>
        <v>18.412500000000001</v>
      </c>
      <c r="J616" s="4">
        <f>CHOOSE( CONTROL!$C$33, 18.2424, 18.2413) * CHOOSE(CONTROL!$C$16, $D$10, 100%, $F$10)</f>
        <v>18.2424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" customHeight="1">
      <c r="A617" s="13">
        <v>59961</v>
      </c>
      <c r="B617" s="8">
        <f>CHOOSE( CONTROL!$C$33, 17.6046, 17.6034) * CHOOSE(CONTROL!$C$16, $D$10, 100%, $F$10)</f>
        <v>17.604600000000001</v>
      </c>
      <c r="C617" s="8">
        <f>CHOOSE( CONTROL!$C$33, 17.6097, 17.6085) * CHOOSE(CONTROL!$C$16, $D$10, 100%, $F$10)</f>
        <v>17.6097</v>
      </c>
      <c r="D617" s="8">
        <f>CHOOSE( CONTROL!$C$33, 17.6018, 17.6007) * CHOOSE( CONTROL!$C$16, $D$10, 100%, $F$10)</f>
        <v>17.601800000000001</v>
      </c>
      <c r="E617" s="12">
        <f>CHOOSE( CONTROL!$C$33, 17.6041, 17.603) * CHOOSE( CONTROL!$C$16, $D$10, 100%, $F$10)</f>
        <v>17.604099999999999</v>
      </c>
      <c r="F617" s="4">
        <f>CHOOSE( CONTROL!$C$33, 18.2674, 18.2663) * CHOOSE(CONTROL!$C$16, $D$10, 100%, $F$10)</f>
        <v>18.267399999999999</v>
      </c>
      <c r="G617" s="8">
        <f>CHOOSE( CONTROL!$C$33, 17.4017, 17.4006) * CHOOSE( CONTROL!$C$16, $D$10, 100%, $F$10)</f>
        <v>17.401700000000002</v>
      </c>
      <c r="H617" s="4">
        <f>CHOOSE( CONTROL!$C$33, 18.2864, 18.2853) * CHOOSE(CONTROL!$C$16, $D$10, 100%, $F$10)</f>
        <v>18.2864</v>
      </c>
      <c r="I617" s="8">
        <f>CHOOSE( CONTROL!$C$33, 17.2321, 17.231) * CHOOSE(CONTROL!$C$16, $D$10, 100%, $F$10)</f>
        <v>17.232099999999999</v>
      </c>
      <c r="J617" s="4">
        <f>CHOOSE( CONTROL!$C$33, 17.0632, 17.0621) * CHOOSE(CONTROL!$C$16, $D$10, 100%, $F$10)</f>
        <v>17.063199999999998</v>
      </c>
      <c r="K617" s="4"/>
      <c r="L617" s="9">
        <v>27.415299999999998</v>
      </c>
      <c r="M617" s="9">
        <v>11.285299999999999</v>
      </c>
      <c r="N617" s="9">
        <v>4.6254999999999997</v>
      </c>
      <c r="O617" s="9">
        <v>0.34989999999999999</v>
      </c>
      <c r="P617" s="9">
        <v>1.2093</v>
      </c>
      <c r="Q617" s="9">
        <v>18.417899999999999</v>
      </c>
      <c r="R617" s="9"/>
      <c r="S617" s="11"/>
    </row>
    <row r="618" spans="1:19" ht="15" customHeight="1">
      <c r="A618" s="13">
        <v>59992</v>
      </c>
      <c r="B618" s="8">
        <f>CHOOSE( CONTROL!$C$33, 17.2295, 17.2283) * CHOOSE(CONTROL!$C$16, $D$10, 100%, $F$10)</f>
        <v>17.229500000000002</v>
      </c>
      <c r="C618" s="8">
        <f>CHOOSE( CONTROL!$C$33, 17.2346, 17.2334) * CHOOSE(CONTROL!$C$16, $D$10, 100%, $F$10)</f>
        <v>17.2346</v>
      </c>
      <c r="D618" s="8">
        <f>CHOOSE( CONTROL!$C$33, 17.226, 17.2249) * CHOOSE( CONTROL!$C$16, $D$10, 100%, $F$10)</f>
        <v>17.225999999999999</v>
      </c>
      <c r="E618" s="12">
        <f>CHOOSE( CONTROL!$C$33, 17.2286, 17.2275) * CHOOSE( CONTROL!$C$16, $D$10, 100%, $F$10)</f>
        <v>17.2286</v>
      </c>
      <c r="F618" s="4">
        <f>CHOOSE( CONTROL!$C$33, 17.8923, 17.8912) * CHOOSE(CONTROL!$C$16, $D$10, 100%, $F$10)</f>
        <v>17.892299999999999</v>
      </c>
      <c r="G618" s="8">
        <f>CHOOSE( CONTROL!$C$33, 17.0313, 17.0302) * CHOOSE( CONTROL!$C$16, $D$10, 100%, $F$10)</f>
        <v>17.031300000000002</v>
      </c>
      <c r="H618" s="4">
        <f>CHOOSE( CONTROL!$C$33, 17.9165, 17.9154) * CHOOSE(CONTROL!$C$16, $D$10, 100%, $F$10)</f>
        <v>17.916499999999999</v>
      </c>
      <c r="I618" s="8">
        <f>CHOOSE( CONTROL!$C$33, 16.8664, 16.8653) * CHOOSE(CONTROL!$C$16, $D$10, 100%, $F$10)</f>
        <v>16.866399999999999</v>
      </c>
      <c r="J618" s="4">
        <f>CHOOSE( CONTROL!$C$33, 16.6999, 16.6989) * CHOOSE(CONTROL!$C$16, $D$10, 100%, $F$10)</f>
        <v>16.6999</v>
      </c>
      <c r="K618" s="4"/>
      <c r="L618" s="9">
        <v>29.306000000000001</v>
      </c>
      <c r="M618" s="9">
        <v>12.063700000000001</v>
      </c>
      <c r="N618" s="9">
        <v>4.9444999999999997</v>
      </c>
      <c r="O618" s="9">
        <v>0.37409999999999999</v>
      </c>
      <c r="P618" s="9">
        <v>1.2927</v>
      </c>
      <c r="Q618" s="9">
        <v>19.688099999999999</v>
      </c>
      <c r="R618" s="9"/>
      <c r="S618" s="11"/>
    </row>
    <row r="619" spans="1:19" ht="15" customHeight="1">
      <c r="A619" s="13">
        <v>60022</v>
      </c>
      <c r="B619" s="8">
        <f>CHOOSE( CONTROL!$C$33, 17.4923, 17.4912) * CHOOSE(CONTROL!$C$16, $D$10, 100%, $F$10)</f>
        <v>17.4923</v>
      </c>
      <c r="C619" s="8">
        <f>CHOOSE( CONTROL!$C$33, 17.4969, 17.4957) * CHOOSE(CONTROL!$C$16, $D$10, 100%, $F$10)</f>
        <v>17.4969</v>
      </c>
      <c r="D619" s="8">
        <f>CHOOSE( CONTROL!$C$33, 17.5257, 17.5246) * CHOOSE( CONTROL!$C$16, $D$10, 100%, $F$10)</f>
        <v>17.525700000000001</v>
      </c>
      <c r="E619" s="12">
        <f>CHOOSE( CONTROL!$C$33, 17.5157, 17.5145) * CHOOSE( CONTROL!$C$16, $D$10, 100%, $F$10)</f>
        <v>17.515699999999999</v>
      </c>
      <c r="F619" s="4">
        <f>CHOOSE( CONTROL!$C$33, 18.2706, 18.2695) * CHOOSE(CONTROL!$C$16, $D$10, 100%, $F$10)</f>
        <v>18.270600000000002</v>
      </c>
      <c r="G619" s="8">
        <f>CHOOSE( CONTROL!$C$33, 17.3107, 17.3096) * CHOOSE( CONTROL!$C$16, $D$10, 100%, $F$10)</f>
        <v>17.310700000000001</v>
      </c>
      <c r="H619" s="4">
        <f>CHOOSE( CONTROL!$C$33, 18.2896, 18.2885) * CHOOSE(CONTROL!$C$16, $D$10, 100%, $F$10)</f>
        <v>18.2896</v>
      </c>
      <c r="I619" s="8">
        <f>CHOOSE( CONTROL!$C$33, 17.0783, 17.0772) * CHOOSE(CONTROL!$C$16, $D$10, 100%, $F$10)</f>
        <v>17.078299999999999</v>
      </c>
      <c r="J619" s="4">
        <f>CHOOSE( CONTROL!$C$33, 16.9537, 16.9527) * CHOOSE(CONTROL!$C$16, $D$10, 100%, $F$10)</f>
        <v>16.953700000000001</v>
      </c>
      <c r="K619" s="4"/>
      <c r="L619" s="9">
        <v>30.092199999999998</v>
      </c>
      <c r="M619" s="9">
        <v>11.6745</v>
      </c>
      <c r="N619" s="9">
        <v>4.7850000000000001</v>
      </c>
      <c r="O619" s="9">
        <v>0.36199999999999999</v>
      </c>
      <c r="P619" s="9">
        <v>1.2509999999999999</v>
      </c>
      <c r="Q619" s="9">
        <v>19.053000000000001</v>
      </c>
      <c r="R619" s="9"/>
      <c r="S619" s="11"/>
    </row>
    <row r="620" spans="1:19" ht="15" customHeight="1">
      <c r="A620" s="13">
        <v>60053</v>
      </c>
      <c r="B620" s="8">
        <f>CHOOSE( CONTROL!$C$33, 17.9606, 17.9591) * CHOOSE(CONTROL!$C$16, $D$10, 100%, $F$10)</f>
        <v>17.960599999999999</v>
      </c>
      <c r="C620" s="8">
        <f>CHOOSE( CONTROL!$C$33, 17.9686, 17.9671) * CHOOSE(CONTROL!$C$16, $D$10, 100%, $F$10)</f>
        <v>17.968599999999999</v>
      </c>
      <c r="D620" s="8">
        <f>CHOOSE( CONTROL!$C$33, 17.9909, 17.9893) * CHOOSE( CONTROL!$C$16, $D$10, 100%, $F$10)</f>
        <v>17.9909</v>
      </c>
      <c r="E620" s="12">
        <f>CHOOSE( CONTROL!$C$33, 17.9816, 17.98) * CHOOSE( CONTROL!$C$16, $D$10, 100%, $F$10)</f>
        <v>17.9816</v>
      </c>
      <c r="F620" s="4">
        <f>CHOOSE( CONTROL!$C$33, 18.7376, 18.736) * CHOOSE(CONTROL!$C$16, $D$10, 100%, $F$10)</f>
        <v>18.7376</v>
      </c>
      <c r="G620" s="8">
        <f>CHOOSE( CONTROL!$C$33, 17.771, 17.7695) * CHOOSE( CONTROL!$C$16, $D$10, 100%, $F$10)</f>
        <v>17.771000000000001</v>
      </c>
      <c r="H620" s="4">
        <f>CHOOSE( CONTROL!$C$33, 18.75, 18.7485) * CHOOSE(CONTROL!$C$16, $D$10, 100%, $F$10)</f>
        <v>18.75</v>
      </c>
      <c r="I620" s="8">
        <f>CHOOSE( CONTROL!$C$33, 17.5303, 17.5288) * CHOOSE(CONTROL!$C$16, $D$10, 100%, $F$10)</f>
        <v>17.5303</v>
      </c>
      <c r="J620" s="4">
        <f>CHOOSE( CONTROL!$C$33, 17.4059, 17.4044) * CHOOSE(CONTROL!$C$16, $D$10, 100%, $F$10)</f>
        <v>17.405899999999999</v>
      </c>
      <c r="K620" s="4"/>
      <c r="L620" s="9">
        <v>30.7165</v>
      </c>
      <c r="M620" s="9">
        <v>12.063700000000001</v>
      </c>
      <c r="N620" s="9">
        <v>4.9444999999999997</v>
      </c>
      <c r="O620" s="9">
        <v>0.37409999999999999</v>
      </c>
      <c r="P620" s="9">
        <v>1.2927</v>
      </c>
      <c r="Q620" s="9">
        <v>19.688099999999999</v>
      </c>
      <c r="R620" s="9"/>
      <c r="S620" s="11"/>
    </row>
    <row r="621" spans="1:19" ht="15" customHeight="1">
      <c r="A621" s="13">
        <v>60083</v>
      </c>
      <c r="B621" s="8">
        <f>CHOOSE( CONTROL!$C$33, 17.6717, 17.6701) * CHOOSE(CONTROL!$C$16, $D$10, 100%, $F$10)</f>
        <v>17.671700000000001</v>
      </c>
      <c r="C621" s="8">
        <f>CHOOSE( CONTROL!$C$33, 17.6797, 17.6781) * CHOOSE(CONTROL!$C$16, $D$10, 100%, $F$10)</f>
        <v>17.6797</v>
      </c>
      <c r="D621" s="8">
        <f>CHOOSE( CONTROL!$C$33, 17.7021, 17.7005) * CHOOSE( CONTROL!$C$16, $D$10, 100%, $F$10)</f>
        <v>17.702100000000002</v>
      </c>
      <c r="E621" s="12">
        <f>CHOOSE( CONTROL!$C$33, 17.6928, 17.6912) * CHOOSE( CONTROL!$C$16, $D$10, 100%, $F$10)</f>
        <v>17.692799999999998</v>
      </c>
      <c r="F621" s="4">
        <f>CHOOSE( CONTROL!$C$33, 18.4486, 18.447) * CHOOSE(CONTROL!$C$16, $D$10, 100%, $F$10)</f>
        <v>18.448599999999999</v>
      </c>
      <c r="G621" s="8">
        <f>CHOOSE( CONTROL!$C$33, 17.4862, 17.4847) * CHOOSE( CONTROL!$C$16, $D$10, 100%, $F$10)</f>
        <v>17.4862</v>
      </c>
      <c r="H621" s="4">
        <f>CHOOSE( CONTROL!$C$33, 18.4651, 18.4635) * CHOOSE(CONTROL!$C$16, $D$10, 100%, $F$10)</f>
        <v>18.4651</v>
      </c>
      <c r="I621" s="8">
        <f>CHOOSE( CONTROL!$C$33, 17.2509, 17.2494) * CHOOSE(CONTROL!$C$16, $D$10, 100%, $F$10)</f>
        <v>17.250900000000001</v>
      </c>
      <c r="J621" s="4">
        <f>CHOOSE( CONTROL!$C$33, 17.1261, 17.1246) * CHOOSE(CONTROL!$C$16, $D$10, 100%, $F$10)</f>
        <v>17.126100000000001</v>
      </c>
      <c r="K621" s="4"/>
      <c r="L621" s="9">
        <v>29.7257</v>
      </c>
      <c r="M621" s="9">
        <v>11.6745</v>
      </c>
      <c r="N621" s="9">
        <v>4.7850000000000001</v>
      </c>
      <c r="O621" s="9">
        <v>0.36199999999999999</v>
      </c>
      <c r="P621" s="9">
        <v>1.2509999999999999</v>
      </c>
      <c r="Q621" s="9">
        <v>19.053000000000001</v>
      </c>
      <c r="R621" s="9"/>
      <c r="S621" s="11"/>
    </row>
    <row r="622" spans="1:19" ht="15" customHeight="1">
      <c r="A622" s="13">
        <v>60114</v>
      </c>
      <c r="B622" s="8">
        <f>CHOOSE( CONTROL!$C$33, 18.4327, 18.4311) * CHOOSE(CONTROL!$C$16, $D$10, 100%, $F$10)</f>
        <v>18.432700000000001</v>
      </c>
      <c r="C622" s="8">
        <f>CHOOSE( CONTROL!$C$33, 18.4407, 18.4391) * CHOOSE(CONTROL!$C$16, $D$10, 100%, $F$10)</f>
        <v>18.4407</v>
      </c>
      <c r="D622" s="8">
        <f>CHOOSE( CONTROL!$C$33, 18.4633, 18.4617) * CHOOSE( CONTROL!$C$16, $D$10, 100%, $F$10)</f>
        <v>18.4633</v>
      </c>
      <c r="E622" s="12">
        <f>CHOOSE( CONTROL!$C$33, 18.4539, 18.4523) * CHOOSE( CONTROL!$C$16, $D$10, 100%, $F$10)</f>
        <v>18.453900000000001</v>
      </c>
      <c r="F622" s="4">
        <f>CHOOSE( CONTROL!$C$33, 19.2096, 19.208) * CHOOSE(CONTROL!$C$16, $D$10, 100%, $F$10)</f>
        <v>19.209599999999998</v>
      </c>
      <c r="G622" s="8">
        <f>CHOOSE( CONTROL!$C$33, 18.2368, 18.2352) * CHOOSE( CONTROL!$C$16, $D$10, 100%, $F$10)</f>
        <v>18.236799999999999</v>
      </c>
      <c r="H622" s="4">
        <f>CHOOSE( CONTROL!$C$33, 19.2154, 19.2139) * CHOOSE(CONTROL!$C$16, $D$10, 100%, $F$10)</f>
        <v>19.215399999999999</v>
      </c>
      <c r="I622" s="8">
        <f>CHOOSE( CONTROL!$C$33, 17.9889, 17.9874) * CHOOSE(CONTROL!$C$16, $D$10, 100%, $F$10)</f>
        <v>17.988900000000001</v>
      </c>
      <c r="J622" s="4">
        <f>CHOOSE( CONTROL!$C$33, 17.8629, 17.8614) * CHOOSE(CONTROL!$C$16, $D$10, 100%, $F$10)</f>
        <v>17.8629</v>
      </c>
      <c r="K622" s="4"/>
      <c r="L622" s="9">
        <v>30.7165</v>
      </c>
      <c r="M622" s="9">
        <v>12.063700000000001</v>
      </c>
      <c r="N622" s="9">
        <v>4.9444999999999997</v>
      </c>
      <c r="O622" s="9">
        <v>0.37409999999999999</v>
      </c>
      <c r="P622" s="9">
        <v>1.2927</v>
      </c>
      <c r="Q622" s="9">
        <v>19.688099999999999</v>
      </c>
      <c r="R622" s="9"/>
      <c r="S622" s="11"/>
    </row>
    <row r="623" spans="1:19" ht="15" customHeight="1">
      <c r="A623" s="13">
        <v>60145</v>
      </c>
      <c r="B623" s="8">
        <f>CHOOSE( CONTROL!$C$33, 17.0088, 17.0072) * CHOOSE(CONTROL!$C$16, $D$10, 100%, $F$10)</f>
        <v>17.008800000000001</v>
      </c>
      <c r="C623" s="8">
        <f>CHOOSE( CONTROL!$C$33, 17.0168, 17.0152) * CHOOSE(CONTROL!$C$16, $D$10, 100%, $F$10)</f>
        <v>17.0168</v>
      </c>
      <c r="D623" s="8">
        <f>CHOOSE( CONTROL!$C$33, 17.0394, 17.0379) * CHOOSE( CONTROL!$C$16, $D$10, 100%, $F$10)</f>
        <v>17.039400000000001</v>
      </c>
      <c r="E623" s="12">
        <f>CHOOSE( CONTROL!$C$33, 17.03, 17.0285) * CHOOSE( CONTROL!$C$16, $D$10, 100%, $F$10)</f>
        <v>17.03</v>
      </c>
      <c r="F623" s="4">
        <f>CHOOSE( CONTROL!$C$33, 17.7857, 17.7841) * CHOOSE(CONTROL!$C$16, $D$10, 100%, $F$10)</f>
        <v>17.785699999999999</v>
      </c>
      <c r="G623" s="8">
        <f>CHOOSE( CONTROL!$C$33, 16.8328, 16.8312) * CHOOSE( CONTROL!$C$16, $D$10, 100%, $F$10)</f>
        <v>16.832799999999999</v>
      </c>
      <c r="H623" s="4">
        <f>CHOOSE( CONTROL!$C$33, 17.8114, 17.8098) * CHOOSE(CONTROL!$C$16, $D$10, 100%, $F$10)</f>
        <v>17.811399999999999</v>
      </c>
      <c r="I623" s="8">
        <f>CHOOSE( CONTROL!$C$33, 16.6096, 16.6081) * CHOOSE(CONTROL!$C$16, $D$10, 100%, $F$10)</f>
        <v>16.6096</v>
      </c>
      <c r="J623" s="4">
        <f>CHOOSE( CONTROL!$C$33, 16.4842, 16.4827) * CHOOSE(CONTROL!$C$16, $D$10, 100%, $F$10)</f>
        <v>16.484200000000001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1.2927</v>
      </c>
      <c r="Q623" s="9">
        <v>19.688099999999999</v>
      </c>
      <c r="R623" s="9"/>
      <c r="S623" s="11"/>
    </row>
    <row r="624" spans="1:19" ht="15" customHeight="1">
      <c r="A624" s="13">
        <v>60175</v>
      </c>
      <c r="B624" s="8">
        <f>CHOOSE( CONTROL!$C$33, 16.6522, 16.6506) * CHOOSE(CONTROL!$C$16, $D$10, 100%, $F$10)</f>
        <v>16.652200000000001</v>
      </c>
      <c r="C624" s="8">
        <f>CHOOSE( CONTROL!$C$33, 16.6602, 16.6586) * CHOOSE(CONTROL!$C$16, $D$10, 100%, $F$10)</f>
        <v>16.6602</v>
      </c>
      <c r="D624" s="8">
        <f>CHOOSE( CONTROL!$C$33, 16.6827, 16.6812) * CHOOSE( CONTROL!$C$16, $D$10, 100%, $F$10)</f>
        <v>16.682700000000001</v>
      </c>
      <c r="E624" s="12">
        <f>CHOOSE( CONTROL!$C$33, 16.6733, 16.6718) * CHOOSE( CONTROL!$C$16, $D$10, 100%, $F$10)</f>
        <v>16.673300000000001</v>
      </c>
      <c r="F624" s="4">
        <f>CHOOSE( CONTROL!$C$33, 17.4291, 17.4275) * CHOOSE(CONTROL!$C$16, $D$10, 100%, $F$10)</f>
        <v>17.429099999999998</v>
      </c>
      <c r="G624" s="8">
        <f>CHOOSE( CONTROL!$C$33, 16.4811, 16.4796) * CHOOSE( CONTROL!$C$16, $D$10, 100%, $F$10)</f>
        <v>16.481100000000001</v>
      </c>
      <c r="H624" s="4">
        <f>CHOOSE( CONTROL!$C$33, 17.4598, 17.4583) * CHOOSE(CONTROL!$C$16, $D$10, 100%, $F$10)</f>
        <v>17.459800000000001</v>
      </c>
      <c r="I624" s="8">
        <f>CHOOSE( CONTROL!$C$33, 16.2638, 16.2623) * CHOOSE(CONTROL!$C$16, $D$10, 100%, $F$10)</f>
        <v>16.2638</v>
      </c>
      <c r="J624" s="4">
        <f>CHOOSE( CONTROL!$C$33, 16.1389, 16.1374) * CHOOSE(CONTROL!$C$16, $D$10, 100%, $F$10)</f>
        <v>16.1389</v>
      </c>
      <c r="K624" s="4"/>
      <c r="L624" s="9">
        <v>29.7257</v>
      </c>
      <c r="M624" s="9">
        <v>11.6745</v>
      </c>
      <c r="N624" s="9">
        <v>4.7850000000000001</v>
      </c>
      <c r="O624" s="9">
        <v>0.36199999999999999</v>
      </c>
      <c r="P624" s="9">
        <v>1.2509999999999999</v>
      </c>
      <c r="Q624" s="9">
        <v>19.053000000000001</v>
      </c>
      <c r="R624" s="9"/>
      <c r="S624" s="11"/>
    </row>
    <row r="625" spans="1:19" ht="15" customHeight="1">
      <c r="A625" s="13">
        <v>60206</v>
      </c>
      <c r="B625" s="8">
        <f>CHOOSE( CONTROL!$C$33, 17.3904, 17.3892) * CHOOSE(CONTROL!$C$16, $D$10, 100%, $F$10)</f>
        <v>17.3904</v>
      </c>
      <c r="C625" s="8">
        <f>CHOOSE( CONTROL!$C$33, 17.3957, 17.3946) * CHOOSE(CONTROL!$C$16, $D$10, 100%, $F$10)</f>
        <v>17.395700000000001</v>
      </c>
      <c r="D625" s="8">
        <f>CHOOSE( CONTROL!$C$33, 17.4245, 17.4234) * CHOOSE( CONTROL!$C$16, $D$10, 100%, $F$10)</f>
        <v>17.424499999999998</v>
      </c>
      <c r="E625" s="12">
        <f>CHOOSE( CONTROL!$C$33, 17.4144, 17.4133) * CHOOSE( CONTROL!$C$16, $D$10, 100%, $F$10)</f>
        <v>17.414400000000001</v>
      </c>
      <c r="F625" s="4">
        <f>CHOOSE( CONTROL!$C$33, 18.169, 18.1679) * CHOOSE(CONTROL!$C$16, $D$10, 100%, $F$10)</f>
        <v>18.169</v>
      </c>
      <c r="G625" s="8">
        <f>CHOOSE( CONTROL!$C$33, 17.2108, 17.2097) * CHOOSE( CONTROL!$C$16, $D$10, 100%, $F$10)</f>
        <v>17.210799999999999</v>
      </c>
      <c r="H625" s="4">
        <f>CHOOSE( CONTROL!$C$33, 18.1894, 18.1883) * CHOOSE(CONTROL!$C$16, $D$10, 100%, $F$10)</f>
        <v>18.189399999999999</v>
      </c>
      <c r="I625" s="8">
        <f>CHOOSE( CONTROL!$C$33, 16.9812, 16.9801) * CHOOSE(CONTROL!$C$16, $D$10, 100%, $F$10)</f>
        <v>16.981200000000001</v>
      </c>
      <c r="J625" s="4">
        <f>CHOOSE( CONTROL!$C$33, 16.8554, 16.8543) * CHOOSE(CONTROL!$C$16, $D$10, 100%, $F$10)</f>
        <v>16.855399999999999</v>
      </c>
      <c r="K625" s="4"/>
      <c r="L625" s="9">
        <v>31.095300000000002</v>
      </c>
      <c r="M625" s="9">
        <v>12.063700000000001</v>
      </c>
      <c r="N625" s="9">
        <v>4.9444999999999997</v>
      </c>
      <c r="O625" s="9">
        <v>0.37409999999999999</v>
      </c>
      <c r="P625" s="9">
        <v>1.2927</v>
      </c>
      <c r="Q625" s="9">
        <v>19.688099999999999</v>
      </c>
      <c r="R625" s="9"/>
      <c r="S625" s="11"/>
    </row>
    <row r="626" spans="1:19" ht="15" customHeight="1">
      <c r="A626" s="13">
        <v>60236</v>
      </c>
      <c r="B626" s="8">
        <f>CHOOSE( CONTROL!$C$33, 18.7565, 18.7554) * CHOOSE(CONTROL!$C$16, $D$10, 100%, $F$10)</f>
        <v>18.756499999999999</v>
      </c>
      <c r="C626" s="8">
        <f>CHOOSE( CONTROL!$C$33, 18.7616, 18.7605) * CHOOSE(CONTROL!$C$16, $D$10, 100%, $F$10)</f>
        <v>18.761600000000001</v>
      </c>
      <c r="D626" s="8">
        <f>CHOOSE( CONTROL!$C$33, 18.7413, 18.7401) * CHOOSE( CONTROL!$C$16, $D$10, 100%, $F$10)</f>
        <v>18.741299999999999</v>
      </c>
      <c r="E626" s="12">
        <f>CHOOSE( CONTROL!$C$33, 18.7482, 18.747) * CHOOSE( CONTROL!$C$16, $D$10, 100%, $F$10)</f>
        <v>18.748200000000001</v>
      </c>
      <c r="F626" s="4">
        <f>CHOOSE( CONTROL!$C$33, 19.4194, 19.4182) * CHOOSE(CONTROL!$C$16, $D$10, 100%, $F$10)</f>
        <v>19.4194</v>
      </c>
      <c r="G626" s="8">
        <f>CHOOSE( CONTROL!$C$33, 18.5308, 18.5297) * CHOOSE( CONTROL!$C$16, $D$10, 100%, $F$10)</f>
        <v>18.530799999999999</v>
      </c>
      <c r="H626" s="4">
        <f>CHOOSE( CONTROL!$C$33, 19.4223, 19.4212) * CHOOSE(CONTROL!$C$16, $D$10, 100%, $F$10)</f>
        <v>19.4223</v>
      </c>
      <c r="I626" s="8">
        <f>CHOOSE( CONTROL!$C$33, 18.3528, 18.3517) * CHOOSE(CONTROL!$C$16, $D$10, 100%, $F$10)</f>
        <v>18.352799999999998</v>
      </c>
      <c r="J626" s="4">
        <f>CHOOSE( CONTROL!$C$33, 18.1786, 18.1775) * CHOOSE(CONTROL!$C$16, $D$10, 100%, $F$10)</f>
        <v>18.178599999999999</v>
      </c>
      <c r="K626" s="4"/>
      <c r="L626" s="9">
        <v>28.360600000000002</v>
      </c>
      <c r="M626" s="9">
        <v>11.6745</v>
      </c>
      <c r="N626" s="9">
        <v>4.7850000000000001</v>
      </c>
      <c r="O626" s="9">
        <v>0.36199999999999999</v>
      </c>
      <c r="P626" s="9">
        <v>1.2509999999999999</v>
      </c>
      <c r="Q626" s="9">
        <v>19.053000000000001</v>
      </c>
      <c r="R626" s="9"/>
      <c r="S626" s="11"/>
    </row>
    <row r="627" spans="1:19" ht="15" customHeight="1">
      <c r="A627" s="13">
        <v>60267</v>
      </c>
      <c r="B627" s="8">
        <f>CHOOSE( CONTROL!$C$33, 18.7224, 18.7212) * CHOOSE(CONTROL!$C$16, $D$10, 100%, $F$10)</f>
        <v>18.7224</v>
      </c>
      <c r="C627" s="8">
        <f>CHOOSE( CONTROL!$C$33, 18.7275, 18.7263) * CHOOSE(CONTROL!$C$16, $D$10, 100%, $F$10)</f>
        <v>18.727499999999999</v>
      </c>
      <c r="D627" s="8">
        <f>CHOOSE( CONTROL!$C$33, 18.7086, 18.7075) * CHOOSE( CONTROL!$C$16, $D$10, 100%, $F$10)</f>
        <v>18.708600000000001</v>
      </c>
      <c r="E627" s="12">
        <f>CHOOSE( CONTROL!$C$33, 18.715, 18.7138) * CHOOSE( CONTROL!$C$16, $D$10, 100%, $F$10)</f>
        <v>18.715</v>
      </c>
      <c r="F627" s="4">
        <f>CHOOSE( CONTROL!$C$33, 19.3852, 19.3841) * CHOOSE(CONTROL!$C$16, $D$10, 100%, $F$10)</f>
        <v>19.385200000000001</v>
      </c>
      <c r="G627" s="8">
        <f>CHOOSE( CONTROL!$C$33, 18.4982, 18.497) * CHOOSE( CONTROL!$C$16, $D$10, 100%, $F$10)</f>
        <v>18.498200000000001</v>
      </c>
      <c r="H627" s="4">
        <f>CHOOSE( CONTROL!$C$33, 19.3886, 19.3875) * CHOOSE(CONTROL!$C$16, $D$10, 100%, $F$10)</f>
        <v>19.3886</v>
      </c>
      <c r="I627" s="8">
        <f>CHOOSE( CONTROL!$C$33, 18.3243, 18.3232) * CHOOSE(CONTROL!$C$16, $D$10, 100%, $F$10)</f>
        <v>18.324300000000001</v>
      </c>
      <c r="J627" s="4">
        <f>CHOOSE( CONTROL!$C$33, 18.1455, 18.1444) * CHOOSE(CONTROL!$C$16, $D$10, 100%, $F$10)</f>
        <v>18.145499999999998</v>
      </c>
      <c r="K627" s="4"/>
      <c r="L627" s="9">
        <v>29.306000000000001</v>
      </c>
      <c r="M627" s="9">
        <v>12.063700000000001</v>
      </c>
      <c r="N627" s="9">
        <v>4.9444999999999997</v>
      </c>
      <c r="O627" s="9">
        <v>0.37409999999999999</v>
      </c>
      <c r="P627" s="9">
        <v>1.2927</v>
      </c>
      <c r="Q627" s="9">
        <v>19.688099999999999</v>
      </c>
      <c r="R627" s="9"/>
      <c r="S627" s="11"/>
    </row>
    <row r="628" spans="1:19" ht="15" customHeight="1">
      <c r="A628" s="13">
        <v>60298</v>
      </c>
      <c r="B628" s="8">
        <f>CHOOSE( CONTROL!$C$33, 19.2751, 19.274) * CHOOSE(CONTROL!$C$16, $D$10, 100%, $F$10)</f>
        <v>19.275099999999998</v>
      </c>
      <c r="C628" s="8">
        <f>CHOOSE( CONTROL!$C$33, 19.2802, 19.2791) * CHOOSE(CONTROL!$C$16, $D$10, 100%, $F$10)</f>
        <v>19.280200000000001</v>
      </c>
      <c r="D628" s="8">
        <f>CHOOSE( CONTROL!$C$33, 19.2725, 19.2714) * CHOOSE( CONTROL!$C$16, $D$10, 100%, $F$10)</f>
        <v>19.272500000000001</v>
      </c>
      <c r="E628" s="12">
        <f>CHOOSE( CONTROL!$C$33, 19.2748, 19.2737) * CHOOSE( CONTROL!$C$16, $D$10, 100%, $F$10)</f>
        <v>19.274799999999999</v>
      </c>
      <c r="F628" s="4">
        <f>CHOOSE( CONTROL!$C$33, 19.9379, 19.9368) * CHOOSE(CONTROL!$C$16, $D$10, 100%, $F$10)</f>
        <v>19.937899999999999</v>
      </c>
      <c r="G628" s="8">
        <f>CHOOSE( CONTROL!$C$33, 19.049, 19.0479) * CHOOSE( CONTROL!$C$16, $D$10, 100%, $F$10)</f>
        <v>19.048999999999999</v>
      </c>
      <c r="H628" s="4">
        <f>CHOOSE( CONTROL!$C$33, 19.9336, 19.9325) * CHOOSE(CONTROL!$C$16, $D$10, 100%, $F$10)</f>
        <v>19.933599999999998</v>
      </c>
      <c r="I628" s="8">
        <f>CHOOSE( CONTROL!$C$33, 18.851, 18.8499) * CHOOSE(CONTROL!$C$16, $D$10, 100%, $F$10)</f>
        <v>18.850999999999999</v>
      </c>
      <c r="J628" s="4">
        <f>CHOOSE( CONTROL!$C$33, 18.6807, 18.6796) * CHOOSE(CONTROL!$C$16, $D$10, 100%, $F$10)</f>
        <v>18.680700000000002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" customHeight="1">
      <c r="A629" s="13">
        <v>60326</v>
      </c>
      <c r="B629" s="8">
        <f>CHOOSE( CONTROL!$C$33, 18.0279, 18.0268) * CHOOSE(CONTROL!$C$16, $D$10, 100%, $F$10)</f>
        <v>18.027899999999999</v>
      </c>
      <c r="C629" s="8">
        <f>CHOOSE( CONTROL!$C$33, 18.033, 18.0319) * CHOOSE(CONTROL!$C$16, $D$10, 100%, $F$10)</f>
        <v>18.033000000000001</v>
      </c>
      <c r="D629" s="8">
        <f>CHOOSE( CONTROL!$C$33, 18.0252, 18.0241) * CHOOSE( CONTROL!$C$16, $D$10, 100%, $F$10)</f>
        <v>18.025200000000002</v>
      </c>
      <c r="E629" s="12">
        <f>CHOOSE( CONTROL!$C$33, 18.0275, 18.0264) * CHOOSE( CONTROL!$C$16, $D$10, 100%, $F$10)</f>
        <v>18.0275</v>
      </c>
      <c r="F629" s="4">
        <f>CHOOSE( CONTROL!$C$33, 18.6908, 18.6897) * CHOOSE(CONTROL!$C$16, $D$10, 100%, $F$10)</f>
        <v>18.690799999999999</v>
      </c>
      <c r="G629" s="8">
        <f>CHOOSE( CONTROL!$C$33, 17.8191, 17.818) * CHOOSE( CONTROL!$C$16, $D$10, 100%, $F$10)</f>
        <v>17.819099999999999</v>
      </c>
      <c r="H629" s="4">
        <f>CHOOSE( CONTROL!$C$33, 18.7039, 18.7028) * CHOOSE(CONTROL!$C$16, $D$10, 100%, $F$10)</f>
        <v>18.703900000000001</v>
      </c>
      <c r="I629" s="8">
        <f>CHOOSE( CONTROL!$C$33, 17.6422, 17.6411) * CHOOSE(CONTROL!$C$16, $D$10, 100%, $F$10)</f>
        <v>17.642199999999999</v>
      </c>
      <c r="J629" s="4">
        <f>CHOOSE( CONTROL!$C$33, 17.4731, 17.472) * CHOOSE(CONTROL!$C$16, $D$10, 100%, $F$10)</f>
        <v>17.473099999999999</v>
      </c>
      <c r="K629" s="4"/>
      <c r="L629" s="9">
        <v>26.469899999999999</v>
      </c>
      <c r="M629" s="9">
        <v>10.8962</v>
      </c>
      <c r="N629" s="9">
        <v>4.4660000000000002</v>
      </c>
      <c r="O629" s="9">
        <v>0.33789999999999998</v>
      </c>
      <c r="P629" s="9">
        <v>1.1676</v>
      </c>
      <c r="Q629" s="9">
        <v>17.782800000000002</v>
      </c>
      <c r="R629" s="9"/>
      <c r="S629" s="11"/>
    </row>
    <row r="630" spans="1:19" ht="15" customHeight="1">
      <c r="A630" s="13">
        <v>60357</v>
      </c>
      <c r="B630" s="8">
        <f>CHOOSE( CONTROL!$C$33, 17.6438, 17.6427) * CHOOSE(CONTROL!$C$16, $D$10, 100%, $F$10)</f>
        <v>17.643799999999999</v>
      </c>
      <c r="C630" s="8">
        <f>CHOOSE( CONTROL!$C$33, 17.6489, 17.6478) * CHOOSE(CONTROL!$C$16, $D$10, 100%, $F$10)</f>
        <v>17.648900000000001</v>
      </c>
      <c r="D630" s="8">
        <f>CHOOSE( CONTROL!$C$33, 17.6404, 17.6392) * CHOOSE( CONTROL!$C$16, $D$10, 100%, $F$10)</f>
        <v>17.6404</v>
      </c>
      <c r="E630" s="12">
        <f>CHOOSE( CONTROL!$C$33, 17.643, 17.6418) * CHOOSE( CONTROL!$C$16, $D$10, 100%, $F$10)</f>
        <v>17.643000000000001</v>
      </c>
      <c r="F630" s="4">
        <f>CHOOSE( CONTROL!$C$33, 18.3067, 18.3056) * CHOOSE(CONTROL!$C$16, $D$10, 100%, $F$10)</f>
        <v>18.306699999999999</v>
      </c>
      <c r="G630" s="8">
        <f>CHOOSE( CONTROL!$C$33, 17.4399, 17.4388) * CHOOSE( CONTROL!$C$16, $D$10, 100%, $F$10)</f>
        <v>17.439900000000002</v>
      </c>
      <c r="H630" s="4">
        <f>CHOOSE( CONTROL!$C$33, 18.3251, 18.324) * CHOOSE(CONTROL!$C$16, $D$10, 100%, $F$10)</f>
        <v>18.325099999999999</v>
      </c>
      <c r="I630" s="8">
        <f>CHOOSE( CONTROL!$C$33, 17.2678, 17.2667) * CHOOSE(CONTROL!$C$16, $D$10, 100%, $F$10)</f>
        <v>17.267800000000001</v>
      </c>
      <c r="J630" s="4">
        <f>CHOOSE( CONTROL!$C$33, 17.1012, 17.1001) * CHOOSE(CONTROL!$C$16, $D$10, 100%, $F$10)</f>
        <v>17.101199999999999</v>
      </c>
      <c r="K630" s="4"/>
      <c r="L630" s="9">
        <v>29.306000000000001</v>
      </c>
      <c r="M630" s="9">
        <v>12.063700000000001</v>
      </c>
      <c r="N630" s="9">
        <v>4.9444999999999997</v>
      </c>
      <c r="O630" s="9">
        <v>0.37409999999999999</v>
      </c>
      <c r="P630" s="9">
        <v>1.2927</v>
      </c>
      <c r="Q630" s="9">
        <v>19.688099999999999</v>
      </c>
      <c r="R630" s="9"/>
      <c r="S630" s="11"/>
    </row>
    <row r="631" spans="1:19" ht="15" customHeight="1">
      <c r="A631" s="13">
        <v>60387</v>
      </c>
      <c r="B631" s="8">
        <f>CHOOSE( CONTROL!$C$33, 17.913, 17.9119) * CHOOSE(CONTROL!$C$16, $D$10, 100%, $F$10)</f>
        <v>17.913</v>
      </c>
      <c r="C631" s="8">
        <f>CHOOSE( CONTROL!$C$33, 17.9175, 17.9164) * CHOOSE(CONTROL!$C$16, $D$10, 100%, $F$10)</f>
        <v>17.9175</v>
      </c>
      <c r="D631" s="8">
        <f>CHOOSE( CONTROL!$C$33, 17.9464, 17.9453) * CHOOSE( CONTROL!$C$16, $D$10, 100%, $F$10)</f>
        <v>17.946400000000001</v>
      </c>
      <c r="E631" s="12">
        <f>CHOOSE( CONTROL!$C$33, 17.9363, 17.9352) * CHOOSE( CONTROL!$C$16, $D$10, 100%, $F$10)</f>
        <v>17.936299999999999</v>
      </c>
      <c r="F631" s="4">
        <f>CHOOSE( CONTROL!$C$33, 18.6913, 18.6902) * CHOOSE(CONTROL!$C$16, $D$10, 100%, $F$10)</f>
        <v>18.691299999999998</v>
      </c>
      <c r="G631" s="8">
        <f>CHOOSE( CONTROL!$C$33, 17.7255, 17.7244) * CHOOSE( CONTROL!$C$16, $D$10, 100%, $F$10)</f>
        <v>17.7255</v>
      </c>
      <c r="H631" s="4">
        <f>CHOOSE( CONTROL!$C$33, 18.7044, 18.7033) * CHOOSE(CONTROL!$C$16, $D$10, 100%, $F$10)</f>
        <v>18.7044</v>
      </c>
      <c r="I631" s="8">
        <f>CHOOSE( CONTROL!$C$33, 17.4858, 17.4847) * CHOOSE(CONTROL!$C$16, $D$10, 100%, $F$10)</f>
        <v>17.485800000000001</v>
      </c>
      <c r="J631" s="4">
        <f>CHOOSE( CONTROL!$C$33, 17.3611, 17.36) * CHOOSE(CONTROL!$C$16, $D$10, 100%, $F$10)</f>
        <v>17.3611</v>
      </c>
      <c r="K631" s="4"/>
      <c r="L631" s="9">
        <v>30.092199999999998</v>
      </c>
      <c r="M631" s="9">
        <v>11.6745</v>
      </c>
      <c r="N631" s="9">
        <v>4.7850000000000001</v>
      </c>
      <c r="O631" s="9">
        <v>0.36199999999999999</v>
      </c>
      <c r="P631" s="9">
        <v>1.2509999999999999</v>
      </c>
      <c r="Q631" s="9">
        <v>19.053000000000001</v>
      </c>
      <c r="R631" s="9"/>
      <c r="S631" s="11"/>
    </row>
    <row r="632" spans="1:19" ht="15" customHeight="1">
      <c r="A632" s="13">
        <v>60418</v>
      </c>
      <c r="B632" s="8">
        <f>CHOOSE( CONTROL!$C$33, 18.3925, 18.391) * CHOOSE(CONTROL!$C$16, $D$10, 100%, $F$10)</f>
        <v>18.392499999999998</v>
      </c>
      <c r="C632" s="8">
        <f>CHOOSE( CONTROL!$C$33, 18.4005, 18.3989) * CHOOSE(CONTROL!$C$16, $D$10, 100%, $F$10)</f>
        <v>18.400500000000001</v>
      </c>
      <c r="D632" s="8">
        <f>CHOOSE( CONTROL!$C$33, 18.4227, 18.4212) * CHOOSE( CONTROL!$C$16, $D$10, 100%, $F$10)</f>
        <v>18.422699999999999</v>
      </c>
      <c r="E632" s="12">
        <f>CHOOSE( CONTROL!$C$33, 18.4134, 18.4119) * CHOOSE( CONTROL!$C$16, $D$10, 100%, $F$10)</f>
        <v>18.413399999999999</v>
      </c>
      <c r="F632" s="4">
        <f>CHOOSE( CONTROL!$C$33, 19.1694, 19.1679) * CHOOSE(CONTROL!$C$16, $D$10, 100%, $F$10)</f>
        <v>19.1694</v>
      </c>
      <c r="G632" s="8">
        <f>CHOOSE( CONTROL!$C$33, 18.1969, 18.1954) * CHOOSE( CONTROL!$C$16, $D$10, 100%, $F$10)</f>
        <v>18.196899999999999</v>
      </c>
      <c r="H632" s="4">
        <f>CHOOSE( CONTROL!$C$33, 19.1759, 19.1743) * CHOOSE(CONTROL!$C$16, $D$10, 100%, $F$10)</f>
        <v>19.175899999999999</v>
      </c>
      <c r="I632" s="8">
        <f>CHOOSE( CONTROL!$C$33, 17.9487, 17.9472) * CHOOSE(CONTROL!$C$16, $D$10, 100%, $F$10)</f>
        <v>17.948699999999999</v>
      </c>
      <c r="J632" s="4">
        <f>CHOOSE( CONTROL!$C$33, 17.8241, 17.8226) * CHOOSE(CONTROL!$C$16, $D$10, 100%, $F$10)</f>
        <v>17.824100000000001</v>
      </c>
      <c r="K632" s="4"/>
      <c r="L632" s="9">
        <v>30.7165</v>
      </c>
      <c r="M632" s="9">
        <v>12.063700000000001</v>
      </c>
      <c r="N632" s="9">
        <v>4.9444999999999997</v>
      </c>
      <c r="O632" s="9">
        <v>0.37409999999999999</v>
      </c>
      <c r="P632" s="9">
        <v>1.2927</v>
      </c>
      <c r="Q632" s="9">
        <v>19.688099999999999</v>
      </c>
      <c r="R632" s="9"/>
      <c r="S632" s="11"/>
    </row>
    <row r="633" spans="1:19" ht="15" customHeight="1">
      <c r="A633" s="13">
        <v>60448</v>
      </c>
      <c r="B633" s="8">
        <f>CHOOSE( CONTROL!$C$33, 18.0966, 18.095) * CHOOSE(CONTROL!$C$16, $D$10, 100%, $F$10)</f>
        <v>18.096599999999999</v>
      </c>
      <c r="C633" s="8">
        <f>CHOOSE( CONTROL!$C$33, 18.1046, 18.103) * CHOOSE(CONTROL!$C$16, $D$10, 100%, $F$10)</f>
        <v>18.104600000000001</v>
      </c>
      <c r="D633" s="8">
        <f>CHOOSE( CONTROL!$C$33, 18.127, 18.1254) * CHOOSE( CONTROL!$C$16, $D$10, 100%, $F$10)</f>
        <v>18.126999999999999</v>
      </c>
      <c r="E633" s="12">
        <f>CHOOSE( CONTROL!$C$33, 18.1177, 18.1161) * CHOOSE( CONTROL!$C$16, $D$10, 100%, $F$10)</f>
        <v>18.117699999999999</v>
      </c>
      <c r="F633" s="4">
        <f>CHOOSE( CONTROL!$C$33, 18.8735, 18.8719) * CHOOSE(CONTROL!$C$16, $D$10, 100%, $F$10)</f>
        <v>18.8735</v>
      </c>
      <c r="G633" s="8">
        <f>CHOOSE( CONTROL!$C$33, 17.9052, 17.9037) * CHOOSE( CONTROL!$C$16, $D$10, 100%, $F$10)</f>
        <v>17.905200000000001</v>
      </c>
      <c r="H633" s="4">
        <f>CHOOSE( CONTROL!$C$33, 18.8841, 18.8825) * CHOOSE(CONTROL!$C$16, $D$10, 100%, $F$10)</f>
        <v>18.8841</v>
      </c>
      <c r="I633" s="8">
        <f>CHOOSE( CONTROL!$C$33, 17.6626, 17.6611) * CHOOSE(CONTROL!$C$16, $D$10, 100%, $F$10)</f>
        <v>17.662600000000001</v>
      </c>
      <c r="J633" s="4">
        <f>CHOOSE( CONTROL!$C$33, 17.5375, 17.536) * CHOOSE(CONTROL!$C$16, $D$10, 100%, $F$10)</f>
        <v>17.537500000000001</v>
      </c>
      <c r="K633" s="4"/>
      <c r="L633" s="9">
        <v>29.7257</v>
      </c>
      <c r="M633" s="9">
        <v>11.6745</v>
      </c>
      <c r="N633" s="9">
        <v>4.7850000000000001</v>
      </c>
      <c r="O633" s="9">
        <v>0.36199999999999999</v>
      </c>
      <c r="P633" s="9">
        <v>1.2509999999999999</v>
      </c>
      <c r="Q633" s="9">
        <v>19.053000000000001</v>
      </c>
      <c r="R633" s="9"/>
      <c r="S633" s="11"/>
    </row>
    <row r="634" spans="1:19" ht="15" customHeight="1">
      <c r="A634" s="13">
        <v>60479</v>
      </c>
      <c r="B634" s="8">
        <f>CHOOSE( CONTROL!$C$33, 18.8759, 18.8743) * CHOOSE(CONTROL!$C$16, $D$10, 100%, $F$10)</f>
        <v>18.875900000000001</v>
      </c>
      <c r="C634" s="8">
        <f>CHOOSE( CONTROL!$C$33, 18.8839, 18.8823) * CHOOSE(CONTROL!$C$16, $D$10, 100%, $F$10)</f>
        <v>18.883900000000001</v>
      </c>
      <c r="D634" s="8">
        <f>CHOOSE( CONTROL!$C$33, 18.9065, 18.9049) * CHOOSE( CONTROL!$C$16, $D$10, 100%, $F$10)</f>
        <v>18.906500000000001</v>
      </c>
      <c r="E634" s="12">
        <f>CHOOSE( CONTROL!$C$33, 18.8971, 18.8955) * CHOOSE( CONTROL!$C$16, $D$10, 100%, $F$10)</f>
        <v>18.897099999999998</v>
      </c>
      <c r="F634" s="4">
        <f>CHOOSE( CONTROL!$C$33, 19.6528, 19.6512) * CHOOSE(CONTROL!$C$16, $D$10, 100%, $F$10)</f>
        <v>19.652799999999999</v>
      </c>
      <c r="G634" s="8">
        <f>CHOOSE( CONTROL!$C$33, 18.6738, 18.6723) * CHOOSE( CONTROL!$C$16, $D$10, 100%, $F$10)</f>
        <v>18.6738</v>
      </c>
      <c r="H634" s="4">
        <f>CHOOSE( CONTROL!$C$33, 19.6525, 19.6509) * CHOOSE(CONTROL!$C$16, $D$10, 100%, $F$10)</f>
        <v>19.6525</v>
      </c>
      <c r="I634" s="8">
        <f>CHOOSE( CONTROL!$C$33, 18.4183, 18.4168) * CHOOSE(CONTROL!$C$16, $D$10, 100%, $F$10)</f>
        <v>18.418299999999999</v>
      </c>
      <c r="J634" s="4">
        <f>CHOOSE( CONTROL!$C$33, 18.2921, 18.2906) * CHOOSE(CONTROL!$C$16, $D$10, 100%, $F$10)</f>
        <v>18.292100000000001</v>
      </c>
      <c r="K634" s="4"/>
      <c r="L634" s="9">
        <v>30.7165</v>
      </c>
      <c r="M634" s="9">
        <v>12.063700000000001</v>
      </c>
      <c r="N634" s="9">
        <v>4.9444999999999997</v>
      </c>
      <c r="O634" s="9">
        <v>0.37409999999999999</v>
      </c>
      <c r="P634" s="9">
        <v>1.2927</v>
      </c>
      <c r="Q634" s="9">
        <v>19.688099999999999</v>
      </c>
      <c r="R634" s="9"/>
      <c r="S634" s="11"/>
    </row>
    <row r="635" spans="1:19" ht="15" customHeight="1">
      <c r="A635" s="13">
        <v>60510</v>
      </c>
      <c r="B635" s="8">
        <f>CHOOSE( CONTROL!$C$33, 17.4178, 17.4162) * CHOOSE(CONTROL!$C$16, $D$10, 100%, $F$10)</f>
        <v>17.4178</v>
      </c>
      <c r="C635" s="8">
        <f>CHOOSE( CONTROL!$C$33, 17.4258, 17.4242) * CHOOSE(CONTROL!$C$16, $D$10, 100%, $F$10)</f>
        <v>17.425799999999999</v>
      </c>
      <c r="D635" s="8">
        <f>CHOOSE( CONTROL!$C$33, 17.4484, 17.4469) * CHOOSE( CONTROL!$C$16, $D$10, 100%, $F$10)</f>
        <v>17.448399999999999</v>
      </c>
      <c r="E635" s="12">
        <f>CHOOSE( CONTROL!$C$33, 17.439, 17.4375) * CHOOSE( CONTROL!$C$16, $D$10, 100%, $F$10)</f>
        <v>17.439</v>
      </c>
      <c r="F635" s="4">
        <f>CHOOSE( CONTROL!$C$33, 18.1947, 18.1931) * CHOOSE(CONTROL!$C$16, $D$10, 100%, $F$10)</f>
        <v>18.194700000000001</v>
      </c>
      <c r="G635" s="8">
        <f>CHOOSE( CONTROL!$C$33, 17.2361, 17.2345) * CHOOSE( CONTROL!$C$16, $D$10, 100%, $F$10)</f>
        <v>17.2361</v>
      </c>
      <c r="H635" s="4">
        <f>CHOOSE( CONTROL!$C$33, 18.2147, 18.2131) * CHOOSE(CONTROL!$C$16, $D$10, 100%, $F$10)</f>
        <v>18.214700000000001</v>
      </c>
      <c r="I635" s="8">
        <f>CHOOSE( CONTROL!$C$33, 17.0059, 17.0044) * CHOOSE(CONTROL!$C$16, $D$10, 100%, $F$10)</f>
        <v>17.0059</v>
      </c>
      <c r="J635" s="4">
        <f>CHOOSE( CONTROL!$C$33, 16.8802, 16.8787) * CHOOSE(CONTROL!$C$16, $D$10, 100%, $F$10)</f>
        <v>16.880199999999999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1.2927</v>
      </c>
      <c r="Q635" s="9">
        <v>19.688099999999999</v>
      </c>
      <c r="R635" s="9"/>
      <c r="S635" s="11"/>
    </row>
    <row r="636" spans="1:19" ht="15" customHeight="1">
      <c r="A636" s="13">
        <v>60540</v>
      </c>
      <c r="B636" s="8">
        <f>CHOOSE( CONTROL!$C$33, 17.0526, 17.0511) * CHOOSE(CONTROL!$C$16, $D$10, 100%, $F$10)</f>
        <v>17.052600000000002</v>
      </c>
      <c r="C636" s="8">
        <f>CHOOSE( CONTROL!$C$33, 17.0606, 17.0591) * CHOOSE(CONTROL!$C$16, $D$10, 100%, $F$10)</f>
        <v>17.060600000000001</v>
      </c>
      <c r="D636" s="8">
        <f>CHOOSE( CONTROL!$C$33, 17.0832, 17.0816) * CHOOSE( CONTROL!$C$16, $D$10, 100%, $F$10)</f>
        <v>17.083200000000001</v>
      </c>
      <c r="E636" s="12">
        <f>CHOOSE( CONTROL!$C$33, 17.0738, 17.0722) * CHOOSE( CONTROL!$C$16, $D$10, 100%, $F$10)</f>
        <v>17.073799999999999</v>
      </c>
      <c r="F636" s="4">
        <f>CHOOSE( CONTROL!$C$33, 17.8295, 17.828) * CHOOSE(CONTROL!$C$16, $D$10, 100%, $F$10)</f>
        <v>17.829499999999999</v>
      </c>
      <c r="G636" s="8">
        <f>CHOOSE( CONTROL!$C$33, 16.8759, 16.8744) * CHOOSE( CONTROL!$C$16, $D$10, 100%, $F$10)</f>
        <v>16.875900000000001</v>
      </c>
      <c r="H636" s="4">
        <f>CHOOSE( CONTROL!$C$33, 17.8546, 17.8531) * CHOOSE(CONTROL!$C$16, $D$10, 100%, $F$10)</f>
        <v>17.854600000000001</v>
      </c>
      <c r="I636" s="8">
        <f>CHOOSE( CONTROL!$C$33, 16.6517, 16.6502) * CHOOSE(CONTROL!$C$16, $D$10, 100%, $F$10)</f>
        <v>16.651700000000002</v>
      </c>
      <c r="J636" s="4">
        <f>CHOOSE( CONTROL!$C$33, 16.5267, 16.5251) * CHOOSE(CONTROL!$C$16, $D$10, 100%, $F$10)</f>
        <v>16.526700000000002</v>
      </c>
      <c r="K636" s="4"/>
      <c r="L636" s="9">
        <v>29.7257</v>
      </c>
      <c r="M636" s="9">
        <v>11.6745</v>
      </c>
      <c r="N636" s="9">
        <v>4.7850000000000001</v>
      </c>
      <c r="O636" s="9">
        <v>0.36199999999999999</v>
      </c>
      <c r="P636" s="9">
        <v>1.2509999999999999</v>
      </c>
      <c r="Q636" s="9">
        <v>19.053000000000001</v>
      </c>
      <c r="R636" s="9"/>
      <c r="S636" s="11"/>
    </row>
    <row r="637" spans="1:19" ht="15" customHeight="1">
      <c r="A637" s="13">
        <v>60571</v>
      </c>
      <c r="B637" s="8">
        <f>CHOOSE( CONTROL!$C$33, 17.8086, 17.8075) * CHOOSE(CONTROL!$C$16, $D$10, 100%, $F$10)</f>
        <v>17.808599999999998</v>
      </c>
      <c r="C637" s="8">
        <f>CHOOSE( CONTROL!$C$33, 17.8139, 17.8128) * CHOOSE(CONTROL!$C$16, $D$10, 100%, $F$10)</f>
        <v>17.8139</v>
      </c>
      <c r="D637" s="8">
        <f>CHOOSE( CONTROL!$C$33, 17.8427, 17.8416) * CHOOSE( CONTROL!$C$16, $D$10, 100%, $F$10)</f>
        <v>17.842700000000001</v>
      </c>
      <c r="E637" s="12">
        <f>CHOOSE( CONTROL!$C$33, 17.8326, 17.8315) * CHOOSE( CONTROL!$C$16, $D$10, 100%, $F$10)</f>
        <v>17.832599999999999</v>
      </c>
      <c r="F637" s="4">
        <f>CHOOSE( CONTROL!$C$33, 18.5872, 18.5861) * CHOOSE(CONTROL!$C$16, $D$10, 100%, $F$10)</f>
        <v>18.587199999999999</v>
      </c>
      <c r="G637" s="8">
        <f>CHOOSE( CONTROL!$C$33, 17.6232, 17.6221) * CHOOSE( CONTROL!$C$16, $D$10, 100%, $F$10)</f>
        <v>17.623200000000001</v>
      </c>
      <c r="H637" s="4">
        <f>CHOOSE( CONTROL!$C$33, 18.6018, 18.6007) * CHOOSE(CONTROL!$C$16, $D$10, 100%, $F$10)</f>
        <v>18.601800000000001</v>
      </c>
      <c r="I637" s="8">
        <f>CHOOSE( CONTROL!$C$33, 17.3863, 17.3852) * CHOOSE(CONTROL!$C$16, $D$10, 100%, $F$10)</f>
        <v>17.386299999999999</v>
      </c>
      <c r="J637" s="4">
        <f>CHOOSE( CONTROL!$C$33, 17.2603, 17.2592) * CHOOSE(CONTROL!$C$16, $D$10, 100%, $F$10)</f>
        <v>17.260300000000001</v>
      </c>
      <c r="K637" s="4"/>
      <c r="L637" s="9">
        <v>31.095300000000002</v>
      </c>
      <c r="M637" s="9">
        <v>12.063700000000001</v>
      </c>
      <c r="N637" s="9">
        <v>4.9444999999999997</v>
      </c>
      <c r="O637" s="9">
        <v>0.37409999999999999</v>
      </c>
      <c r="P637" s="9">
        <v>1.2927</v>
      </c>
      <c r="Q637" s="9">
        <v>19.688099999999999</v>
      </c>
      <c r="R637" s="9"/>
      <c r="S637" s="11"/>
    </row>
    <row r="638" spans="1:19" ht="15" customHeight="1">
      <c r="A638" s="13">
        <v>60601</v>
      </c>
      <c r="B638" s="8">
        <f>CHOOSE( CONTROL!$C$33, 19.2076, 19.2064) * CHOOSE(CONTROL!$C$16, $D$10, 100%, $F$10)</f>
        <v>19.207599999999999</v>
      </c>
      <c r="C638" s="8">
        <f>CHOOSE( CONTROL!$C$33, 19.2127, 19.2115) * CHOOSE(CONTROL!$C$16, $D$10, 100%, $F$10)</f>
        <v>19.212700000000002</v>
      </c>
      <c r="D638" s="8">
        <f>CHOOSE( CONTROL!$C$33, 19.1923, 19.1912) * CHOOSE( CONTROL!$C$16, $D$10, 100%, $F$10)</f>
        <v>19.192299999999999</v>
      </c>
      <c r="E638" s="12">
        <f>CHOOSE( CONTROL!$C$33, 19.1992, 19.1981) * CHOOSE( CONTROL!$C$16, $D$10, 100%, $F$10)</f>
        <v>19.199200000000001</v>
      </c>
      <c r="F638" s="4">
        <f>CHOOSE( CONTROL!$C$33, 19.8704, 19.8693) * CHOOSE(CONTROL!$C$16, $D$10, 100%, $F$10)</f>
        <v>19.8704</v>
      </c>
      <c r="G638" s="8">
        <f>CHOOSE( CONTROL!$C$33, 18.9755, 18.9744) * CHOOSE( CONTROL!$C$16, $D$10, 100%, $F$10)</f>
        <v>18.9755</v>
      </c>
      <c r="H638" s="4">
        <f>CHOOSE( CONTROL!$C$33, 19.8671, 19.8659) * CHOOSE(CONTROL!$C$16, $D$10, 100%, $F$10)</f>
        <v>19.867100000000001</v>
      </c>
      <c r="I638" s="8">
        <f>CHOOSE( CONTROL!$C$33, 18.7898, 18.7887) * CHOOSE(CONTROL!$C$16, $D$10, 100%, $F$10)</f>
        <v>18.7898</v>
      </c>
      <c r="J638" s="4">
        <f>CHOOSE( CONTROL!$C$33, 18.6153, 18.6142) * CHOOSE(CONTROL!$C$16, $D$10, 100%, $F$10)</f>
        <v>18.615300000000001</v>
      </c>
      <c r="K638" s="4"/>
      <c r="L638" s="9">
        <v>28.360600000000002</v>
      </c>
      <c r="M638" s="9">
        <v>11.6745</v>
      </c>
      <c r="N638" s="9">
        <v>4.7850000000000001</v>
      </c>
      <c r="O638" s="9">
        <v>0.36199999999999999</v>
      </c>
      <c r="P638" s="9">
        <v>1.2509999999999999</v>
      </c>
      <c r="Q638" s="9">
        <v>19.053000000000001</v>
      </c>
      <c r="R638" s="9"/>
      <c r="S638" s="11"/>
    </row>
    <row r="639" spans="1:19" ht="15" customHeight="1">
      <c r="A639" s="13">
        <v>60632</v>
      </c>
      <c r="B639" s="8">
        <f>CHOOSE( CONTROL!$C$33, 19.1726, 19.1715) * CHOOSE(CONTROL!$C$16, $D$10, 100%, $F$10)</f>
        <v>19.172599999999999</v>
      </c>
      <c r="C639" s="8">
        <f>CHOOSE( CONTROL!$C$33, 19.1777, 19.1766) * CHOOSE(CONTROL!$C$16, $D$10, 100%, $F$10)</f>
        <v>19.177700000000002</v>
      </c>
      <c r="D639" s="8">
        <f>CHOOSE( CONTROL!$C$33, 19.1588, 19.1577) * CHOOSE( CONTROL!$C$16, $D$10, 100%, $F$10)</f>
        <v>19.158799999999999</v>
      </c>
      <c r="E639" s="12">
        <f>CHOOSE( CONTROL!$C$33, 19.1652, 19.1641) * CHOOSE( CONTROL!$C$16, $D$10, 100%, $F$10)</f>
        <v>19.165199999999999</v>
      </c>
      <c r="F639" s="4">
        <f>CHOOSE( CONTROL!$C$33, 19.8355, 19.8343) * CHOOSE(CONTROL!$C$16, $D$10, 100%, $F$10)</f>
        <v>19.8355</v>
      </c>
      <c r="G639" s="8">
        <f>CHOOSE( CONTROL!$C$33, 18.9421, 18.941) * CHOOSE( CONTROL!$C$16, $D$10, 100%, $F$10)</f>
        <v>18.9421</v>
      </c>
      <c r="H639" s="4">
        <f>CHOOSE( CONTROL!$C$33, 19.8326, 19.8315) * CHOOSE(CONTROL!$C$16, $D$10, 100%, $F$10)</f>
        <v>19.832599999999999</v>
      </c>
      <c r="I639" s="8">
        <f>CHOOSE( CONTROL!$C$33, 18.7605, 18.7594) * CHOOSE(CONTROL!$C$16, $D$10, 100%, $F$10)</f>
        <v>18.7605</v>
      </c>
      <c r="J639" s="4">
        <f>CHOOSE( CONTROL!$C$33, 18.5815, 18.5804) * CHOOSE(CONTROL!$C$16, $D$10, 100%, $F$10)</f>
        <v>18.581499999999998</v>
      </c>
      <c r="K639" s="4"/>
      <c r="L639" s="9">
        <v>29.306000000000001</v>
      </c>
      <c r="M639" s="9">
        <v>12.063700000000001</v>
      </c>
      <c r="N639" s="9">
        <v>4.9444999999999997</v>
      </c>
      <c r="O639" s="9">
        <v>0.37409999999999999</v>
      </c>
      <c r="P639" s="9">
        <v>1.2927</v>
      </c>
      <c r="Q639" s="9">
        <v>19.688099999999999</v>
      </c>
      <c r="R639" s="9"/>
      <c r="S639" s="11"/>
    </row>
    <row r="640" spans="1:19" ht="15" customHeight="1">
      <c r="A640" s="13">
        <v>60663</v>
      </c>
      <c r="B640" s="8">
        <f>CHOOSE( CONTROL!$C$33, 19.7386, 19.7375) * CHOOSE(CONTROL!$C$16, $D$10, 100%, $F$10)</f>
        <v>19.738600000000002</v>
      </c>
      <c r="C640" s="8">
        <f>CHOOSE( CONTROL!$C$33, 19.7437, 19.7426) * CHOOSE(CONTROL!$C$16, $D$10, 100%, $F$10)</f>
        <v>19.7437</v>
      </c>
      <c r="D640" s="8">
        <f>CHOOSE( CONTROL!$C$33, 19.7361, 19.7349) * CHOOSE( CONTROL!$C$16, $D$10, 100%, $F$10)</f>
        <v>19.7361</v>
      </c>
      <c r="E640" s="12">
        <f>CHOOSE( CONTROL!$C$33, 19.7383, 19.7372) * CHOOSE( CONTROL!$C$16, $D$10, 100%, $F$10)</f>
        <v>19.738299999999999</v>
      </c>
      <c r="F640" s="4">
        <f>CHOOSE( CONTROL!$C$33, 20.4015, 20.4003) * CHOOSE(CONTROL!$C$16, $D$10, 100%, $F$10)</f>
        <v>20.401499999999999</v>
      </c>
      <c r="G640" s="8">
        <f>CHOOSE( CONTROL!$C$33, 19.5061, 19.505) * CHOOSE( CONTROL!$C$16, $D$10, 100%, $F$10)</f>
        <v>19.5061</v>
      </c>
      <c r="H640" s="4">
        <f>CHOOSE( CONTROL!$C$33, 20.3907, 20.3896) * CHOOSE(CONTROL!$C$16, $D$10, 100%, $F$10)</f>
        <v>20.390699999999999</v>
      </c>
      <c r="I640" s="8">
        <f>CHOOSE( CONTROL!$C$33, 19.3001, 19.299) * CHOOSE(CONTROL!$C$16, $D$10, 100%, $F$10)</f>
        <v>19.3001</v>
      </c>
      <c r="J640" s="4">
        <f>CHOOSE( CONTROL!$C$33, 19.1295, 19.1285) * CHOOSE(CONTROL!$C$16, $D$10, 100%, $F$10)</f>
        <v>19.1295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" customHeight="1">
      <c r="A641" s="13">
        <v>60691</v>
      </c>
      <c r="B641" s="8">
        <f>CHOOSE( CONTROL!$C$33, 18.4615, 18.4604) * CHOOSE(CONTROL!$C$16, $D$10, 100%, $F$10)</f>
        <v>18.461500000000001</v>
      </c>
      <c r="C641" s="8">
        <f>CHOOSE( CONTROL!$C$33, 18.4666, 18.4655) * CHOOSE(CONTROL!$C$16, $D$10, 100%, $F$10)</f>
        <v>18.4666</v>
      </c>
      <c r="D641" s="8">
        <f>CHOOSE( CONTROL!$C$33, 18.4588, 18.4576) * CHOOSE( CONTROL!$C$16, $D$10, 100%, $F$10)</f>
        <v>18.4588</v>
      </c>
      <c r="E641" s="12">
        <f>CHOOSE( CONTROL!$C$33, 18.4611, 18.4599) * CHOOSE( CONTROL!$C$16, $D$10, 100%, $F$10)</f>
        <v>18.461099999999998</v>
      </c>
      <c r="F641" s="4">
        <f>CHOOSE( CONTROL!$C$33, 19.1244, 19.1232) * CHOOSE(CONTROL!$C$16, $D$10, 100%, $F$10)</f>
        <v>19.124400000000001</v>
      </c>
      <c r="G641" s="8">
        <f>CHOOSE( CONTROL!$C$33, 18.2466, 18.2455) * CHOOSE( CONTROL!$C$16, $D$10, 100%, $F$10)</f>
        <v>18.246600000000001</v>
      </c>
      <c r="H641" s="4">
        <f>CHOOSE( CONTROL!$C$33, 19.1314, 19.1303) * CHOOSE(CONTROL!$C$16, $D$10, 100%, $F$10)</f>
        <v>19.131399999999999</v>
      </c>
      <c r="I641" s="8">
        <f>CHOOSE( CONTROL!$C$33, 18.0622, 18.0611) * CHOOSE(CONTROL!$C$16, $D$10, 100%, $F$10)</f>
        <v>18.062200000000001</v>
      </c>
      <c r="J641" s="4">
        <f>CHOOSE( CONTROL!$C$33, 17.8929, 17.8918) * CHOOSE(CONTROL!$C$16, $D$10, 100%, $F$10)</f>
        <v>17.892900000000001</v>
      </c>
      <c r="K641" s="4"/>
      <c r="L641" s="9">
        <v>26.469899999999999</v>
      </c>
      <c r="M641" s="9">
        <v>10.8962</v>
      </c>
      <c r="N641" s="9">
        <v>4.4660000000000002</v>
      </c>
      <c r="O641" s="9">
        <v>0.33789999999999998</v>
      </c>
      <c r="P641" s="9">
        <v>1.1676</v>
      </c>
      <c r="Q641" s="9">
        <v>17.782800000000002</v>
      </c>
      <c r="R641" s="9"/>
      <c r="S641" s="11"/>
    </row>
    <row r="642" spans="1:19" ht="15" customHeight="1">
      <c r="A642" s="13">
        <v>60722</v>
      </c>
      <c r="B642" s="8">
        <f>CHOOSE( CONTROL!$C$33, 18.0681, 18.067) * CHOOSE(CONTROL!$C$16, $D$10, 100%, $F$10)</f>
        <v>18.068100000000001</v>
      </c>
      <c r="C642" s="8">
        <f>CHOOSE( CONTROL!$C$33, 18.0732, 18.0721) * CHOOSE(CONTROL!$C$16, $D$10, 100%, $F$10)</f>
        <v>18.0732</v>
      </c>
      <c r="D642" s="8">
        <f>CHOOSE( CONTROL!$C$33, 18.0647, 18.0636) * CHOOSE( CONTROL!$C$16, $D$10, 100%, $F$10)</f>
        <v>18.064699999999998</v>
      </c>
      <c r="E642" s="12">
        <f>CHOOSE( CONTROL!$C$33, 18.0673, 18.0662) * CHOOSE( CONTROL!$C$16, $D$10, 100%, $F$10)</f>
        <v>18.067299999999999</v>
      </c>
      <c r="F642" s="4">
        <f>CHOOSE( CONTROL!$C$33, 18.731, 18.7299) * CHOOSE(CONTROL!$C$16, $D$10, 100%, $F$10)</f>
        <v>18.731000000000002</v>
      </c>
      <c r="G642" s="8">
        <f>CHOOSE( CONTROL!$C$33, 17.8583, 17.8572) * CHOOSE( CONTROL!$C$16, $D$10, 100%, $F$10)</f>
        <v>17.8583</v>
      </c>
      <c r="H642" s="4">
        <f>CHOOSE( CONTROL!$C$33, 18.7435, 18.7424) * CHOOSE(CONTROL!$C$16, $D$10, 100%, $F$10)</f>
        <v>18.743500000000001</v>
      </c>
      <c r="I642" s="8">
        <f>CHOOSE( CONTROL!$C$33, 17.6789, 17.6778) * CHOOSE(CONTROL!$C$16, $D$10, 100%, $F$10)</f>
        <v>17.678899999999999</v>
      </c>
      <c r="J642" s="4">
        <f>CHOOSE( CONTROL!$C$33, 17.512, 17.511) * CHOOSE(CONTROL!$C$16, $D$10, 100%, $F$10)</f>
        <v>17.512</v>
      </c>
      <c r="K642" s="4"/>
      <c r="L642" s="9">
        <v>29.306000000000001</v>
      </c>
      <c r="M642" s="9">
        <v>12.063700000000001</v>
      </c>
      <c r="N642" s="9">
        <v>4.9444999999999997</v>
      </c>
      <c r="O642" s="9">
        <v>0.37409999999999999</v>
      </c>
      <c r="P642" s="9">
        <v>1.2927</v>
      </c>
      <c r="Q642" s="9">
        <v>19.688099999999999</v>
      </c>
      <c r="R642" s="9"/>
      <c r="S642" s="11"/>
    </row>
    <row r="643" spans="1:19" ht="15" customHeight="1">
      <c r="A643" s="13">
        <v>60752</v>
      </c>
      <c r="B643" s="8">
        <f>CHOOSE( CONTROL!$C$33, 18.3438, 18.3426) * CHOOSE(CONTROL!$C$16, $D$10, 100%, $F$10)</f>
        <v>18.343800000000002</v>
      </c>
      <c r="C643" s="8">
        <f>CHOOSE( CONTROL!$C$33, 18.3483, 18.3472) * CHOOSE(CONTROL!$C$16, $D$10, 100%, $F$10)</f>
        <v>18.348299999999998</v>
      </c>
      <c r="D643" s="8">
        <f>CHOOSE( CONTROL!$C$33, 18.3772, 18.376) * CHOOSE( CONTROL!$C$16, $D$10, 100%, $F$10)</f>
        <v>18.377199999999998</v>
      </c>
      <c r="E643" s="12">
        <f>CHOOSE( CONTROL!$C$33, 18.3671, 18.366) * CHOOSE( CONTROL!$C$16, $D$10, 100%, $F$10)</f>
        <v>18.367100000000001</v>
      </c>
      <c r="F643" s="4">
        <f>CHOOSE( CONTROL!$C$33, 19.1221, 19.1209) * CHOOSE(CONTROL!$C$16, $D$10, 100%, $F$10)</f>
        <v>19.1221</v>
      </c>
      <c r="G643" s="8">
        <f>CHOOSE( CONTROL!$C$33, 18.1502, 18.1491) * CHOOSE( CONTROL!$C$16, $D$10, 100%, $F$10)</f>
        <v>18.150200000000002</v>
      </c>
      <c r="H643" s="4">
        <f>CHOOSE( CONTROL!$C$33, 19.1291, 19.128) * CHOOSE(CONTROL!$C$16, $D$10, 100%, $F$10)</f>
        <v>19.129100000000001</v>
      </c>
      <c r="I643" s="8">
        <f>CHOOSE( CONTROL!$C$33, 17.9032, 17.9021) * CHOOSE(CONTROL!$C$16, $D$10, 100%, $F$10)</f>
        <v>17.903199999999998</v>
      </c>
      <c r="J643" s="4">
        <f>CHOOSE( CONTROL!$C$33, 17.7782, 17.7771) * CHOOSE(CONTROL!$C$16, $D$10, 100%, $F$10)</f>
        <v>17.778199999999998</v>
      </c>
      <c r="K643" s="4"/>
      <c r="L643" s="9">
        <v>30.092199999999998</v>
      </c>
      <c r="M643" s="9">
        <v>11.6745</v>
      </c>
      <c r="N643" s="9">
        <v>4.7850000000000001</v>
      </c>
      <c r="O643" s="9">
        <v>0.36199999999999999</v>
      </c>
      <c r="P643" s="9">
        <v>1.2509999999999999</v>
      </c>
      <c r="Q643" s="9">
        <v>19.053000000000001</v>
      </c>
      <c r="R643" s="9"/>
      <c r="S643" s="11"/>
    </row>
    <row r="644" spans="1:19" ht="15" customHeight="1">
      <c r="A644" s="13">
        <v>60783</v>
      </c>
      <c r="B644" s="8">
        <f>CHOOSE( CONTROL!$C$33, 18.8348, 18.8332) * CHOOSE(CONTROL!$C$16, $D$10, 100%, $F$10)</f>
        <v>18.834800000000001</v>
      </c>
      <c r="C644" s="8">
        <f>CHOOSE( CONTROL!$C$33, 18.8428, 18.8412) * CHOOSE(CONTROL!$C$16, $D$10, 100%, $F$10)</f>
        <v>18.8428</v>
      </c>
      <c r="D644" s="8">
        <f>CHOOSE( CONTROL!$C$33, 18.865, 18.8634) * CHOOSE( CONTROL!$C$16, $D$10, 100%, $F$10)</f>
        <v>18.864999999999998</v>
      </c>
      <c r="E644" s="12">
        <f>CHOOSE( CONTROL!$C$33, 18.8557, 18.8541) * CHOOSE( CONTROL!$C$16, $D$10, 100%, $F$10)</f>
        <v>18.855699999999999</v>
      </c>
      <c r="F644" s="4">
        <f>CHOOSE( CONTROL!$C$33, 19.6117, 19.6101) * CHOOSE(CONTROL!$C$16, $D$10, 100%, $F$10)</f>
        <v>19.611699999999999</v>
      </c>
      <c r="G644" s="8">
        <f>CHOOSE( CONTROL!$C$33, 18.633, 18.6314) * CHOOSE( CONTROL!$C$16, $D$10, 100%, $F$10)</f>
        <v>18.632999999999999</v>
      </c>
      <c r="H644" s="4">
        <f>CHOOSE( CONTROL!$C$33, 19.6119, 19.6104) * CHOOSE(CONTROL!$C$16, $D$10, 100%, $F$10)</f>
        <v>19.611899999999999</v>
      </c>
      <c r="I644" s="8">
        <f>CHOOSE( CONTROL!$C$33, 18.3771, 18.3756) * CHOOSE(CONTROL!$C$16, $D$10, 100%, $F$10)</f>
        <v>18.377099999999999</v>
      </c>
      <c r="J644" s="4">
        <f>CHOOSE( CONTROL!$C$33, 18.2523, 18.2508) * CHOOSE(CONTROL!$C$16, $D$10, 100%, $F$10)</f>
        <v>18.252300000000002</v>
      </c>
      <c r="K644" s="4"/>
      <c r="L644" s="9">
        <v>30.7165</v>
      </c>
      <c r="M644" s="9">
        <v>12.063700000000001</v>
      </c>
      <c r="N644" s="9">
        <v>4.9444999999999997</v>
      </c>
      <c r="O644" s="9">
        <v>0.37409999999999999</v>
      </c>
      <c r="P644" s="9">
        <v>1.2927</v>
      </c>
      <c r="Q644" s="9">
        <v>19.688099999999999</v>
      </c>
      <c r="R644" s="9"/>
      <c r="S644" s="11"/>
    </row>
    <row r="645" spans="1:19" ht="15" customHeight="1">
      <c r="A645" s="13">
        <v>60813</v>
      </c>
      <c r="B645" s="8">
        <f>CHOOSE( CONTROL!$C$33, 18.5317, 18.5302) * CHOOSE(CONTROL!$C$16, $D$10, 100%, $F$10)</f>
        <v>18.531700000000001</v>
      </c>
      <c r="C645" s="8">
        <f>CHOOSE( CONTROL!$C$33, 18.5397, 18.5382) * CHOOSE(CONTROL!$C$16, $D$10, 100%, $F$10)</f>
        <v>18.5397</v>
      </c>
      <c r="D645" s="8">
        <f>CHOOSE( CONTROL!$C$33, 18.5621, 18.5606) * CHOOSE( CONTROL!$C$16, $D$10, 100%, $F$10)</f>
        <v>18.562100000000001</v>
      </c>
      <c r="E645" s="12">
        <f>CHOOSE( CONTROL!$C$33, 18.5528, 18.5513) * CHOOSE( CONTROL!$C$16, $D$10, 100%, $F$10)</f>
        <v>18.552800000000001</v>
      </c>
      <c r="F645" s="4">
        <f>CHOOSE( CONTROL!$C$33, 19.3087, 19.3071) * CHOOSE(CONTROL!$C$16, $D$10, 100%, $F$10)</f>
        <v>19.308700000000002</v>
      </c>
      <c r="G645" s="8">
        <f>CHOOSE( CONTROL!$C$33, 18.3343, 18.3328) * CHOOSE( CONTROL!$C$16, $D$10, 100%, $F$10)</f>
        <v>18.334299999999999</v>
      </c>
      <c r="H645" s="4">
        <f>CHOOSE( CONTROL!$C$33, 19.3131, 19.3116) * CHOOSE(CONTROL!$C$16, $D$10, 100%, $F$10)</f>
        <v>19.313099999999999</v>
      </c>
      <c r="I645" s="8">
        <f>CHOOSE( CONTROL!$C$33, 18.0841, 18.0826) * CHOOSE(CONTROL!$C$16, $D$10, 100%, $F$10)</f>
        <v>18.084099999999999</v>
      </c>
      <c r="J645" s="4">
        <f>CHOOSE( CONTROL!$C$33, 17.9589, 17.9574) * CHOOSE(CONTROL!$C$16, $D$10, 100%, $F$10)</f>
        <v>17.9589</v>
      </c>
      <c r="K645" s="4"/>
      <c r="L645" s="9">
        <v>29.7257</v>
      </c>
      <c r="M645" s="9">
        <v>11.6745</v>
      </c>
      <c r="N645" s="9">
        <v>4.7850000000000001</v>
      </c>
      <c r="O645" s="9">
        <v>0.36199999999999999</v>
      </c>
      <c r="P645" s="9">
        <v>1.2509999999999999</v>
      </c>
      <c r="Q645" s="9">
        <v>19.053000000000001</v>
      </c>
      <c r="R645" s="9"/>
      <c r="S645" s="11"/>
    </row>
    <row r="646" spans="1:19" ht="15" customHeight="1">
      <c r="A646" s="13">
        <v>60844</v>
      </c>
      <c r="B646" s="8">
        <f>CHOOSE( CONTROL!$C$33, 19.3297, 19.3282) * CHOOSE(CONTROL!$C$16, $D$10, 100%, $F$10)</f>
        <v>19.329699999999999</v>
      </c>
      <c r="C646" s="8">
        <f>CHOOSE( CONTROL!$C$33, 19.3377, 19.3362) * CHOOSE(CONTROL!$C$16, $D$10, 100%, $F$10)</f>
        <v>19.337700000000002</v>
      </c>
      <c r="D646" s="8">
        <f>CHOOSE( CONTROL!$C$33, 19.3604, 19.3588) * CHOOSE( CONTROL!$C$16, $D$10, 100%, $F$10)</f>
        <v>19.360399999999998</v>
      </c>
      <c r="E646" s="12">
        <f>CHOOSE( CONTROL!$C$33, 19.351, 19.3494) * CHOOSE( CONTROL!$C$16, $D$10, 100%, $F$10)</f>
        <v>19.350999999999999</v>
      </c>
      <c r="F646" s="4">
        <f>CHOOSE( CONTROL!$C$33, 20.1067, 20.1051) * CHOOSE(CONTROL!$C$16, $D$10, 100%, $F$10)</f>
        <v>20.1067</v>
      </c>
      <c r="G646" s="8">
        <f>CHOOSE( CONTROL!$C$33, 19.1214, 19.1198) * CHOOSE( CONTROL!$C$16, $D$10, 100%, $F$10)</f>
        <v>19.121400000000001</v>
      </c>
      <c r="H646" s="4">
        <f>CHOOSE( CONTROL!$C$33, 20.1, 20.0984) * CHOOSE(CONTROL!$C$16, $D$10, 100%, $F$10)</f>
        <v>20.100000000000001</v>
      </c>
      <c r="I646" s="8">
        <f>CHOOSE( CONTROL!$C$33, 18.858, 18.8565) * CHOOSE(CONTROL!$C$16, $D$10, 100%, $F$10)</f>
        <v>18.858000000000001</v>
      </c>
      <c r="J646" s="4">
        <f>CHOOSE( CONTROL!$C$33, 18.7316, 18.7301) * CHOOSE(CONTROL!$C$16, $D$10, 100%, $F$10)</f>
        <v>18.7316</v>
      </c>
      <c r="K646" s="4"/>
      <c r="L646" s="9">
        <v>30.7165</v>
      </c>
      <c r="M646" s="9">
        <v>12.063700000000001</v>
      </c>
      <c r="N646" s="9">
        <v>4.9444999999999997</v>
      </c>
      <c r="O646" s="9">
        <v>0.37409999999999999</v>
      </c>
      <c r="P646" s="9">
        <v>1.2927</v>
      </c>
      <c r="Q646" s="9">
        <v>19.688099999999999</v>
      </c>
      <c r="R646" s="9"/>
      <c r="S646" s="11"/>
    </row>
    <row r="647" spans="1:19" ht="15" customHeight="1">
      <c r="A647" s="13">
        <v>60875</v>
      </c>
      <c r="B647" s="8">
        <f>CHOOSE( CONTROL!$C$33, 17.8366, 17.835) * CHOOSE(CONTROL!$C$16, $D$10, 100%, $F$10)</f>
        <v>17.836600000000001</v>
      </c>
      <c r="C647" s="8">
        <f>CHOOSE( CONTROL!$C$33, 17.8446, 17.843) * CHOOSE(CONTROL!$C$16, $D$10, 100%, $F$10)</f>
        <v>17.8446</v>
      </c>
      <c r="D647" s="8">
        <f>CHOOSE( CONTROL!$C$33, 17.8673, 17.8657) * CHOOSE( CONTROL!$C$16, $D$10, 100%, $F$10)</f>
        <v>17.8673</v>
      </c>
      <c r="E647" s="12">
        <f>CHOOSE( CONTROL!$C$33, 17.8579, 17.8563) * CHOOSE( CONTROL!$C$16, $D$10, 100%, $F$10)</f>
        <v>17.857900000000001</v>
      </c>
      <c r="F647" s="4">
        <f>CHOOSE( CONTROL!$C$33, 18.6135, 18.6119) * CHOOSE(CONTROL!$C$16, $D$10, 100%, $F$10)</f>
        <v>18.613499999999998</v>
      </c>
      <c r="G647" s="8">
        <f>CHOOSE( CONTROL!$C$33, 17.6491, 17.6475) * CHOOSE( CONTROL!$C$16, $D$10, 100%, $F$10)</f>
        <v>17.649100000000001</v>
      </c>
      <c r="H647" s="4">
        <f>CHOOSE( CONTROL!$C$33, 18.6277, 18.6261) * CHOOSE(CONTROL!$C$16, $D$10, 100%, $F$10)</f>
        <v>18.627700000000001</v>
      </c>
      <c r="I647" s="8">
        <f>CHOOSE( CONTROL!$C$33, 17.4116, 17.4101) * CHOOSE(CONTROL!$C$16, $D$10, 100%, $F$10)</f>
        <v>17.4116</v>
      </c>
      <c r="J647" s="4">
        <f>CHOOSE( CONTROL!$C$33, 17.2858, 17.2842) * CHOOSE(CONTROL!$C$16, $D$10, 100%, $F$10)</f>
        <v>17.285799999999998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1.2927</v>
      </c>
      <c r="Q647" s="9">
        <v>19.688099999999999</v>
      </c>
      <c r="R647" s="9"/>
      <c r="S647" s="11"/>
    </row>
    <row r="648" spans="1:19" ht="15" customHeight="1">
      <c r="A648" s="13">
        <v>60905</v>
      </c>
      <c r="B648" s="8">
        <f>CHOOSE( CONTROL!$C$33, 17.4627, 17.4611) * CHOOSE(CONTROL!$C$16, $D$10, 100%, $F$10)</f>
        <v>17.462700000000002</v>
      </c>
      <c r="C648" s="8">
        <f>CHOOSE( CONTROL!$C$33, 17.4707, 17.4691) * CHOOSE(CONTROL!$C$16, $D$10, 100%, $F$10)</f>
        <v>17.470700000000001</v>
      </c>
      <c r="D648" s="8">
        <f>CHOOSE( CONTROL!$C$33, 17.4932, 17.4917) * CHOOSE( CONTROL!$C$16, $D$10, 100%, $F$10)</f>
        <v>17.493200000000002</v>
      </c>
      <c r="E648" s="12">
        <f>CHOOSE( CONTROL!$C$33, 17.4838, 17.4823) * CHOOSE( CONTROL!$C$16, $D$10, 100%, $F$10)</f>
        <v>17.483799999999999</v>
      </c>
      <c r="F648" s="4">
        <f>CHOOSE( CONTROL!$C$33, 18.2396, 18.238) * CHOOSE(CONTROL!$C$16, $D$10, 100%, $F$10)</f>
        <v>18.239599999999999</v>
      </c>
      <c r="G648" s="8">
        <f>CHOOSE( CONTROL!$C$33, 17.2803, 17.2787) * CHOOSE( CONTROL!$C$16, $D$10, 100%, $F$10)</f>
        <v>17.2803</v>
      </c>
      <c r="H648" s="4">
        <f>CHOOSE( CONTROL!$C$33, 18.259, 18.2574) * CHOOSE(CONTROL!$C$16, $D$10, 100%, $F$10)</f>
        <v>18.259</v>
      </c>
      <c r="I648" s="8">
        <f>CHOOSE( CONTROL!$C$33, 17.049, 17.0475) * CHOOSE(CONTROL!$C$16, $D$10, 100%, $F$10)</f>
        <v>17.048999999999999</v>
      </c>
      <c r="J648" s="4">
        <f>CHOOSE( CONTROL!$C$33, 16.9237, 16.9222) * CHOOSE(CONTROL!$C$16, $D$10, 100%, $F$10)</f>
        <v>16.9237</v>
      </c>
      <c r="K648" s="4"/>
      <c r="L648" s="9">
        <v>29.7257</v>
      </c>
      <c r="M648" s="9">
        <v>11.6745</v>
      </c>
      <c r="N648" s="9">
        <v>4.7850000000000001</v>
      </c>
      <c r="O648" s="9">
        <v>0.36199999999999999</v>
      </c>
      <c r="P648" s="9">
        <v>1.2509999999999999</v>
      </c>
      <c r="Q648" s="9">
        <v>19.053000000000001</v>
      </c>
      <c r="R648" s="9"/>
      <c r="S648" s="11"/>
    </row>
    <row r="649" spans="1:19" ht="15" customHeight="1">
      <c r="A649" s="13">
        <v>60936</v>
      </c>
      <c r="B649" s="8">
        <f>CHOOSE( CONTROL!$C$33, 18.2369, 18.2357) * CHOOSE(CONTROL!$C$16, $D$10, 100%, $F$10)</f>
        <v>18.236899999999999</v>
      </c>
      <c r="C649" s="8">
        <f>CHOOSE( CONTROL!$C$33, 18.2422, 18.2411) * CHOOSE(CONTROL!$C$16, $D$10, 100%, $F$10)</f>
        <v>18.2422</v>
      </c>
      <c r="D649" s="8">
        <f>CHOOSE( CONTROL!$C$33, 18.271, 18.2699) * CHOOSE( CONTROL!$C$16, $D$10, 100%, $F$10)</f>
        <v>18.271000000000001</v>
      </c>
      <c r="E649" s="12">
        <f>CHOOSE( CONTROL!$C$33, 18.2609, 18.2598) * CHOOSE( CONTROL!$C$16, $D$10, 100%, $F$10)</f>
        <v>18.260899999999999</v>
      </c>
      <c r="F649" s="4">
        <f>CHOOSE( CONTROL!$C$33, 19.0155, 19.0144) * CHOOSE(CONTROL!$C$16, $D$10, 100%, $F$10)</f>
        <v>19.015499999999999</v>
      </c>
      <c r="G649" s="8">
        <f>CHOOSE( CONTROL!$C$33, 18.0455, 18.0444) * CHOOSE( CONTROL!$C$16, $D$10, 100%, $F$10)</f>
        <v>18.045500000000001</v>
      </c>
      <c r="H649" s="4">
        <f>CHOOSE( CONTROL!$C$33, 19.0241, 19.023) * CHOOSE(CONTROL!$C$16, $D$10, 100%, $F$10)</f>
        <v>19.024100000000001</v>
      </c>
      <c r="I649" s="8">
        <f>CHOOSE( CONTROL!$C$33, 17.8012, 17.8001) * CHOOSE(CONTROL!$C$16, $D$10, 100%, $F$10)</f>
        <v>17.801200000000001</v>
      </c>
      <c r="J649" s="4">
        <f>CHOOSE( CONTROL!$C$33, 17.675, 17.6739) * CHOOSE(CONTROL!$C$16, $D$10, 100%, $F$10)</f>
        <v>17.675000000000001</v>
      </c>
      <c r="K649" s="4"/>
      <c r="L649" s="9">
        <v>31.095300000000002</v>
      </c>
      <c r="M649" s="9">
        <v>12.063700000000001</v>
      </c>
      <c r="N649" s="9">
        <v>4.9444999999999997</v>
      </c>
      <c r="O649" s="9">
        <v>0.37409999999999999</v>
      </c>
      <c r="P649" s="9">
        <v>1.2927</v>
      </c>
      <c r="Q649" s="9">
        <v>19.688099999999999</v>
      </c>
      <c r="R649" s="9"/>
      <c r="S649" s="11"/>
    </row>
    <row r="650" spans="1:19" ht="15" customHeight="1">
      <c r="A650" s="13">
        <v>60966</v>
      </c>
      <c r="B650" s="8">
        <f>CHOOSE( CONTROL!$C$33, 19.6694, 19.6683) * CHOOSE(CONTROL!$C$16, $D$10, 100%, $F$10)</f>
        <v>19.6694</v>
      </c>
      <c r="C650" s="8">
        <f>CHOOSE( CONTROL!$C$33, 19.6745, 19.6734) * CHOOSE(CONTROL!$C$16, $D$10, 100%, $F$10)</f>
        <v>19.674499999999998</v>
      </c>
      <c r="D650" s="8">
        <f>CHOOSE( CONTROL!$C$33, 19.6542, 19.6531) * CHOOSE( CONTROL!$C$16, $D$10, 100%, $F$10)</f>
        <v>19.654199999999999</v>
      </c>
      <c r="E650" s="12">
        <f>CHOOSE( CONTROL!$C$33, 19.6611, 19.66) * CHOOSE( CONTROL!$C$16, $D$10, 100%, $F$10)</f>
        <v>19.661100000000001</v>
      </c>
      <c r="F650" s="4">
        <f>CHOOSE( CONTROL!$C$33, 20.3323, 20.3312) * CHOOSE(CONTROL!$C$16, $D$10, 100%, $F$10)</f>
        <v>20.3323</v>
      </c>
      <c r="G650" s="8">
        <f>CHOOSE( CONTROL!$C$33, 19.431, 19.4299) * CHOOSE( CONTROL!$C$16, $D$10, 100%, $F$10)</f>
        <v>19.431000000000001</v>
      </c>
      <c r="H650" s="4">
        <f>CHOOSE( CONTROL!$C$33, 20.3225, 20.3214) * CHOOSE(CONTROL!$C$16, $D$10, 100%, $F$10)</f>
        <v>20.322500000000002</v>
      </c>
      <c r="I650" s="8">
        <f>CHOOSE( CONTROL!$C$33, 19.2373, 19.2362) * CHOOSE(CONTROL!$C$16, $D$10, 100%, $F$10)</f>
        <v>19.237300000000001</v>
      </c>
      <c r="J650" s="4">
        <f>CHOOSE( CONTROL!$C$33, 19.0626, 19.0615) * CHOOSE(CONTROL!$C$16, $D$10, 100%, $F$10)</f>
        <v>19.0626</v>
      </c>
      <c r="K650" s="4"/>
      <c r="L650" s="9">
        <v>28.360600000000002</v>
      </c>
      <c r="M650" s="9">
        <v>11.6745</v>
      </c>
      <c r="N650" s="9">
        <v>4.7850000000000001</v>
      </c>
      <c r="O650" s="9">
        <v>0.36199999999999999</v>
      </c>
      <c r="P650" s="9">
        <v>1.2509999999999999</v>
      </c>
      <c r="Q650" s="9">
        <v>19.053000000000001</v>
      </c>
      <c r="R650" s="9"/>
      <c r="S650" s="11"/>
    </row>
    <row r="651" spans="1:19" ht="15" customHeight="1">
      <c r="A651" s="13">
        <v>60997</v>
      </c>
      <c r="B651" s="8">
        <f>CHOOSE( CONTROL!$C$33, 19.6336, 19.6325) * CHOOSE(CONTROL!$C$16, $D$10, 100%, $F$10)</f>
        <v>19.633600000000001</v>
      </c>
      <c r="C651" s="8">
        <f>CHOOSE( CONTROL!$C$33, 19.6387, 19.6376) * CHOOSE(CONTROL!$C$16, $D$10, 100%, $F$10)</f>
        <v>19.6387</v>
      </c>
      <c r="D651" s="8">
        <f>CHOOSE( CONTROL!$C$33, 19.6199, 19.6188) * CHOOSE( CONTROL!$C$16, $D$10, 100%, $F$10)</f>
        <v>19.619900000000001</v>
      </c>
      <c r="E651" s="12">
        <f>CHOOSE( CONTROL!$C$33, 19.6262, 19.6251) * CHOOSE( CONTROL!$C$16, $D$10, 100%, $F$10)</f>
        <v>19.626200000000001</v>
      </c>
      <c r="F651" s="4">
        <f>CHOOSE( CONTROL!$C$33, 20.2965, 20.2954) * CHOOSE(CONTROL!$C$16, $D$10, 100%, $F$10)</f>
        <v>20.296500000000002</v>
      </c>
      <c r="G651" s="8">
        <f>CHOOSE( CONTROL!$C$33, 19.3967, 19.3956) * CHOOSE( CONTROL!$C$16, $D$10, 100%, $F$10)</f>
        <v>19.396699999999999</v>
      </c>
      <c r="H651" s="4">
        <f>CHOOSE( CONTROL!$C$33, 20.2872, 20.2861) * CHOOSE(CONTROL!$C$16, $D$10, 100%, $F$10)</f>
        <v>20.287199999999999</v>
      </c>
      <c r="I651" s="8">
        <f>CHOOSE( CONTROL!$C$33, 19.2071, 19.206) * CHOOSE(CONTROL!$C$16, $D$10, 100%, $F$10)</f>
        <v>19.207100000000001</v>
      </c>
      <c r="J651" s="4">
        <f>CHOOSE( CONTROL!$C$33, 19.0279, 19.0268) * CHOOSE(CONTROL!$C$16, $D$10, 100%, $F$10)</f>
        <v>19.027899999999999</v>
      </c>
      <c r="K651" s="4"/>
      <c r="L651" s="9">
        <v>29.306000000000001</v>
      </c>
      <c r="M651" s="9">
        <v>12.063700000000001</v>
      </c>
      <c r="N651" s="9">
        <v>4.9444999999999997</v>
      </c>
      <c r="O651" s="9">
        <v>0.37409999999999999</v>
      </c>
      <c r="P651" s="9">
        <v>1.2927</v>
      </c>
      <c r="Q651" s="9">
        <v>19.688099999999999</v>
      </c>
      <c r="R651" s="9"/>
      <c r="S651" s="11"/>
    </row>
    <row r="652" spans="1:19" ht="15" customHeight="1">
      <c r="A652" s="13">
        <v>61028</v>
      </c>
      <c r="B652" s="8">
        <f>CHOOSE( CONTROL!$C$33, 20.2132, 20.2121) * CHOOSE(CONTROL!$C$16, $D$10, 100%, $F$10)</f>
        <v>20.213200000000001</v>
      </c>
      <c r="C652" s="8">
        <f>CHOOSE( CONTROL!$C$33, 20.2183, 20.2172) * CHOOSE(CONTROL!$C$16, $D$10, 100%, $F$10)</f>
        <v>20.218299999999999</v>
      </c>
      <c r="D652" s="8">
        <f>CHOOSE( CONTROL!$C$33, 20.2107, 20.2096) * CHOOSE( CONTROL!$C$16, $D$10, 100%, $F$10)</f>
        <v>20.210699999999999</v>
      </c>
      <c r="E652" s="12">
        <f>CHOOSE( CONTROL!$C$33, 20.2129, 20.2118) * CHOOSE( CONTROL!$C$16, $D$10, 100%, $F$10)</f>
        <v>20.212900000000001</v>
      </c>
      <c r="F652" s="4">
        <f>CHOOSE( CONTROL!$C$33, 20.8761, 20.875) * CHOOSE(CONTROL!$C$16, $D$10, 100%, $F$10)</f>
        <v>20.876100000000001</v>
      </c>
      <c r="G652" s="8">
        <f>CHOOSE( CONTROL!$C$33, 19.9741, 19.973) * CHOOSE( CONTROL!$C$16, $D$10, 100%, $F$10)</f>
        <v>19.9741</v>
      </c>
      <c r="H652" s="4">
        <f>CHOOSE( CONTROL!$C$33, 20.8587, 20.8576) * CHOOSE(CONTROL!$C$16, $D$10, 100%, $F$10)</f>
        <v>20.858699999999999</v>
      </c>
      <c r="I652" s="8">
        <f>CHOOSE( CONTROL!$C$33, 19.7599, 19.7588) * CHOOSE(CONTROL!$C$16, $D$10, 100%, $F$10)</f>
        <v>19.759899999999998</v>
      </c>
      <c r="J652" s="4">
        <f>CHOOSE( CONTROL!$C$33, 19.5891, 19.5881) * CHOOSE(CONTROL!$C$16, $D$10, 100%, $F$10)</f>
        <v>19.589099999999998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" customHeight="1">
      <c r="A653" s="13">
        <v>61056</v>
      </c>
      <c r="B653" s="8">
        <f>CHOOSE( CONTROL!$C$33, 18.9055, 18.9043) * CHOOSE(CONTROL!$C$16, $D$10, 100%, $F$10)</f>
        <v>18.9055</v>
      </c>
      <c r="C653" s="8">
        <f>CHOOSE( CONTROL!$C$33, 18.9106, 18.9094) * CHOOSE(CONTROL!$C$16, $D$10, 100%, $F$10)</f>
        <v>18.910599999999999</v>
      </c>
      <c r="D653" s="8">
        <f>CHOOSE( CONTROL!$C$33, 18.9027, 18.9016) * CHOOSE( CONTROL!$C$16, $D$10, 100%, $F$10)</f>
        <v>18.902699999999999</v>
      </c>
      <c r="E653" s="12">
        <f>CHOOSE( CONTROL!$C$33, 18.905, 18.9039) * CHOOSE( CONTROL!$C$16, $D$10, 100%, $F$10)</f>
        <v>18.905000000000001</v>
      </c>
      <c r="F653" s="4">
        <f>CHOOSE( CONTROL!$C$33, 19.5683, 19.5672) * CHOOSE(CONTROL!$C$16, $D$10, 100%, $F$10)</f>
        <v>19.568300000000001</v>
      </c>
      <c r="G653" s="8">
        <f>CHOOSE( CONTROL!$C$33, 18.6844, 18.6833) * CHOOSE( CONTROL!$C$16, $D$10, 100%, $F$10)</f>
        <v>18.6844</v>
      </c>
      <c r="H653" s="4">
        <f>CHOOSE( CONTROL!$C$33, 19.5692, 19.5681) * CHOOSE(CONTROL!$C$16, $D$10, 100%, $F$10)</f>
        <v>19.569199999999999</v>
      </c>
      <c r="I653" s="8">
        <f>CHOOSE( CONTROL!$C$33, 18.4923, 18.4913) * CHOOSE(CONTROL!$C$16, $D$10, 100%, $F$10)</f>
        <v>18.4923</v>
      </c>
      <c r="J653" s="4">
        <f>CHOOSE( CONTROL!$C$33, 18.3228, 18.3217) * CHOOSE(CONTROL!$C$16, $D$10, 100%, $F$10)</f>
        <v>18.322800000000001</v>
      </c>
      <c r="K653" s="4"/>
      <c r="L653" s="9">
        <v>26.469899999999999</v>
      </c>
      <c r="M653" s="9">
        <v>10.8962</v>
      </c>
      <c r="N653" s="9">
        <v>4.4660000000000002</v>
      </c>
      <c r="O653" s="9">
        <v>0.33789999999999998</v>
      </c>
      <c r="P653" s="9">
        <v>1.1676</v>
      </c>
      <c r="Q653" s="9">
        <v>17.782800000000002</v>
      </c>
      <c r="R653" s="9"/>
      <c r="S653" s="11"/>
    </row>
    <row r="654" spans="1:19" ht="15" customHeight="1">
      <c r="A654" s="13">
        <v>61087</v>
      </c>
      <c r="B654" s="8">
        <f>CHOOSE( CONTROL!$C$33, 18.5027, 18.5015) * CHOOSE(CONTROL!$C$16, $D$10, 100%, $F$10)</f>
        <v>18.502700000000001</v>
      </c>
      <c r="C654" s="8">
        <f>CHOOSE( CONTROL!$C$33, 18.5078, 18.5066) * CHOOSE(CONTROL!$C$16, $D$10, 100%, $F$10)</f>
        <v>18.5078</v>
      </c>
      <c r="D654" s="8">
        <f>CHOOSE( CONTROL!$C$33, 18.4992, 18.4981) * CHOOSE( CONTROL!$C$16, $D$10, 100%, $F$10)</f>
        <v>18.499199999999998</v>
      </c>
      <c r="E654" s="12">
        <f>CHOOSE( CONTROL!$C$33, 18.5018, 18.5007) * CHOOSE( CONTROL!$C$16, $D$10, 100%, $F$10)</f>
        <v>18.501799999999999</v>
      </c>
      <c r="F654" s="4">
        <f>CHOOSE( CONTROL!$C$33, 19.1655, 19.1644) * CHOOSE(CONTROL!$C$16, $D$10, 100%, $F$10)</f>
        <v>19.165500000000002</v>
      </c>
      <c r="G654" s="8">
        <f>CHOOSE( CONTROL!$C$33, 18.2867, 18.2856) * CHOOSE( CONTROL!$C$16, $D$10, 100%, $F$10)</f>
        <v>18.2867</v>
      </c>
      <c r="H654" s="4">
        <f>CHOOSE( CONTROL!$C$33, 19.172, 19.1709) * CHOOSE(CONTROL!$C$16, $D$10, 100%, $F$10)</f>
        <v>19.172000000000001</v>
      </c>
      <c r="I654" s="8">
        <f>CHOOSE( CONTROL!$C$33, 18.0998, 18.0988) * CHOOSE(CONTROL!$C$16, $D$10, 100%, $F$10)</f>
        <v>18.099799999999998</v>
      </c>
      <c r="J654" s="4">
        <f>CHOOSE( CONTROL!$C$33, 17.9328, 17.9317) * CHOOSE(CONTROL!$C$16, $D$10, 100%, $F$10)</f>
        <v>17.9328</v>
      </c>
      <c r="K654" s="4"/>
      <c r="L654" s="9">
        <v>29.306000000000001</v>
      </c>
      <c r="M654" s="9">
        <v>12.063700000000001</v>
      </c>
      <c r="N654" s="9">
        <v>4.9444999999999997</v>
      </c>
      <c r="O654" s="9">
        <v>0.37409999999999999</v>
      </c>
      <c r="P654" s="9">
        <v>1.2927</v>
      </c>
      <c r="Q654" s="9">
        <v>19.688099999999999</v>
      </c>
      <c r="R654" s="9"/>
      <c r="S654" s="11"/>
    </row>
    <row r="655" spans="1:19" ht="15" customHeight="1">
      <c r="A655" s="13">
        <v>61117</v>
      </c>
      <c r="B655" s="8">
        <f>CHOOSE( CONTROL!$C$33, 18.7849, 18.7838) * CHOOSE(CONTROL!$C$16, $D$10, 100%, $F$10)</f>
        <v>18.7849</v>
      </c>
      <c r="C655" s="8">
        <f>CHOOSE( CONTROL!$C$33, 18.7894, 18.7883) * CHOOSE(CONTROL!$C$16, $D$10, 100%, $F$10)</f>
        <v>18.789400000000001</v>
      </c>
      <c r="D655" s="8">
        <f>CHOOSE( CONTROL!$C$33, 18.8183, 18.8172) * CHOOSE( CONTROL!$C$16, $D$10, 100%, $F$10)</f>
        <v>18.818300000000001</v>
      </c>
      <c r="E655" s="12">
        <f>CHOOSE( CONTROL!$C$33, 18.8082, 18.8071) * CHOOSE( CONTROL!$C$16, $D$10, 100%, $F$10)</f>
        <v>18.808199999999999</v>
      </c>
      <c r="F655" s="4">
        <f>CHOOSE( CONTROL!$C$33, 19.5632, 19.5621) * CHOOSE(CONTROL!$C$16, $D$10, 100%, $F$10)</f>
        <v>19.563199999999998</v>
      </c>
      <c r="G655" s="8">
        <f>CHOOSE( CONTROL!$C$33, 18.5852, 18.5841) * CHOOSE( CONTROL!$C$16, $D$10, 100%, $F$10)</f>
        <v>18.5852</v>
      </c>
      <c r="H655" s="4">
        <f>CHOOSE( CONTROL!$C$33, 19.5641, 19.563) * CHOOSE(CONTROL!$C$16, $D$10, 100%, $F$10)</f>
        <v>19.5641</v>
      </c>
      <c r="I655" s="8">
        <f>CHOOSE( CONTROL!$C$33, 18.3305, 18.3294) * CHOOSE(CONTROL!$C$16, $D$10, 100%, $F$10)</f>
        <v>18.330500000000001</v>
      </c>
      <c r="J655" s="4">
        <f>CHOOSE( CONTROL!$C$33, 18.2053, 18.2042) * CHOOSE(CONTROL!$C$16, $D$10, 100%, $F$10)</f>
        <v>18.205300000000001</v>
      </c>
      <c r="K655" s="4"/>
      <c r="L655" s="9">
        <v>30.092199999999998</v>
      </c>
      <c r="M655" s="9">
        <v>11.6745</v>
      </c>
      <c r="N655" s="9">
        <v>4.7850000000000001</v>
      </c>
      <c r="O655" s="9">
        <v>0.36199999999999999</v>
      </c>
      <c r="P655" s="9">
        <v>1.2509999999999999</v>
      </c>
      <c r="Q655" s="9">
        <v>19.053000000000001</v>
      </c>
      <c r="R655" s="9"/>
      <c r="S655" s="11"/>
    </row>
    <row r="656" spans="1:19" ht="15" customHeight="1">
      <c r="A656" s="13">
        <v>61148</v>
      </c>
      <c r="B656" s="8">
        <f>CHOOSE( CONTROL!$C$33, 19.2876, 19.2861) * CHOOSE(CONTROL!$C$16, $D$10, 100%, $F$10)</f>
        <v>19.287600000000001</v>
      </c>
      <c r="C656" s="8">
        <f>CHOOSE( CONTROL!$C$33, 19.2956, 19.2941) * CHOOSE(CONTROL!$C$16, $D$10, 100%, $F$10)</f>
        <v>19.2956</v>
      </c>
      <c r="D656" s="8">
        <f>CHOOSE( CONTROL!$C$33, 19.3179, 19.3163) * CHOOSE( CONTROL!$C$16, $D$10, 100%, $F$10)</f>
        <v>19.317900000000002</v>
      </c>
      <c r="E656" s="12">
        <f>CHOOSE( CONTROL!$C$33, 19.3086, 19.307) * CHOOSE( CONTROL!$C$16, $D$10, 100%, $F$10)</f>
        <v>19.308599999999998</v>
      </c>
      <c r="F656" s="4">
        <f>CHOOSE( CONTROL!$C$33, 20.0646, 20.063) * CHOOSE(CONTROL!$C$16, $D$10, 100%, $F$10)</f>
        <v>20.064599999999999</v>
      </c>
      <c r="G656" s="8">
        <f>CHOOSE( CONTROL!$C$33, 19.0795, 19.078) * CHOOSE( CONTROL!$C$16, $D$10, 100%, $F$10)</f>
        <v>19.079499999999999</v>
      </c>
      <c r="H656" s="4">
        <f>CHOOSE( CONTROL!$C$33, 20.0585, 20.0569) * CHOOSE(CONTROL!$C$16, $D$10, 100%, $F$10)</f>
        <v>20.058499999999999</v>
      </c>
      <c r="I656" s="8">
        <f>CHOOSE( CONTROL!$C$33, 18.8159, 18.8144) * CHOOSE(CONTROL!$C$16, $D$10, 100%, $F$10)</f>
        <v>18.815899999999999</v>
      </c>
      <c r="J656" s="4">
        <f>CHOOSE( CONTROL!$C$33, 18.6908, 18.6893) * CHOOSE(CONTROL!$C$16, $D$10, 100%, $F$10)</f>
        <v>18.690799999999999</v>
      </c>
      <c r="K656" s="4"/>
      <c r="L656" s="9">
        <v>30.7165</v>
      </c>
      <c r="M656" s="9">
        <v>12.063700000000001</v>
      </c>
      <c r="N656" s="9">
        <v>4.9444999999999997</v>
      </c>
      <c r="O656" s="9">
        <v>0.37409999999999999</v>
      </c>
      <c r="P656" s="9">
        <v>1.2927</v>
      </c>
      <c r="Q656" s="9">
        <v>19.688099999999999</v>
      </c>
      <c r="R656" s="9"/>
      <c r="S656" s="11"/>
    </row>
    <row r="657" spans="1:19" ht="15" customHeight="1">
      <c r="A657" s="13">
        <v>61178</v>
      </c>
      <c r="B657" s="8">
        <f>CHOOSE( CONTROL!$C$33, 18.9773, 18.9758) * CHOOSE(CONTROL!$C$16, $D$10, 100%, $F$10)</f>
        <v>18.9773</v>
      </c>
      <c r="C657" s="8">
        <f>CHOOSE( CONTROL!$C$33, 18.9853, 18.9838) * CHOOSE(CONTROL!$C$16, $D$10, 100%, $F$10)</f>
        <v>18.985299999999999</v>
      </c>
      <c r="D657" s="8">
        <f>CHOOSE( CONTROL!$C$33, 19.0077, 19.0062) * CHOOSE( CONTROL!$C$16, $D$10, 100%, $F$10)</f>
        <v>19.0077</v>
      </c>
      <c r="E657" s="12">
        <f>CHOOSE( CONTROL!$C$33, 18.9984, 18.9969) * CHOOSE( CONTROL!$C$16, $D$10, 100%, $F$10)</f>
        <v>18.9984</v>
      </c>
      <c r="F657" s="4">
        <f>CHOOSE( CONTROL!$C$33, 19.7543, 19.7527) * CHOOSE(CONTROL!$C$16, $D$10, 100%, $F$10)</f>
        <v>19.754300000000001</v>
      </c>
      <c r="G657" s="8">
        <f>CHOOSE( CONTROL!$C$33, 18.7737, 18.7721) * CHOOSE( CONTROL!$C$16, $D$10, 100%, $F$10)</f>
        <v>18.773700000000002</v>
      </c>
      <c r="H657" s="4">
        <f>CHOOSE( CONTROL!$C$33, 19.7525, 19.751) * CHOOSE(CONTROL!$C$16, $D$10, 100%, $F$10)</f>
        <v>19.752500000000001</v>
      </c>
      <c r="I657" s="8">
        <f>CHOOSE( CONTROL!$C$33, 18.5158, 18.5143) * CHOOSE(CONTROL!$C$16, $D$10, 100%, $F$10)</f>
        <v>18.515799999999999</v>
      </c>
      <c r="J657" s="4">
        <f>CHOOSE( CONTROL!$C$33, 18.3903, 18.3888) * CHOOSE(CONTROL!$C$16, $D$10, 100%, $F$10)</f>
        <v>18.3903</v>
      </c>
      <c r="K657" s="4"/>
      <c r="L657" s="9">
        <v>29.7257</v>
      </c>
      <c r="M657" s="9">
        <v>11.6745</v>
      </c>
      <c r="N657" s="9">
        <v>4.7850000000000001</v>
      </c>
      <c r="O657" s="9">
        <v>0.36199999999999999</v>
      </c>
      <c r="P657" s="9">
        <v>1.2509999999999999</v>
      </c>
      <c r="Q657" s="9">
        <v>19.053000000000001</v>
      </c>
      <c r="R657" s="9"/>
      <c r="S657" s="11"/>
    </row>
    <row r="658" spans="1:19" ht="15" customHeight="1">
      <c r="A658" s="13">
        <v>61209</v>
      </c>
      <c r="B658" s="8">
        <f>CHOOSE( CONTROL!$C$33, 19.7945, 19.7929) * CHOOSE(CONTROL!$C$16, $D$10, 100%, $F$10)</f>
        <v>19.794499999999999</v>
      </c>
      <c r="C658" s="8">
        <f>CHOOSE( CONTROL!$C$33, 19.8025, 19.8009) * CHOOSE(CONTROL!$C$16, $D$10, 100%, $F$10)</f>
        <v>19.802499999999998</v>
      </c>
      <c r="D658" s="8">
        <f>CHOOSE( CONTROL!$C$33, 19.8251, 19.8236) * CHOOSE( CONTROL!$C$16, $D$10, 100%, $F$10)</f>
        <v>19.825099999999999</v>
      </c>
      <c r="E658" s="12">
        <f>CHOOSE( CONTROL!$C$33, 19.8157, 19.8142) * CHOOSE( CONTROL!$C$16, $D$10, 100%, $F$10)</f>
        <v>19.8157</v>
      </c>
      <c r="F658" s="4">
        <f>CHOOSE( CONTROL!$C$33, 20.5714, 20.5699) * CHOOSE(CONTROL!$C$16, $D$10, 100%, $F$10)</f>
        <v>20.571400000000001</v>
      </c>
      <c r="G658" s="8">
        <f>CHOOSE( CONTROL!$C$33, 19.5796, 19.5781) * CHOOSE( CONTROL!$C$16, $D$10, 100%, $F$10)</f>
        <v>19.579599999999999</v>
      </c>
      <c r="H658" s="4">
        <f>CHOOSE( CONTROL!$C$33, 20.5583, 20.5567) * CHOOSE(CONTROL!$C$16, $D$10, 100%, $F$10)</f>
        <v>20.558299999999999</v>
      </c>
      <c r="I658" s="8">
        <f>CHOOSE( CONTROL!$C$33, 19.3083, 19.3068) * CHOOSE(CONTROL!$C$16, $D$10, 100%, $F$10)</f>
        <v>19.308299999999999</v>
      </c>
      <c r="J658" s="4">
        <f>CHOOSE( CONTROL!$C$33, 19.1816, 19.1801) * CHOOSE(CONTROL!$C$16, $D$10, 100%, $F$10)</f>
        <v>19.1816</v>
      </c>
      <c r="K658" s="4"/>
      <c r="L658" s="9">
        <v>30.7165</v>
      </c>
      <c r="M658" s="9">
        <v>12.063700000000001</v>
      </c>
      <c r="N658" s="9">
        <v>4.9444999999999997</v>
      </c>
      <c r="O658" s="9">
        <v>0.37409999999999999</v>
      </c>
      <c r="P658" s="9">
        <v>1.2927</v>
      </c>
      <c r="Q658" s="9">
        <v>19.688099999999999</v>
      </c>
      <c r="R658" s="9"/>
      <c r="S658" s="11"/>
    </row>
    <row r="659" spans="1:19" ht="15" customHeight="1">
      <c r="A659" s="13">
        <v>61240</v>
      </c>
      <c r="B659" s="8">
        <f>CHOOSE( CONTROL!$C$33, 18.2655, 18.2639) * CHOOSE(CONTROL!$C$16, $D$10, 100%, $F$10)</f>
        <v>18.265499999999999</v>
      </c>
      <c r="C659" s="8">
        <f>CHOOSE( CONTROL!$C$33, 18.2735, 18.2719) * CHOOSE(CONTROL!$C$16, $D$10, 100%, $F$10)</f>
        <v>18.273499999999999</v>
      </c>
      <c r="D659" s="8">
        <f>CHOOSE( CONTROL!$C$33, 18.2961, 18.2946) * CHOOSE( CONTROL!$C$16, $D$10, 100%, $F$10)</f>
        <v>18.296099999999999</v>
      </c>
      <c r="E659" s="12">
        <f>CHOOSE( CONTROL!$C$33, 18.2867, 18.2852) * CHOOSE( CONTROL!$C$16, $D$10, 100%, $F$10)</f>
        <v>18.2867</v>
      </c>
      <c r="F659" s="4">
        <f>CHOOSE( CONTROL!$C$33, 19.0424, 19.0408) * CHOOSE(CONTROL!$C$16, $D$10, 100%, $F$10)</f>
        <v>19.042400000000001</v>
      </c>
      <c r="G659" s="8">
        <f>CHOOSE( CONTROL!$C$33, 18.072, 18.0704) * CHOOSE( CONTROL!$C$16, $D$10, 100%, $F$10)</f>
        <v>18.071999999999999</v>
      </c>
      <c r="H659" s="4">
        <f>CHOOSE( CONTROL!$C$33, 19.0506, 19.049) * CHOOSE(CONTROL!$C$16, $D$10, 100%, $F$10)</f>
        <v>19.050599999999999</v>
      </c>
      <c r="I659" s="8">
        <f>CHOOSE( CONTROL!$C$33, 17.8271, 17.8256) * CHOOSE(CONTROL!$C$16, $D$10, 100%, $F$10)</f>
        <v>17.827100000000002</v>
      </c>
      <c r="J659" s="4">
        <f>CHOOSE( CONTROL!$C$33, 17.7011, 17.6995) * CHOOSE(CONTROL!$C$16, $D$10, 100%, $F$10)</f>
        <v>17.7011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1.2927</v>
      </c>
      <c r="Q659" s="9">
        <v>19.688099999999999</v>
      </c>
      <c r="R659" s="9"/>
      <c r="S659" s="11"/>
    </row>
    <row r="660" spans="1:19" ht="15" customHeight="1">
      <c r="A660" s="13">
        <v>61270</v>
      </c>
      <c r="B660" s="8">
        <f>CHOOSE( CONTROL!$C$33, 17.8826, 17.881) * CHOOSE(CONTROL!$C$16, $D$10, 100%, $F$10)</f>
        <v>17.8826</v>
      </c>
      <c r="C660" s="8">
        <f>CHOOSE( CONTROL!$C$33, 17.8906, 17.889) * CHOOSE(CONTROL!$C$16, $D$10, 100%, $F$10)</f>
        <v>17.890599999999999</v>
      </c>
      <c r="D660" s="8">
        <f>CHOOSE( CONTROL!$C$33, 17.9131, 17.9116) * CHOOSE( CONTROL!$C$16, $D$10, 100%, $F$10)</f>
        <v>17.9131</v>
      </c>
      <c r="E660" s="12">
        <f>CHOOSE( CONTROL!$C$33, 17.9037, 17.9022) * CHOOSE( CONTROL!$C$16, $D$10, 100%, $F$10)</f>
        <v>17.903700000000001</v>
      </c>
      <c r="F660" s="4">
        <f>CHOOSE( CONTROL!$C$33, 18.6595, 18.6579) * CHOOSE(CONTROL!$C$16, $D$10, 100%, $F$10)</f>
        <v>18.659500000000001</v>
      </c>
      <c r="G660" s="8">
        <f>CHOOSE( CONTROL!$C$33, 17.6943, 17.6928) * CHOOSE( CONTROL!$C$16, $D$10, 100%, $F$10)</f>
        <v>17.694299999999998</v>
      </c>
      <c r="H660" s="4">
        <f>CHOOSE( CONTROL!$C$33, 18.673, 18.6715) * CHOOSE(CONTROL!$C$16, $D$10, 100%, $F$10)</f>
        <v>18.672999999999998</v>
      </c>
      <c r="I660" s="8">
        <f>CHOOSE( CONTROL!$C$33, 17.4558, 17.4543) * CHOOSE(CONTROL!$C$16, $D$10, 100%, $F$10)</f>
        <v>17.4558</v>
      </c>
      <c r="J660" s="4">
        <f>CHOOSE( CONTROL!$C$33, 17.3303, 17.3288) * CHOOSE(CONTROL!$C$16, $D$10, 100%, $F$10)</f>
        <v>17.330300000000001</v>
      </c>
      <c r="K660" s="4"/>
      <c r="L660" s="9">
        <v>29.7257</v>
      </c>
      <c r="M660" s="9">
        <v>11.6745</v>
      </c>
      <c r="N660" s="9">
        <v>4.7850000000000001</v>
      </c>
      <c r="O660" s="9">
        <v>0.36199999999999999</v>
      </c>
      <c r="P660" s="9">
        <v>1.2509999999999999</v>
      </c>
      <c r="Q660" s="9">
        <v>19.053000000000001</v>
      </c>
      <c r="R660" s="9"/>
      <c r="S660" s="11"/>
    </row>
    <row r="661" spans="1:19" ht="15" customHeight="1">
      <c r="A661" s="13">
        <v>61301</v>
      </c>
      <c r="B661" s="8">
        <f>CHOOSE( CONTROL!$C$33, 18.6754, 18.6743) * CHOOSE(CONTROL!$C$16, $D$10, 100%, $F$10)</f>
        <v>18.6754</v>
      </c>
      <c r="C661" s="8">
        <f>CHOOSE( CONTROL!$C$33, 18.6808, 18.6797) * CHOOSE(CONTROL!$C$16, $D$10, 100%, $F$10)</f>
        <v>18.680800000000001</v>
      </c>
      <c r="D661" s="8">
        <f>CHOOSE( CONTROL!$C$33, 18.7096, 18.7084) * CHOOSE( CONTROL!$C$16, $D$10, 100%, $F$10)</f>
        <v>18.709599999999998</v>
      </c>
      <c r="E661" s="12">
        <f>CHOOSE( CONTROL!$C$33, 18.6995, 18.6984) * CHOOSE( CONTROL!$C$16, $D$10, 100%, $F$10)</f>
        <v>18.6995</v>
      </c>
      <c r="F661" s="4">
        <f>CHOOSE( CONTROL!$C$33, 19.4541, 19.4529) * CHOOSE(CONTROL!$C$16, $D$10, 100%, $F$10)</f>
        <v>19.4541</v>
      </c>
      <c r="G661" s="8">
        <f>CHOOSE( CONTROL!$C$33, 18.4779, 18.4768) * CHOOSE( CONTROL!$C$16, $D$10, 100%, $F$10)</f>
        <v>18.477900000000002</v>
      </c>
      <c r="H661" s="4">
        <f>CHOOSE( CONTROL!$C$33, 19.4565, 19.4554) * CHOOSE(CONTROL!$C$16, $D$10, 100%, $F$10)</f>
        <v>19.456499999999998</v>
      </c>
      <c r="I661" s="8">
        <f>CHOOSE( CONTROL!$C$33, 18.2261, 18.225) * CHOOSE(CONTROL!$C$16, $D$10, 100%, $F$10)</f>
        <v>18.226099999999999</v>
      </c>
      <c r="J661" s="4">
        <f>CHOOSE( CONTROL!$C$33, 18.0997, 18.0986) * CHOOSE(CONTROL!$C$16, $D$10, 100%, $F$10)</f>
        <v>18.099699999999999</v>
      </c>
      <c r="K661" s="4"/>
      <c r="L661" s="9">
        <v>31.095300000000002</v>
      </c>
      <c r="M661" s="9">
        <v>12.063700000000001</v>
      </c>
      <c r="N661" s="9">
        <v>4.9444999999999997</v>
      </c>
      <c r="O661" s="9">
        <v>0.37409999999999999</v>
      </c>
      <c r="P661" s="9">
        <v>1.2927</v>
      </c>
      <c r="Q661" s="9">
        <v>19.688099999999999</v>
      </c>
      <c r="R661" s="9"/>
      <c r="S661" s="11"/>
    </row>
    <row r="662" spans="1:19" ht="15" customHeight="1">
      <c r="A662" s="13">
        <v>61331</v>
      </c>
      <c r="B662" s="8">
        <f>CHOOSE( CONTROL!$C$33, 20.1424, 20.1413) * CHOOSE(CONTROL!$C$16, $D$10, 100%, $F$10)</f>
        <v>20.142399999999999</v>
      </c>
      <c r="C662" s="8">
        <f>CHOOSE( CONTROL!$C$33, 20.1475, 20.1464) * CHOOSE(CONTROL!$C$16, $D$10, 100%, $F$10)</f>
        <v>20.147500000000001</v>
      </c>
      <c r="D662" s="8">
        <f>CHOOSE( CONTROL!$C$33, 20.1272, 20.1261) * CHOOSE( CONTROL!$C$16, $D$10, 100%, $F$10)</f>
        <v>20.127199999999998</v>
      </c>
      <c r="E662" s="12">
        <f>CHOOSE( CONTROL!$C$33, 20.1341, 20.133) * CHOOSE( CONTROL!$C$16, $D$10, 100%, $F$10)</f>
        <v>20.1341</v>
      </c>
      <c r="F662" s="4">
        <f>CHOOSE( CONTROL!$C$33, 20.8053, 20.8042) * CHOOSE(CONTROL!$C$16, $D$10, 100%, $F$10)</f>
        <v>20.805299999999999</v>
      </c>
      <c r="G662" s="8">
        <f>CHOOSE( CONTROL!$C$33, 19.8974, 19.8963) * CHOOSE( CONTROL!$C$16, $D$10, 100%, $F$10)</f>
        <v>19.897400000000001</v>
      </c>
      <c r="H662" s="4">
        <f>CHOOSE( CONTROL!$C$33, 20.7889, 20.7878) * CHOOSE(CONTROL!$C$16, $D$10, 100%, $F$10)</f>
        <v>20.788900000000002</v>
      </c>
      <c r="I662" s="8">
        <f>CHOOSE( CONTROL!$C$33, 19.6955, 19.6944) * CHOOSE(CONTROL!$C$16, $D$10, 100%, $F$10)</f>
        <v>19.695499999999999</v>
      </c>
      <c r="J662" s="4">
        <f>CHOOSE( CONTROL!$C$33, 19.5206, 19.5195) * CHOOSE(CONTROL!$C$16, $D$10, 100%, $F$10)</f>
        <v>19.520600000000002</v>
      </c>
      <c r="K662" s="4"/>
      <c r="L662" s="9">
        <v>28.360600000000002</v>
      </c>
      <c r="M662" s="9">
        <v>11.6745</v>
      </c>
      <c r="N662" s="9">
        <v>4.7850000000000001</v>
      </c>
      <c r="O662" s="9">
        <v>0.36199999999999999</v>
      </c>
      <c r="P662" s="9">
        <v>1.2509999999999999</v>
      </c>
      <c r="Q662" s="9">
        <v>19.053000000000001</v>
      </c>
      <c r="R662" s="9"/>
      <c r="S662" s="11"/>
    </row>
    <row r="663" spans="1:19" ht="15" customHeight="1">
      <c r="A663" s="13">
        <v>61362</v>
      </c>
      <c r="B663" s="8">
        <f>CHOOSE( CONTROL!$C$33, 20.1058, 20.1047) * CHOOSE(CONTROL!$C$16, $D$10, 100%, $F$10)</f>
        <v>20.105799999999999</v>
      </c>
      <c r="C663" s="8">
        <f>CHOOSE( CONTROL!$C$33, 20.1109, 20.1098) * CHOOSE(CONTROL!$C$16, $D$10, 100%, $F$10)</f>
        <v>20.110900000000001</v>
      </c>
      <c r="D663" s="8">
        <f>CHOOSE( CONTROL!$C$33, 20.092, 20.0909) * CHOOSE( CONTROL!$C$16, $D$10, 100%, $F$10)</f>
        <v>20.091999999999999</v>
      </c>
      <c r="E663" s="12">
        <f>CHOOSE( CONTROL!$C$33, 20.0984, 20.0973) * CHOOSE( CONTROL!$C$16, $D$10, 100%, $F$10)</f>
        <v>20.098400000000002</v>
      </c>
      <c r="F663" s="4">
        <f>CHOOSE( CONTROL!$C$33, 20.7686, 20.7675) * CHOOSE(CONTROL!$C$16, $D$10, 100%, $F$10)</f>
        <v>20.768599999999999</v>
      </c>
      <c r="G663" s="8">
        <f>CHOOSE( CONTROL!$C$33, 19.8623, 19.8612) * CHOOSE( CONTROL!$C$16, $D$10, 100%, $F$10)</f>
        <v>19.862300000000001</v>
      </c>
      <c r="H663" s="4">
        <f>CHOOSE( CONTROL!$C$33, 20.7527, 20.7516) * CHOOSE(CONTROL!$C$16, $D$10, 100%, $F$10)</f>
        <v>20.752700000000001</v>
      </c>
      <c r="I663" s="8">
        <f>CHOOSE( CONTROL!$C$33, 19.6645, 19.6634) * CHOOSE(CONTROL!$C$16, $D$10, 100%, $F$10)</f>
        <v>19.6645</v>
      </c>
      <c r="J663" s="4">
        <f>CHOOSE( CONTROL!$C$33, 19.4851, 19.484) * CHOOSE(CONTROL!$C$16, $D$10, 100%, $F$10)</f>
        <v>19.485099999999999</v>
      </c>
      <c r="K663" s="4"/>
      <c r="L663" s="9">
        <v>29.306000000000001</v>
      </c>
      <c r="M663" s="9">
        <v>12.063700000000001</v>
      </c>
      <c r="N663" s="9">
        <v>4.9444999999999997</v>
      </c>
      <c r="O663" s="9">
        <v>0.37409999999999999</v>
      </c>
      <c r="P663" s="9">
        <v>1.2927</v>
      </c>
      <c r="Q663" s="9">
        <v>19.688099999999999</v>
      </c>
      <c r="R663" s="9"/>
      <c r="S663" s="11"/>
    </row>
    <row r="664" spans="1:19" ht="15" customHeight="1">
      <c r="A664" s="13">
        <v>61393</v>
      </c>
      <c r="B664" s="8">
        <f>CHOOSE( CONTROL!$C$33, 20.6993, 20.6982) * CHOOSE(CONTROL!$C$16, $D$10, 100%, $F$10)</f>
        <v>20.699300000000001</v>
      </c>
      <c r="C664" s="8">
        <f>CHOOSE( CONTROL!$C$33, 20.7044, 20.7033) * CHOOSE(CONTROL!$C$16, $D$10, 100%, $F$10)</f>
        <v>20.7044</v>
      </c>
      <c r="D664" s="8">
        <f>CHOOSE( CONTROL!$C$33, 20.6968, 20.6956) * CHOOSE( CONTROL!$C$16, $D$10, 100%, $F$10)</f>
        <v>20.6968</v>
      </c>
      <c r="E664" s="12">
        <f>CHOOSE( CONTROL!$C$33, 20.699, 20.6979) * CHOOSE( CONTROL!$C$16, $D$10, 100%, $F$10)</f>
        <v>20.699000000000002</v>
      </c>
      <c r="F664" s="4">
        <f>CHOOSE( CONTROL!$C$33, 21.3622, 21.3611) * CHOOSE(CONTROL!$C$16, $D$10, 100%, $F$10)</f>
        <v>21.362200000000001</v>
      </c>
      <c r="G664" s="8">
        <f>CHOOSE( CONTROL!$C$33, 20.4534, 20.4523) * CHOOSE( CONTROL!$C$16, $D$10, 100%, $F$10)</f>
        <v>20.453399999999998</v>
      </c>
      <c r="H664" s="4">
        <f>CHOOSE( CONTROL!$C$33, 21.338, 21.3369) * CHOOSE(CONTROL!$C$16, $D$10, 100%, $F$10)</f>
        <v>21.338000000000001</v>
      </c>
      <c r="I664" s="8">
        <f>CHOOSE( CONTROL!$C$33, 20.2308, 20.2297) * CHOOSE(CONTROL!$C$16, $D$10, 100%, $F$10)</f>
        <v>20.230799999999999</v>
      </c>
      <c r="J664" s="4">
        <f>CHOOSE( CONTROL!$C$33, 20.0598, 20.0587) * CHOOSE(CONTROL!$C$16, $D$10, 100%, $F$10)</f>
        <v>20.059799999999999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" customHeight="1">
      <c r="A665" s="13">
        <v>61422</v>
      </c>
      <c r="B665" s="8">
        <f>CHOOSE( CONTROL!$C$33, 19.3601, 19.359) * CHOOSE(CONTROL!$C$16, $D$10, 100%, $F$10)</f>
        <v>19.360099999999999</v>
      </c>
      <c r="C665" s="8">
        <f>CHOOSE( CONTROL!$C$33, 19.3652, 19.3641) * CHOOSE(CONTROL!$C$16, $D$10, 100%, $F$10)</f>
        <v>19.365200000000002</v>
      </c>
      <c r="D665" s="8">
        <f>CHOOSE( CONTROL!$C$33, 19.3574, 19.3562) * CHOOSE( CONTROL!$C$16, $D$10, 100%, $F$10)</f>
        <v>19.357399999999998</v>
      </c>
      <c r="E665" s="12">
        <f>CHOOSE( CONTROL!$C$33, 19.3597, 19.3585) * CHOOSE( CONTROL!$C$16, $D$10, 100%, $F$10)</f>
        <v>19.3597</v>
      </c>
      <c r="F665" s="4">
        <f>CHOOSE( CONTROL!$C$33, 20.023, 20.0218) * CHOOSE(CONTROL!$C$16, $D$10, 100%, $F$10)</f>
        <v>20.023</v>
      </c>
      <c r="G665" s="8">
        <f>CHOOSE( CONTROL!$C$33, 19.1327, 19.1316) * CHOOSE( CONTROL!$C$16, $D$10, 100%, $F$10)</f>
        <v>19.1327</v>
      </c>
      <c r="H665" s="4">
        <f>CHOOSE( CONTROL!$C$33, 20.0175, 20.0164) * CHOOSE(CONTROL!$C$16, $D$10, 100%, $F$10)</f>
        <v>20.017499999999998</v>
      </c>
      <c r="I665" s="8">
        <f>CHOOSE( CONTROL!$C$33, 18.9328, 18.9317) * CHOOSE(CONTROL!$C$16, $D$10, 100%, $F$10)</f>
        <v>18.9328</v>
      </c>
      <c r="J665" s="4">
        <f>CHOOSE( CONTROL!$C$33, 18.763, 18.762) * CHOOSE(CONTROL!$C$16, $D$10, 100%, $F$10)</f>
        <v>18.763000000000002</v>
      </c>
      <c r="K665" s="4"/>
      <c r="L665" s="9">
        <v>27.415299999999998</v>
      </c>
      <c r="M665" s="9">
        <v>11.285299999999999</v>
      </c>
      <c r="N665" s="9">
        <v>4.6254999999999997</v>
      </c>
      <c r="O665" s="9">
        <v>0.34989999999999999</v>
      </c>
      <c r="P665" s="9">
        <v>1.2093</v>
      </c>
      <c r="Q665" s="9">
        <v>18.417899999999999</v>
      </c>
      <c r="R665" s="9"/>
      <c r="S665" s="11"/>
    </row>
    <row r="666" spans="1:19" ht="15" customHeight="1">
      <c r="A666" s="13">
        <v>61453</v>
      </c>
      <c r="B666" s="8">
        <f>CHOOSE( CONTROL!$C$33, 18.9476, 18.9465) * CHOOSE(CONTROL!$C$16, $D$10, 100%, $F$10)</f>
        <v>18.947600000000001</v>
      </c>
      <c r="C666" s="8">
        <f>CHOOSE( CONTROL!$C$33, 18.9527, 18.9516) * CHOOSE(CONTROL!$C$16, $D$10, 100%, $F$10)</f>
        <v>18.9527</v>
      </c>
      <c r="D666" s="8">
        <f>CHOOSE( CONTROL!$C$33, 18.9442, 18.943) * CHOOSE( CONTROL!$C$16, $D$10, 100%, $F$10)</f>
        <v>18.944199999999999</v>
      </c>
      <c r="E666" s="12">
        <f>CHOOSE( CONTROL!$C$33, 18.9468, 18.9456) * CHOOSE( CONTROL!$C$16, $D$10, 100%, $F$10)</f>
        <v>18.9468</v>
      </c>
      <c r="F666" s="4">
        <f>CHOOSE( CONTROL!$C$33, 19.6105, 19.6094) * CHOOSE(CONTROL!$C$16, $D$10, 100%, $F$10)</f>
        <v>19.610499999999998</v>
      </c>
      <c r="G666" s="8">
        <f>CHOOSE( CONTROL!$C$33, 18.7255, 18.7244) * CHOOSE( CONTROL!$C$16, $D$10, 100%, $F$10)</f>
        <v>18.7255</v>
      </c>
      <c r="H666" s="4">
        <f>CHOOSE( CONTROL!$C$33, 19.6107, 19.6096) * CHOOSE(CONTROL!$C$16, $D$10, 100%, $F$10)</f>
        <v>19.610700000000001</v>
      </c>
      <c r="I666" s="8">
        <f>CHOOSE( CONTROL!$C$33, 18.5309, 18.5298) * CHOOSE(CONTROL!$C$16, $D$10, 100%, $F$10)</f>
        <v>18.530899999999999</v>
      </c>
      <c r="J666" s="4">
        <f>CHOOSE( CONTROL!$C$33, 18.3636, 18.3626) * CHOOSE(CONTROL!$C$16, $D$10, 100%, $F$10)</f>
        <v>18.363600000000002</v>
      </c>
      <c r="K666" s="4"/>
      <c r="L666" s="9">
        <v>29.306000000000001</v>
      </c>
      <c r="M666" s="9">
        <v>12.063700000000001</v>
      </c>
      <c r="N666" s="9">
        <v>4.9444999999999997</v>
      </c>
      <c r="O666" s="9">
        <v>0.37409999999999999</v>
      </c>
      <c r="P666" s="9">
        <v>1.2927</v>
      </c>
      <c r="Q666" s="9">
        <v>19.688099999999999</v>
      </c>
      <c r="R666" s="9"/>
      <c r="S666" s="11"/>
    </row>
    <row r="667" spans="1:19" ht="15" customHeight="1">
      <c r="A667" s="13">
        <v>61483</v>
      </c>
      <c r="B667" s="8">
        <f>CHOOSE( CONTROL!$C$33, 19.2366, 19.2355) * CHOOSE(CONTROL!$C$16, $D$10, 100%, $F$10)</f>
        <v>19.236599999999999</v>
      </c>
      <c r="C667" s="8">
        <f>CHOOSE( CONTROL!$C$33, 19.2411, 19.24) * CHOOSE(CONTROL!$C$16, $D$10, 100%, $F$10)</f>
        <v>19.241099999999999</v>
      </c>
      <c r="D667" s="8">
        <f>CHOOSE( CONTROL!$C$33, 19.27, 19.2689) * CHOOSE( CONTROL!$C$16, $D$10, 100%, $F$10)</f>
        <v>19.27</v>
      </c>
      <c r="E667" s="12">
        <f>CHOOSE( CONTROL!$C$33, 19.2599, 19.2588) * CHOOSE( CONTROL!$C$16, $D$10, 100%, $F$10)</f>
        <v>19.259899999999998</v>
      </c>
      <c r="F667" s="4">
        <f>CHOOSE( CONTROL!$C$33, 20.0149, 20.0138) * CHOOSE(CONTROL!$C$16, $D$10, 100%, $F$10)</f>
        <v>20.014900000000001</v>
      </c>
      <c r="G667" s="8">
        <f>CHOOSE( CONTROL!$C$33, 19.0306, 19.0295) * CHOOSE( CONTROL!$C$16, $D$10, 100%, $F$10)</f>
        <v>19.0306</v>
      </c>
      <c r="H667" s="4">
        <f>CHOOSE( CONTROL!$C$33, 20.0095, 20.0084) * CHOOSE(CONTROL!$C$16, $D$10, 100%, $F$10)</f>
        <v>20.009499999999999</v>
      </c>
      <c r="I667" s="8">
        <f>CHOOSE( CONTROL!$C$33, 18.7681, 18.767) * CHOOSE(CONTROL!$C$16, $D$10, 100%, $F$10)</f>
        <v>18.7681</v>
      </c>
      <c r="J667" s="4">
        <f>CHOOSE( CONTROL!$C$33, 18.6427, 18.6416) * CHOOSE(CONTROL!$C$16, $D$10, 100%, $F$10)</f>
        <v>18.642700000000001</v>
      </c>
      <c r="K667" s="4"/>
      <c r="L667" s="9">
        <v>30.092199999999998</v>
      </c>
      <c r="M667" s="9">
        <v>11.6745</v>
      </c>
      <c r="N667" s="9">
        <v>4.7850000000000001</v>
      </c>
      <c r="O667" s="9">
        <v>0.36199999999999999</v>
      </c>
      <c r="P667" s="9">
        <v>1.2509999999999999</v>
      </c>
      <c r="Q667" s="9">
        <v>19.053000000000001</v>
      </c>
      <c r="R667" s="9"/>
      <c r="S667" s="11"/>
    </row>
    <row r="668" spans="1:19" ht="15" customHeight="1">
      <c r="A668" s="13">
        <v>61514</v>
      </c>
      <c r="B668" s="8">
        <f>CHOOSE( CONTROL!$C$33, 19.7514, 19.7498) * CHOOSE(CONTROL!$C$16, $D$10, 100%, $F$10)</f>
        <v>19.7514</v>
      </c>
      <c r="C668" s="8">
        <f>CHOOSE( CONTROL!$C$33, 19.7594, 19.7578) * CHOOSE(CONTROL!$C$16, $D$10, 100%, $F$10)</f>
        <v>19.759399999999999</v>
      </c>
      <c r="D668" s="8">
        <f>CHOOSE( CONTROL!$C$33, 19.7816, 19.7801) * CHOOSE( CONTROL!$C$16, $D$10, 100%, $F$10)</f>
        <v>19.781600000000001</v>
      </c>
      <c r="E668" s="12">
        <f>CHOOSE( CONTROL!$C$33, 19.7723, 19.7708) * CHOOSE( CONTROL!$C$16, $D$10, 100%, $F$10)</f>
        <v>19.772300000000001</v>
      </c>
      <c r="F668" s="4">
        <f>CHOOSE( CONTROL!$C$33, 20.5283, 20.5268) * CHOOSE(CONTROL!$C$16, $D$10, 100%, $F$10)</f>
        <v>20.528300000000002</v>
      </c>
      <c r="G668" s="8">
        <f>CHOOSE( CONTROL!$C$33, 19.5368, 19.5353) * CHOOSE( CONTROL!$C$16, $D$10, 100%, $F$10)</f>
        <v>19.536799999999999</v>
      </c>
      <c r="H668" s="4">
        <f>CHOOSE( CONTROL!$C$33, 20.5158, 20.5142) * CHOOSE(CONTROL!$C$16, $D$10, 100%, $F$10)</f>
        <v>20.515799999999999</v>
      </c>
      <c r="I668" s="8">
        <f>CHOOSE( CONTROL!$C$33, 19.2652, 19.2636) * CHOOSE(CONTROL!$C$16, $D$10, 100%, $F$10)</f>
        <v>19.2652</v>
      </c>
      <c r="J668" s="4">
        <f>CHOOSE( CONTROL!$C$33, 19.1399, 19.1384) * CHOOSE(CONTROL!$C$16, $D$10, 100%, $F$10)</f>
        <v>19.139900000000001</v>
      </c>
      <c r="K668" s="4"/>
      <c r="L668" s="9">
        <v>30.7165</v>
      </c>
      <c r="M668" s="9">
        <v>12.063700000000001</v>
      </c>
      <c r="N668" s="9">
        <v>4.9444999999999997</v>
      </c>
      <c r="O668" s="9">
        <v>0.37409999999999999</v>
      </c>
      <c r="P668" s="9">
        <v>1.2927</v>
      </c>
      <c r="Q668" s="9">
        <v>19.688099999999999</v>
      </c>
      <c r="R668" s="9"/>
      <c r="S668" s="11"/>
    </row>
    <row r="669" spans="1:19" ht="15" customHeight="1">
      <c r="A669" s="13">
        <v>61544</v>
      </c>
      <c r="B669" s="8">
        <f>CHOOSE( CONTROL!$C$33, 19.4336, 19.4321) * CHOOSE(CONTROL!$C$16, $D$10, 100%, $F$10)</f>
        <v>19.433599999999998</v>
      </c>
      <c r="C669" s="8">
        <f>CHOOSE( CONTROL!$C$33, 19.4416, 19.4401) * CHOOSE(CONTROL!$C$16, $D$10, 100%, $F$10)</f>
        <v>19.441600000000001</v>
      </c>
      <c r="D669" s="8">
        <f>CHOOSE( CONTROL!$C$33, 19.464, 19.4625) * CHOOSE( CONTROL!$C$16, $D$10, 100%, $F$10)</f>
        <v>19.463999999999999</v>
      </c>
      <c r="E669" s="12">
        <f>CHOOSE( CONTROL!$C$33, 19.4547, 19.4532) * CHOOSE( CONTROL!$C$16, $D$10, 100%, $F$10)</f>
        <v>19.454699999999999</v>
      </c>
      <c r="F669" s="4">
        <f>CHOOSE( CONTROL!$C$33, 20.2106, 20.209) * CHOOSE(CONTROL!$C$16, $D$10, 100%, $F$10)</f>
        <v>20.210599999999999</v>
      </c>
      <c r="G669" s="8">
        <f>CHOOSE( CONTROL!$C$33, 19.2236, 19.2221) * CHOOSE( CONTROL!$C$16, $D$10, 100%, $F$10)</f>
        <v>19.223600000000001</v>
      </c>
      <c r="H669" s="4">
        <f>CHOOSE( CONTROL!$C$33, 20.2024, 20.2009) * CHOOSE(CONTROL!$C$16, $D$10, 100%, $F$10)</f>
        <v>20.202400000000001</v>
      </c>
      <c r="I669" s="8">
        <f>CHOOSE( CONTROL!$C$33, 18.9579, 18.9564) * CHOOSE(CONTROL!$C$16, $D$10, 100%, $F$10)</f>
        <v>18.957899999999999</v>
      </c>
      <c r="J669" s="4">
        <f>CHOOSE( CONTROL!$C$33, 18.8322, 18.8307) * CHOOSE(CONTROL!$C$16, $D$10, 100%, $F$10)</f>
        <v>18.8322</v>
      </c>
      <c r="K669" s="4"/>
      <c r="L669" s="9">
        <v>29.7257</v>
      </c>
      <c r="M669" s="9">
        <v>11.6745</v>
      </c>
      <c r="N669" s="9">
        <v>4.7850000000000001</v>
      </c>
      <c r="O669" s="9">
        <v>0.36199999999999999</v>
      </c>
      <c r="P669" s="9">
        <v>1.2509999999999999</v>
      </c>
      <c r="Q669" s="9">
        <v>19.053000000000001</v>
      </c>
      <c r="R669" s="9"/>
      <c r="S669" s="11"/>
    </row>
    <row r="670" spans="1:19" ht="15" customHeight="1">
      <c r="A670" s="13">
        <v>61575</v>
      </c>
      <c r="B670" s="8">
        <f>CHOOSE( CONTROL!$C$33, 20.2704, 20.2689) * CHOOSE(CONTROL!$C$16, $D$10, 100%, $F$10)</f>
        <v>20.270399999999999</v>
      </c>
      <c r="C670" s="8">
        <f>CHOOSE( CONTROL!$C$33, 20.2784, 20.2769) * CHOOSE(CONTROL!$C$16, $D$10, 100%, $F$10)</f>
        <v>20.278400000000001</v>
      </c>
      <c r="D670" s="8">
        <f>CHOOSE( CONTROL!$C$33, 20.3011, 20.2995) * CHOOSE( CONTROL!$C$16, $D$10, 100%, $F$10)</f>
        <v>20.301100000000002</v>
      </c>
      <c r="E670" s="12">
        <f>CHOOSE( CONTROL!$C$33, 20.2917, 20.2901) * CHOOSE( CONTROL!$C$16, $D$10, 100%, $F$10)</f>
        <v>20.291699999999999</v>
      </c>
      <c r="F670" s="4">
        <f>CHOOSE( CONTROL!$C$33, 21.0474, 21.0458) * CHOOSE(CONTROL!$C$16, $D$10, 100%, $F$10)</f>
        <v>21.0474</v>
      </c>
      <c r="G670" s="8">
        <f>CHOOSE( CONTROL!$C$33, 20.0489, 20.0474) * CHOOSE( CONTROL!$C$16, $D$10, 100%, $F$10)</f>
        <v>20.0489</v>
      </c>
      <c r="H670" s="4">
        <f>CHOOSE( CONTROL!$C$33, 21.0276, 21.026) * CHOOSE(CONTROL!$C$16, $D$10, 100%, $F$10)</f>
        <v>21.0276</v>
      </c>
      <c r="I670" s="8">
        <f>CHOOSE( CONTROL!$C$33, 19.7694, 19.7678) * CHOOSE(CONTROL!$C$16, $D$10, 100%, $F$10)</f>
        <v>19.769400000000001</v>
      </c>
      <c r="J670" s="4">
        <f>CHOOSE( CONTROL!$C$33, 19.6425, 19.641) * CHOOSE(CONTROL!$C$16, $D$10, 100%, $F$10)</f>
        <v>19.642499999999998</v>
      </c>
      <c r="K670" s="4"/>
      <c r="L670" s="9">
        <v>30.7165</v>
      </c>
      <c r="M670" s="9">
        <v>12.063700000000001</v>
      </c>
      <c r="N670" s="9">
        <v>4.9444999999999997</v>
      </c>
      <c r="O670" s="9">
        <v>0.37409999999999999</v>
      </c>
      <c r="P670" s="9">
        <v>1.2927</v>
      </c>
      <c r="Q670" s="9">
        <v>19.688099999999999</v>
      </c>
      <c r="R670" s="9"/>
      <c r="S670" s="11"/>
    </row>
    <row r="671" spans="1:19" ht="15" customHeight="1">
      <c r="A671" s="13">
        <v>61606</v>
      </c>
      <c r="B671" s="8">
        <f>CHOOSE( CONTROL!$C$33, 18.7047, 18.7031) * CHOOSE(CONTROL!$C$16, $D$10, 100%, $F$10)</f>
        <v>18.704699999999999</v>
      </c>
      <c r="C671" s="8">
        <f>CHOOSE( CONTROL!$C$33, 18.7127, 18.7111) * CHOOSE(CONTROL!$C$16, $D$10, 100%, $F$10)</f>
        <v>18.712700000000002</v>
      </c>
      <c r="D671" s="8">
        <f>CHOOSE( CONTROL!$C$33, 18.7353, 18.7338) * CHOOSE( CONTROL!$C$16, $D$10, 100%, $F$10)</f>
        <v>18.735299999999999</v>
      </c>
      <c r="E671" s="12">
        <f>CHOOSE( CONTROL!$C$33, 18.7259, 18.7244) * CHOOSE( CONTROL!$C$16, $D$10, 100%, $F$10)</f>
        <v>18.725899999999999</v>
      </c>
      <c r="F671" s="4">
        <f>CHOOSE( CONTROL!$C$33, 19.4816, 19.48) * CHOOSE(CONTROL!$C$16, $D$10, 100%, $F$10)</f>
        <v>19.4816</v>
      </c>
      <c r="G671" s="8">
        <f>CHOOSE( CONTROL!$C$33, 18.5051, 18.5035) * CHOOSE( CONTROL!$C$16, $D$10, 100%, $F$10)</f>
        <v>18.505099999999999</v>
      </c>
      <c r="H671" s="4">
        <f>CHOOSE( CONTROL!$C$33, 19.4836, 19.4821) * CHOOSE(CONTROL!$C$16, $D$10, 100%, $F$10)</f>
        <v>19.483599999999999</v>
      </c>
      <c r="I671" s="8">
        <f>CHOOSE( CONTROL!$C$33, 18.2526, 18.2511) * CHOOSE(CONTROL!$C$16, $D$10, 100%, $F$10)</f>
        <v>18.252600000000001</v>
      </c>
      <c r="J671" s="4">
        <f>CHOOSE( CONTROL!$C$33, 18.1263, 18.1248) * CHOOSE(CONTROL!$C$16, $D$10, 100%, $F$10)</f>
        <v>18.126300000000001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1.2927</v>
      </c>
      <c r="Q671" s="9">
        <v>19.688099999999999</v>
      </c>
      <c r="R671" s="9"/>
      <c r="S671" s="11"/>
    </row>
    <row r="672" spans="1:19" ht="15" customHeight="1">
      <c r="A672" s="13">
        <v>61636</v>
      </c>
      <c r="B672" s="8">
        <f>CHOOSE( CONTROL!$C$33, 18.3126, 18.311) * CHOOSE(CONTROL!$C$16, $D$10, 100%, $F$10)</f>
        <v>18.3126</v>
      </c>
      <c r="C672" s="8">
        <f>CHOOSE( CONTROL!$C$33, 18.3206, 18.319) * CHOOSE(CONTROL!$C$16, $D$10, 100%, $F$10)</f>
        <v>18.320599999999999</v>
      </c>
      <c r="D672" s="8">
        <f>CHOOSE( CONTROL!$C$33, 18.3431, 18.3416) * CHOOSE( CONTROL!$C$16, $D$10, 100%, $F$10)</f>
        <v>18.3431</v>
      </c>
      <c r="E672" s="12">
        <f>CHOOSE( CONTROL!$C$33, 18.3337, 18.3322) * CHOOSE( CONTROL!$C$16, $D$10, 100%, $F$10)</f>
        <v>18.3337</v>
      </c>
      <c r="F672" s="4">
        <f>CHOOSE( CONTROL!$C$33, 19.0895, 19.0879) * CHOOSE(CONTROL!$C$16, $D$10, 100%, $F$10)</f>
        <v>19.089500000000001</v>
      </c>
      <c r="G672" s="8">
        <f>CHOOSE( CONTROL!$C$33, 18.1183, 18.1168) * CHOOSE( CONTROL!$C$16, $D$10, 100%, $F$10)</f>
        <v>18.118300000000001</v>
      </c>
      <c r="H672" s="4">
        <f>CHOOSE( CONTROL!$C$33, 19.097, 19.0955) * CHOOSE(CONTROL!$C$16, $D$10, 100%, $F$10)</f>
        <v>19.097000000000001</v>
      </c>
      <c r="I672" s="8">
        <f>CHOOSE( CONTROL!$C$33, 17.8723, 17.8708) * CHOOSE(CONTROL!$C$16, $D$10, 100%, $F$10)</f>
        <v>17.872299999999999</v>
      </c>
      <c r="J672" s="4">
        <f>CHOOSE( CONTROL!$C$33, 17.7467, 17.7452) * CHOOSE(CONTROL!$C$16, $D$10, 100%, $F$10)</f>
        <v>17.746700000000001</v>
      </c>
      <c r="K672" s="4"/>
      <c r="L672" s="9">
        <v>29.7257</v>
      </c>
      <c r="M672" s="9">
        <v>11.6745</v>
      </c>
      <c r="N672" s="9">
        <v>4.7850000000000001</v>
      </c>
      <c r="O672" s="9">
        <v>0.36199999999999999</v>
      </c>
      <c r="P672" s="9">
        <v>1.2509999999999999</v>
      </c>
      <c r="Q672" s="9">
        <v>19.053000000000001</v>
      </c>
      <c r="R672" s="9"/>
      <c r="S672" s="11"/>
    </row>
    <row r="673" spans="1:19" ht="15" customHeight="1">
      <c r="A673" s="13">
        <v>61667</v>
      </c>
      <c r="B673" s="8">
        <f>CHOOSE( CONTROL!$C$33, 19.1245, 19.1234) * CHOOSE(CONTROL!$C$16, $D$10, 100%, $F$10)</f>
        <v>19.124500000000001</v>
      </c>
      <c r="C673" s="8">
        <f>CHOOSE( CONTROL!$C$33, 19.1299, 19.1288) * CHOOSE(CONTROL!$C$16, $D$10, 100%, $F$10)</f>
        <v>19.129899999999999</v>
      </c>
      <c r="D673" s="8">
        <f>CHOOSE( CONTROL!$C$33, 19.1587, 19.1575) * CHOOSE( CONTROL!$C$16, $D$10, 100%, $F$10)</f>
        <v>19.1587</v>
      </c>
      <c r="E673" s="12">
        <f>CHOOSE( CONTROL!$C$33, 19.1486, 19.1475) * CHOOSE( CONTROL!$C$16, $D$10, 100%, $F$10)</f>
        <v>19.148599999999998</v>
      </c>
      <c r="F673" s="4">
        <f>CHOOSE( CONTROL!$C$33, 19.9032, 19.902) * CHOOSE(CONTROL!$C$16, $D$10, 100%, $F$10)</f>
        <v>19.903199999999998</v>
      </c>
      <c r="G673" s="8">
        <f>CHOOSE( CONTROL!$C$33, 18.9207, 18.9196) * CHOOSE( CONTROL!$C$16, $D$10, 100%, $F$10)</f>
        <v>18.9207</v>
      </c>
      <c r="H673" s="4">
        <f>CHOOSE( CONTROL!$C$33, 19.8993, 19.8982) * CHOOSE(CONTROL!$C$16, $D$10, 100%, $F$10)</f>
        <v>19.8993</v>
      </c>
      <c r="I673" s="8">
        <f>CHOOSE( CONTROL!$C$33, 18.6612, 18.6601) * CHOOSE(CONTROL!$C$16, $D$10, 100%, $F$10)</f>
        <v>18.661200000000001</v>
      </c>
      <c r="J673" s="4">
        <f>CHOOSE( CONTROL!$C$33, 18.5345, 18.5335) * CHOOSE(CONTROL!$C$16, $D$10, 100%, $F$10)</f>
        <v>18.534500000000001</v>
      </c>
      <c r="K673" s="4"/>
      <c r="L673" s="9">
        <v>31.095300000000002</v>
      </c>
      <c r="M673" s="9">
        <v>12.063700000000001</v>
      </c>
      <c r="N673" s="9">
        <v>4.9444999999999997</v>
      </c>
      <c r="O673" s="9">
        <v>0.37409999999999999</v>
      </c>
      <c r="P673" s="9">
        <v>1.2927</v>
      </c>
      <c r="Q673" s="9">
        <v>19.688099999999999</v>
      </c>
      <c r="R673" s="9"/>
      <c r="S673" s="11"/>
    </row>
    <row r="674" spans="1:19" ht="15" customHeight="1">
      <c r="A674" s="13">
        <v>61697</v>
      </c>
      <c r="B674" s="8">
        <f>CHOOSE( CONTROL!$C$33, 20.6268, 20.6257) * CHOOSE(CONTROL!$C$16, $D$10, 100%, $F$10)</f>
        <v>20.626799999999999</v>
      </c>
      <c r="C674" s="8">
        <f>CHOOSE( CONTROL!$C$33, 20.6319, 20.6308) * CHOOSE(CONTROL!$C$16, $D$10, 100%, $F$10)</f>
        <v>20.631900000000002</v>
      </c>
      <c r="D674" s="8">
        <f>CHOOSE( CONTROL!$C$33, 20.6116, 20.6105) * CHOOSE( CONTROL!$C$16, $D$10, 100%, $F$10)</f>
        <v>20.611599999999999</v>
      </c>
      <c r="E674" s="12">
        <f>CHOOSE( CONTROL!$C$33, 20.6185, 20.6174) * CHOOSE( CONTROL!$C$16, $D$10, 100%, $F$10)</f>
        <v>20.618500000000001</v>
      </c>
      <c r="F674" s="4">
        <f>CHOOSE( CONTROL!$C$33, 21.2897, 21.2885) * CHOOSE(CONTROL!$C$16, $D$10, 100%, $F$10)</f>
        <v>21.2897</v>
      </c>
      <c r="G674" s="8">
        <f>CHOOSE( CONTROL!$C$33, 20.375, 20.3739) * CHOOSE( CONTROL!$C$16, $D$10, 100%, $F$10)</f>
        <v>20.375</v>
      </c>
      <c r="H674" s="4">
        <f>CHOOSE( CONTROL!$C$33, 21.2665, 21.2654) * CHOOSE(CONTROL!$C$16, $D$10, 100%, $F$10)</f>
        <v>21.266500000000001</v>
      </c>
      <c r="I674" s="8">
        <f>CHOOSE( CONTROL!$C$33, 20.1648, 20.1637) * CHOOSE(CONTROL!$C$16, $D$10, 100%, $F$10)</f>
        <v>20.1648</v>
      </c>
      <c r="J674" s="4">
        <f>CHOOSE( CONTROL!$C$33, 19.9896, 19.9885) * CHOOSE(CONTROL!$C$16, $D$10, 100%, $F$10)</f>
        <v>19.989599999999999</v>
      </c>
      <c r="K674" s="4"/>
      <c r="L674" s="9">
        <v>28.360600000000002</v>
      </c>
      <c r="M674" s="9">
        <v>11.6745</v>
      </c>
      <c r="N674" s="9">
        <v>4.7850000000000001</v>
      </c>
      <c r="O674" s="9">
        <v>0.36199999999999999</v>
      </c>
      <c r="P674" s="9">
        <v>1.2509999999999999</v>
      </c>
      <c r="Q674" s="9">
        <v>19.053000000000001</v>
      </c>
      <c r="R674" s="9"/>
      <c r="S674" s="11"/>
    </row>
    <row r="675" spans="1:19" ht="15" customHeight="1">
      <c r="A675" s="13">
        <v>61728</v>
      </c>
      <c r="B675" s="8">
        <f>CHOOSE( CONTROL!$C$33, 20.5893, 20.5881) * CHOOSE(CONTROL!$C$16, $D$10, 100%, $F$10)</f>
        <v>20.589300000000001</v>
      </c>
      <c r="C675" s="8">
        <f>CHOOSE( CONTROL!$C$33, 20.5944, 20.5932) * CHOOSE(CONTROL!$C$16, $D$10, 100%, $F$10)</f>
        <v>20.5944</v>
      </c>
      <c r="D675" s="8">
        <f>CHOOSE( CONTROL!$C$33, 20.5755, 20.5744) * CHOOSE( CONTROL!$C$16, $D$10, 100%, $F$10)</f>
        <v>20.575500000000002</v>
      </c>
      <c r="E675" s="12">
        <f>CHOOSE( CONTROL!$C$33, 20.5819, 20.5807) * CHOOSE( CONTROL!$C$16, $D$10, 100%, $F$10)</f>
        <v>20.581900000000001</v>
      </c>
      <c r="F675" s="4">
        <f>CHOOSE( CONTROL!$C$33, 21.2521, 21.251) * CHOOSE(CONTROL!$C$16, $D$10, 100%, $F$10)</f>
        <v>21.252099999999999</v>
      </c>
      <c r="G675" s="8">
        <f>CHOOSE( CONTROL!$C$33, 20.339, 20.3379) * CHOOSE( CONTROL!$C$16, $D$10, 100%, $F$10)</f>
        <v>20.338999999999999</v>
      </c>
      <c r="H675" s="4">
        <f>CHOOSE( CONTROL!$C$33, 21.2295, 21.2284) * CHOOSE(CONTROL!$C$16, $D$10, 100%, $F$10)</f>
        <v>21.229500000000002</v>
      </c>
      <c r="I675" s="8">
        <f>CHOOSE( CONTROL!$C$33, 20.1329, 20.1318) * CHOOSE(CONTROL!$C$16, $D$10, 100%, $F$10)</f>
        <v>20.132899999999999</v>
      </c>
      <c r="J675" s="4">
        <f>CHOOSE( CONTROL!$C$33, 19.9532, 19.9521) * CHOOSE(CONTROL!$C$16, $D$10, 100%, $F$10)</f>
        <v>19.953199999999999</v>
      </c>
      <c r="K675" s="4"/>
      <c r="L675" s="9">
        <v>29.306000000000001</v>
      </c>
      <c r="M675" s="9">
        <v>12.063700000000001</v>
      </c>
      <c r="N675" s="9">
        <v>4.9444999999999997</v>
      </c>
      <c r="O675" s="9">
        <v>0.37409999999999999</v>
      </c>
      <c r="P675" s="9">
        <v>1.2927</v>
      </c>
      <c r="Q675" s="9">
        <v>19.688099999999999</v>
      </c>
      <c r="R675" s="9"/>
      <c r="S675" s="11"/>
    </row>
    <row r="676" spans="1:19" ht="15" customHeight="1">
      <c r="A676" s="13">
        <v>61759</v>
      </c>
      <c r="B676" s="8">
        <f>CHOOSE( CONTROL!$C$33, 21.197, 21.1959) * CHOOSE(CONTROL!$C$16, $D$10, 100%, $F$10)</f>
        <v>21.196999999999999</v>
      </c>
      <c r="C676" s="8">
        <f>CHOOSE( CONTROL!$C$33, 21.2021, 21.201) * CHOOSE(CONTROL!$C$16, $D$10, 100%, $F$10)</f>
        <v>21.202100000000002</v>
      </c>
      <c r="D676" s="8">
        <f>CHOOSE( CONTROL!$C$33, 21.1945, 21.1934) * CHOOSE( CONTROL!$C$16, $D$10, 100%, $F$10)</f>
        <v>21.194500000000001</v>
      </c>
      <c r="E676" s="12">
        <f>CHOOSE( CONTROL!$C$33, 21.1967, 21.1956) * CHOOSE( CONTROL!$C$16, $D$10, 100%, $F$10)</f>
        <v>21.1967</v>
      </c>
      <c r="F676" s="4">
        <f>CHOOSE( CONTROL!$C$33, 21.8599, 21.8588) * CHOOSE(CONTROL!$C$16, $D$10, 100%, $F$10)</f>
        <v>21.8599</v>
      </c>
      <c r="G676" s="8">
        <f>CHOOSE( CONTROL!$C$33, 20.9442, 20.9431) * CHOOSE( CONTROL!$C$16, $D$10, 100%, $F$10)</f>
        <v>20.944199999999999</v>
      </c>
      <c r="H676" s="4">
        <f>CHOOSE( CONTROL!$C$33, 21.8288, 21.8277) * CHOOSE(CONTROL!$C$16, $D$10, 100%, $F$10)</f>
        <v>21.828800000000001</v>
      </c>
      <c r="I676" s="8">
        <f>CHOOSE( CONTROL!$C$33, 20.713, 20.7119) * CHOOSE(CONTROL!$C$16, $D$10, 100%, $F$10)</f>
        <v>20.713000000000001</v>
      </c>
      <c r="J676" s="4">
        <f>CHOOSE( CONTROL!$C$33, 20.5418, 20.5407) * CHOOSE(CONTROL!$C$16, $D$10, 100%, $F$10)</f>
        <v>20.541799999999999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" customHeight="1">
      <c r="A677" s="13">
        <v>61787</v>
      </c>
      <c r="B677" s="8">
        <f>CHOOSE( CONTROL!$C$33, 19.8257, 19.8245) * CHOOSE(CONTROL!$C$16, $D$10, 100%, $F$10)</f>
        <v>19.825700000000001</v>
      </c>
      <c r="C677" s="8">
        <f>CHOOSE( CONTROL!$C$33, 19.8308, 19.8296) * CHOOSE(CONTROL!$C$16, $D$10, 100%, $F$10)</f>
        <v>19.8308</v>
      </c>
      <c r="D677" s="8">
        <f>CHOOSE( CONTROL!$C$33, 19.8229, 19.8218) * CHOOSE( CONTROL!$C$16, $D$10, 100%, $F$10)</f>
        <v>19.822900000000001</v>
      </c>
      <c r="E677" s="12">
        <f>CHOOSE( CONTROL!$C$33, 19.8252, 19.8241) * CHOOSE( CONTROL!$C$16, $D$10, 100%, $F$10)</f>
        <v>19.825199999999999</v>
      </c>
      <c r="F677" s="4">
        <f>CHOOSE( CONTROL!$C$33, 20.4885, 20.4874) * CHOOSE(CONTROL!$C$16, $D$10, 100%, $F$10)</f>
        <v>20.488499999999998</v>
      </c>
      <c r="G677" s="8">
        <f>CHOOSE( CONTROL!$C$33, 19.5918, 19.5907) * CHOOSE( CONTROL!$C$16, $D$10, 100%, $F$10)</f>
        <v>19.591799999999999</v>
      </c>
      <c r="H677" s="4">
        <f>CHOOSE( CONTROL!$C$33, 20.4765, 20.4754) * CHOOSE(CONTROL!$C$16, $D$10, 100%, $F$10)</f>
        <v>20.476500000000001</v>
      </c>
      <c r="I677" s="8">
        <f>CHOOSE( CONTROL!$C$33, 19.3838, 19.3827) * CHOOSE(CONTROL!$C$16, $D$10, 100%, $F$10)</f>
        <v>19.383800000000001</v>
      </c>
      <c r="J677" s="4">
        <f>CHOOSE( CONTROL!$C$33, 19.2138, 19.2128) * CHOOSE(CONTROL!$C$16, $D$10, 100%, $F$10)</f>
        <v>19.213799999999999</v>
      </c>
      <c r="K677" s="4"/>
      <c r="L677" s="9">
        <v>26.469899999999999</v>
      </c>
      <c r="M677" s="9">
        <v>10.8962</v>
      </c>
      <c r="N677" s="9">
        <v>4.4660000000000002</v>
      </c>
      <c r="O677" s="9">
        <v>0.33789999999999998</v>
      </c>
      <c r="P677" s="9">
        <v>1.1676</v>
      </c>
      <c r="Q677" s="9">
        <v>17.782800000000002</v>
      </c>
      <c r="R677" s="9"/>
      <c r="S677" s="11"/>
    </row>
    <row r="678" spans="1:19" ht="15" customHeight="1">
      <c r="A678" s="13">
        <v>61818</v>
      </c>
      <c r="B678" s="8">
        <f>CHOOSE( CONTROL!$C$33, 19.4033, 19.4021) * CHOOSE(CONTROL!$C$16, $D$10, 100%, $F$10)</f>
        <v>19.403300000000002</v>
      </c>
      <c r="C678" s="8">
        <f>CHOOSE( CONTROL!$C$33, 19.4084, 19.4072) * CHOOSE(CONTROL!$C$16, $D$10, 100%, $F$10)</f>
        <v>19.4084</v>
      </c>
      <c r="D678" s="8">
        <f>CHOOSE( CONTROL!$C$33, 19.3998, 19.3987) * CHOOSE( CONTROL!$C$16, $D$10, 100%, $F$10)</f>
        <v>19.399799999999999</v>
      </c>
      <c r="E678" s="12">
        <f>CHOOSE( CONTROL!$C$33, 19.4024, 19.4013) * CHOOSE( CONTROL!$C$16, $D$10, 100%, $F$10)</f>
        <v>19.4024</v>
      </c>
      <c r="F678" s="4">
        <f>CHOOSE( CONTROL!$C$33, 20.0661, 20.065) * CHOOSE(CONTROL!$C$16, $D$10, 100%, $F$10)</f>
        <v>20.066099999999999</v>
      </c>
      <c r="G678" s="8">
        <f>CHOOSE( CONTROL!$C$33, 19.1748, 19.1737) * CHOOSE( CONTROL!$C$16, $D$10, 100%, $F$10)</f>
        <v>19.174800000000001</v>
      </c>
      <c r="H678" s="4">
        <f>CHOOSE( CONTROL!$C$33, 20.06, 20.0589) * CHOOSE(CONTROL!$C$16, $D$10, 100%, $F$10)</f>
        <v>20.059999999999999</v>
      </c>
      <c r="I678" s="8">
        <f>CHOOSE( CONTROL!$C$33, 18.9723, 18.9713) * CHOOSE(CONTROL!$C$16, $D$10, 100%, $F$10)</f>
        <v>18.972300000000001</v>
      </c>
      <c r="J678" s="4">
        <f>CHOOSE( CONTROL!$C$33, 18.8048, 18.8038) * CHOOSE(CONTROL!$C$16, $D$10, 100%, $F$10)</f>
        <v>18.8048</v>
      </c>
      <c r="K678" s="4"/>
      <c r="L678" s="9">
        <v>29.306000000000001</v>
      </c>
      <c r="M678" s="9">
        <v>12.063700000000001</v>
      </c>
      <c r="N678" s="9">
        <v>4.9444999999999997</v>
      </c>
      <c r="O678" s="9">
        <v>0.37409999999999999</v>
      </c>
      <c r="P678" s="9">
        <v>1.2927</v>
      </c>
      <c r="Q678" s="9">
        <v>19.688099999999999</v>
      </c>
      <c r="R678" s="9"/>
      <c r="S678" s="11"/>
    </row>
    <row r="679" spans="1:19" ht="15" customHeight="1">
      <c r="A679" s="13">
        <v>61848</v>
      </c>
      <c r="B679" s="8">
        <f>CHOOSE( CONTROL!$C$33, 19.6992, 19.6981) * CHOOSE(CONTROL!$C$16, $D$10, 100%, $F$10)</f>
        <v>19.699200000000001</v>
      </c>
      <c r="C679" s="8">
        <f>CHOOSE( CONTROL!$C$33, 19.7037, 19.7026) * CHOOSE(CONTROL!$C$16, $D$10, 100%, $F$10)</f>
        <v>19.703700000000001</v>
      </c>
      <c r="D679" s="8">
        <f>CHOOSE( CONTROL!$C$33, 19.7326, 19.7315) * CHOOSE( CONTROL!$C$16, $D$10, 100%, $F$10)</f>
        <v>19.732600000000001</v>
      </c>
      <c r="E679" s="12">
        <f>CHOOSE( CONTROL!$C$33, 19.7225, 19.7214) * CHOOSE( CONTROL!$C$16, $D$10, 100%, $F$10)</f>
        <v>19.7225</v>
      </c>
      <c r="F679" s="4">
        <f>CHOOSE( CONTROL!$C$33, 20.4775, 20.4764) * CHOOSE(CONTROL!$C$16, $D$10, 100%, $F$10)</f>
        <v>20.477499999999999</v>
      </c>
      <c r="G679" s="8">
        <f>CHOOSE( CONTROL!$C$33, 19.4867, 19.4856) * CHOOSE( CONTROL!$C$16, $D$10, 100%, $F$10)</f>
        <v>19.486699999999999</v>
      </c>
      <c r="H679" s="4">
        <f>CHOOSE( CONTROL!$C$33, 20.4656, 20.4645) * CHOOSE(CONTROL!$C$16, $D$10, 100%, $F$10)</f>
        <v>20.465599999999998</v>
      </c>
      <c r="I679" s="8">
        <f>CHOOSE( CONTROL!$C$33, 19.2163, 19.2152) * CHOOSE(CONTROL!$C$16, $D$10, 100%, $F$10)</f>
        <v>19.2163</v>
      </c>
      <c r="J679" s="4">
        <f>CHOOSE( CONTROL!$C$33, 19.0906, 19.0896) * CHOOSE(CONTROL!$C$16, $D$10, 100%, $F$10)</f>
        <v>19.090599999999998</v>
      </c>
      <c r="K679" s="4"/>
      <c r="L679" s="9">
        <v>30.092199999999998</v>
      </c>
      <c r="M679" s="9">
        <v>11.6745</v>
      </c>
      <c r="N679" s="9">
        <v>4.7850000000000001</v>
      </c>
      <c r="O679" s="9">
        <v>0.36199999999999999</v>
      </c>
      <c r="P679" s="9">
        <v>1.2509999999999999</v>
      </c>
      <c r="Q679" s="9">
        <v>19.053000000000001</v>
      </c>
      <c r="R679" s="9"/>
      <c r="S679" s="11"/>
    </row>
    <row r="680" spans="1:19" ht="15" customHeight="1">
      <c r="A680" s="13">
        <v>61879</v>
      </c>
      <c r="B680" s="8">
        <f>CHOOSE( CONTROL!$C$33, 20.2263, 20.2247) * CHOOSE(CONTROL!$C$16, $D$10, 100%, $F$10)</f>
        <v>20.226299999999998</v>
      </c>
      <c r="C680" s="8">
        <f>CHOOSE( CONTROL!$C$33, 20.2343, 20.2327) * CHOOSE(CONTROL!$C$16, $D$10, 100%, $F$10)</f>
        <v>20.234300000000001</v>
      </c>
      <c r="D680" s="8">
        <f>CHOOSE( CONTROL!$C$33, 20.2565, 20.255) * CHOOSE( CONTROL!$C$16, $D$10, 100%, $F$10)</f>
        <v>20.256499999999999</v>
      </c>
      <c r="E680" s="12">
        <f>CHOOSE( CONTROL!$C$33, 20.2472, 20.2457) * CHOOSE( CONTROL!$C$16, $D$10, 100%, $F$10)</f>
        <v>20.247199999999999</v>
      </c>
      <c r="F680" s="4">
        <f>CHOOSE( CONTROL!$C$33, 21.0032, 21.0017) * CHOOSE(CONTROL!$C$16, $D$10, 100%, $F$10)</f>
        <v>21.0032</v>
      </c>
      <c r="G680" s="8">
        <f>CHOOSE( CONTROL!$C$33, 20.0051, 20.0036) * CHOOSE( CONTROL!$C$16, $D$10, 100%, $F$10)</f>
        <v>20.005099999999999</v>
      </c>
      <c r="H680" s="4">
        <f>CHOOSE( CONTROL!$C$33, 20.9841, 20.9825) * CHOOSE(CONTROL!$C$16, $D$10, 100%, $F$10)</f>
        <v>20.984100000000002</v>
      </c>
      <c r="I680" s="8">
        <f>CHOOSE( CONTROL!$C$33, 19.7252, 19.7237) * CHOOSE(CONTROL!$C$16, $D$10, 100%, $F$10)</f>
        <v>19.725200000000001</v>
      </c>
      <c r="J680" s="4">
        <f>CHOOSE( CONTROL!$C$33, 19.5997, 19.5982) * CHOOSE(CONTROL!$C$16, $D$10, 100%, $F$10)</f>
        <v>19.599699999999999</v>
      </c>
      <c r="K680" s="4"/>
      <c r="L680" s="9">
        <v>30.7165</v>
      </c>
      <c r="M680" s="9">
        <v>12.063700000000001</v>
      </c>
      <c r="N680" s="9">
        <v>4.9444999999999997</v>
      </c>
      <c r="O680" s="9">
        <v>0.37409999999999999</v>
      </c>
      <c r="P680" s="9">
        <v>1.2927</v>
      </c>
      <c r="Q680" s="9">
        <v>19.688099999999999</v>
      </c>
      <c r="R680" s="9"/>
      <c r="S680" s="11"/>
    </row>
    <row r="681" spans="1:19" ht="15" customHeight="1">
      <c r="A681" s="13">
        <v>61909</v>
      </c>
      <c r="B681" s="8">
        <f>CHOOSE( CONTROL!$C$33, 19.9009, 19.8993) * CHOOSE(CONTROL!$C$16, $D$10, 100%, $F$10)</f>
        <v>19.9009</v>
      </c>
      <c r="C681" s="8">
        <f>CHOOSE( CONTROL!$C$33, 19.9089, 19.9073) * CHOOSE(CONTROL!$C$16, $D$10, 100%, $F$10)</f>
        <v>19.908899999999999</v>
      </c>
      <c r="D681" s="8">
        <f>CHOOSE( CONTROL!$C$33, 19.9313, 19.9297) * CHOOSE( CONTROL!$C$16, $D$10, 100%, $F$10)</f>
        <v>19.9313</v>
      </c>
      <c r="E681" s="12">
        <f>CHOOSE( CONTROL!$C$33, 19.922, 19.9204) * CHOOSE( CONTROL!$C$16, $D$10, 100%, $F$10)</f>
        <v>19.922000000000001</v>
      </c>
      <c r="F681" s="4">
        <f>CHOOSE( CONTROL!$C$33, 20.6778, 20.6762) * CHOOSE(CONTROL!$C$16, $D$10, 100%, $F$10)</f>
        <v>20.677800000000001</v>
      </c>
      <c r="G681" s="8">
        <f>CHOOSE( CONTROL!$C$33, 19.6844, 19.6828) * CHOOSE( CONTROL!$C$16, $D$10, 100%, $F$10)</f>
        <v>19.6844</v>
      </c>
      <c r="H681" s="4">
        <f>CHOOSE( CONTROL!$C$33, 20.6632, 20.6616) * CHOOSE(CONTROL!$C$16, $D$10, 100%, $F$10)</f>
        <v>20.6632</v>
      </c>
      <c r="I681" s="8">
        <f>CHOOSE( CONTROL!$C$33, 19.4106, 19.409) * CHOOSE(CONTROL!$C$16, $D$10, 100%, $F$10)</f>
        <v>19.410599999999999</v>
      </c>
      <c r="J681" s="4">
        <f>CHOOSE( CONTROL!$C$33, 19.2846, 19.2831) * CHOOSE(CONTROL!$C$16, $D$10, 100%, $F$10)</f>
        <v>19.284600000000001</v>
      </c>
      <c r="K681" s="4"/>
      <c r="L681" s="9">
        <v>29.7257</v>
      </c>
      <c r="M681" s="9">
        <v>11.6745</v>
      </c>
      <c r="N681" s="9">
        <v>4.7850000000000001</v>
      </c>
      <c r="O681" s="9">
        <v>0.36199999999999999</v>
      </c>
      <c r="P681" s="9">
        <v>1.2509999999999999</v>
      </c>
      <c r="Q681" s="9">
        <v>19.053000000000001</v>
      </c>
      <c r="R681" s="9"/>
      <c r="S681" s="11"/>
    </row>
    <row r="682" spans="1:19" ht="15" customHeight="1">
      <c r="A682" s="13">
        <v>61940</v>
      </c>
      <c r="B682" s="8">
        <f>CHOOSE( CONTROL!$C$33, 20.7578, 20.7563) * CHOOSE(CONTROL!$C$16, $D$10, 100%, $F$10)</f>
        <v>20.7578</v>
      </c>
      <c r="C682" s="8">
        <f>CHOOSE( CONTROL!$C$33, 20.7658, 20.7642) * CHOOSE(CONTROL!$C$16, $D$10, 100%, $F$10)</f>
        <v>20.765799999999999</v>
      </c>
      <c r="D682" s="8">
        <f>CHOOSE( CONTROL!$C$33, 20.7884, 20.7869) * CHOOSE( CONTROL!$C$16, $D$10, 100%, $F$10)</f>
        <v>20.788399999999999</v>
      </c>
      <c r="E682" s="12">
        <f>CHOOSE( CONTROL!$C$33, 20.779, 20.7775) * CHOOSE( CONTROL!$C$16, $D$10, 100%, $F$10)</f>
        <v>20.779</v>
      </c>
      <c r="F682" s="4">
        <f>CHOOSE( CONTROL!$C$33, 21.5347, 21.5332) * CHOOSE(CONTROL!$C$16, $D$10, 100%, $F$10)</f>
        <v>21.534700000000001</v>
      </c>
      <c r="G682" s="8">
        <f>CHOOSE( CONTROL!$C$33, 20.5295, 20.528) * CHOOSE( CONTROL!$C$16, $D$10, 100%, $F$10)</f>
        <v>20.529499999999999</v>
      </c>
      <c r="H682" s="4">
        <f>CHOOSE( CONTROL!$C$33, 21.5082, 21.5066) * CHOOSE(CONTROL!$C$16, $D$10, 100%, $F$10)</f>
        <v>21.508199999999999</v>
      </c>
      <c r="I682" s="8">
        <f>CHOOSE( CONTROL!$C$33, 20.2415, 20.24) * CHOOSE(CONTROL!$C$16, $D$10, 100%, $F$10)</f>
        <v>20.241499999999998</v>
      </c>
      <c r="J682" s="4">
        <f>CHOOSE( CONTROL!$C$33, 20.1144, 20.1129) * CHOOSE(CONTROL!$C$16, $D$10, 100%, $F$10)</f>
        <v>20.1144</v>
      </c>
      <c r="K682" s="4"/>
      <c r="L682" s="9">
        <v>30.7165</v>
      </c>
      <c r="M682" s="9">
        <v>12.063700000000001</v>
      </c>
      <c r="N682" s="9">
        <v>4.9444999999999997</v>
      </c>
      <c r="O682" s="9">
        <v>0.37409999999999999</v>
      </c>
      <c r="P682" s="9">
        <v>1.2927</v>
      </c>
      <c r="Q682" s="9">
        <v>19.688099999999999</v>
      </c>
      <c r="R682" s="9"/>
      <c r="S682" s="11"/>
    </row>
    <row r="683" spans="1:19" ht="15" customHeight="1">
      <c r="A683" s="13">
        <v>61971</v>
      </c>
      <c r="B683" s="8">
        <f>CHOOSE( CONTROL!$C$33, 19.1544, 19.1529) * CHOOSE(CONTROL!$C$16, $D$10, 100%, $F$10)</f>
        <v>19.154399999999999</v>
      </c>
      <c r="C683" s="8">
        <f>CHOOSE( CONTROL!$C$33, 19.1624, 19.1609) * CHOOSE(CONTROL!$C$16, $D$10, 100%, $F$10)</f>
        <v>19.162400000000002</v>
      </c>
      <c r="D683" s="8">
        <f>CHOOSE( CONTROL!$C$33, 19.1851, 19.1835) * CHOOSE( CONTROL!$C$16, $D$10, 100%, $F$10)</f>
        <v>19.185099999999998</v>
      </c>
      <c r="E683" s="12">
        <f>CHOOSE( CONTROL!$C$33, 19.1757, 19.1741) * CHOOSE( CONTROL!$C$16, $D$10, 100%, $F$10)</f>
        <v>19.175699999999999</v>
      </c>
      <c r="F683" s="4">
        <f>CHOOSE( CONTROL!$C$33, 19.9313, 19.9298) * CHOOSE(CONTROL!$C$16, $D$10, 100%, $F$10)</f>
        <v>19.9313</v>
      </c>
      <c r="G683" s="8">
        <f>CHOOSE( CONTROL!$C$33, 18.9485, 18.947) * CHOOSE( CONTROL!$C$16, $D$10, 100%, $F$10)</f>
        <v>18.948499999999999</v>
      </c>
      <c r="H683" s="4">
        <f>CHOOSE( CONTROL!$C$33, 19.9271, 19.9256) * CHOOSE(CONTROL!$C$16, $D$10, 100%, $F$10)</f>
        <v>19.927099999999999</v>
      </c>
      <c r="I683" s="8">
        <f>CHOOSE( CONTROL!$C$33, 18.6883, 18.6868) * CHOOSE(CONTROL!$C$16, $D$10, 100%, $F$10)</f>
        <v>18.688300000000002</v>
      </c>
      <c r="J683" s="4">
        <f>CHOOSE( CONTROL!$C$33, 18.5618, 18.5603) * CHOOSE(CONTROL!$C$16, $D$10, 100%, $F$10)</f>
        <v>18.561800000000002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1.2927</v>
      </c>
      <c r="Q683" s="9">
        <v>19.688099999999999</v>
      </c>
      <c r="R683" s="9"/>
      <c r="S683" s="11"/>
    </row>
    <row r="684" spans="1:19" ht="15" customHeight="1">
      <c r="A684" s="13">
        <v>62001</v>
      </c>
      <c r="B684" s="8">
        <f>CHOOSE( CONTROL!$C$33, 18.7529, 18.7513) * CHOOSE(CONTROL!$C$16, $D$10, 100%, $F$10)</f>
        <v>18.7529</v>
      </c>
      <c r="C684" s="8">
        <f>CHOOSE( CONTROL!$C$33, 18.7609, 18.7593) * CHOOSE(CONTROL!$C$16, $D$10, 100%, $F$10)</f>
        <v>18.760899999999999</v>
      </c>
      <c r="D684" s="8">
        <f>CHOOSE( CONTROL!$C$33, 18.7835, 18.7819) * CHOOSE( CONTROL!$C$16, $D$10, 100%, $F$10)</f>
        <v>18.7835</v>
      </c>
      <c r="E684" s="12">
        <f>CHOOSE( CONTROL!$C$33, 18.7741, 18.7725) * CHOOSE( CONTROL!$C$16, $D$10, 100%, $F$10)</f>
        <v>18.774100000000001</v>
      </c>
      <c r="F684" s="4">
        <f>CHOOSE( CONTROL!$C$33, 19.5298, 19.5283) * CHOOSE(CONTROL!$C$16, $D$10, 100%, $F$10)</f>
        <v>19.529800000000002</v>
      </c>
      <c r="G684" s="8">
        <f>CHOOSE( CONTROL!$C$33, 18.5525, 18.551) * CHOOSE( CONTROL!$C$16, $D$10, 100%, $F$10)</f>
        <v>18.552499999999998</v>
      </c>
      <c r="H684" s="4">
        <f>CHOOSE( CONTROL!$C$33, 19.5312, 19.5297) * CHOOSE(CONTROL!$C$16, $D$10, 100%, $F$10)</f>
        <v>19.531199999999998</v>
      </c>
      <c r="I684" s="8">
        <f>CHOOSE( CONTROL!$C$33, 18.2989, 18.2974) * CHOOSE(CONTROL!$C$16, $D$10, 100%, $F$10)</f>
        <v>18.2989</v>
      </c>
      <c r="J684" s="4">
        <f>CHOOSE( CONTROL!$C$33, 18.173, 18.1715) * CHOOSE(CONTROL!$C$16, $D$10, 100%, $F$10)</f>
        <v>18.172999999999998</v>
      </c>
      <c r="K684" s="4"/>
      <c r="L684" s="9">
        <v>29.7257</v>
      </c>
      <c r="M684" s="9">
        <v>11.6745</v>
      </c>
      <c r="N684" s="9">
        <v>4.7850000000000001</v>
      </c>
      <c r="O684" s="9">
        <v>0.36199999999999999</v>
      </c>
      <c r="P684" s="9">
        <v>1.2509999999999999</v>
      </c>
      <c r="Q684" s="9">
        <v>19.053000000000001</v>
      </c>
      <c r="R684" s="9"/>
      <c r="S684" s="11"/>
    </row>
    <row r="685" spans="1:19" ht="15" customHeight="1">
      <c r="A685" s="13">
        <v>62032</v>
      </c>
      <c r="B685" s="8">
        <f>CHOOSE( CONTROL!$C$33, 19.5844, 19.5833) * CHOOSE(CONTROL!$C$16, $D$10, 100%, $F$10)</f>
        <v>19.584399999999999</v>
      </c>
      <c r="C685" s="8">
        <f>CHOOSE( CONTROL!$C$33, 19.5898, 19.5886) * CHOOSE(CONTROL!$C$16, $D$10, 100%, $F$10)</f>
        <v>19.5898</v>
      </c>
      <c r="D685" s="8">
        <f>CHOOSE( CONTROL!$C$33, 19.6185, 19.6174) * CHOOSE( CONTROL!$C$16, $D$10, 100%, $F$10)</f>
        <v>19.618500000000001</v>
      </c>
      <c r="E685" s="12">
        <f>CHOOSE( CONTROL!$C$33, 19.6085, 19.6073) * CHOOSE( CONTROL!$C$16, $D$10, 100%, $F$10)</f>
        <v>19.608499999999999</v>
      </c>
      <c r="F685" s="4">
        <f>CHOOSE( CONTROL!$C$33, 20.3631, 20.3619) * CHOOSE(CONTROL!$C$16, $D$10, 100%, $F$10)</f>
        <v>20.363099999999999</v>
      </c>
      <c r="G685" s="8">
        <f>CHOOSE( CONTROL!$C$33, 19.3742, 19.3731) * CHOOSE( CONTROL!$C$16, $D$10, 100%, $F$10)</f>
        <v>19.374199999999998</v>
      </c>
      <c r="H685" s="4">
        <f>CHOOSE( CONTROL!$C$33, 20.3528, 20.3517) * CHOOSE(CONTROL!$C$16, $D$10, 100%, $F$10)</f>
        <v>20.352799999999998</v>
      </c>
      <c r="I685" s="8">
        <f>CHOOSE( CONTROL!$C$33, 19.1067, 19.1056) * CHOOSE(CONTROL!$C$16, $D$10, 100%, $F$10)</f>
        <v>19.1067</v>
      </c>
      <c r="J685" s="4">
        <f>CHOOSE( CONTROL!$C$33, 18.9799, 18.9788) * CHOOSE(CONTROL!$C$16, $D$10, 100%, $F$10)</f>
        <v>18.979900000000001</v>
      </c>
      <c r="K685" s="4"/>
      <c r="L685" s="9">
        <v>31.095300000000002</v>
      </c>
      <c r="M685" s="9">
        <v>12.063700000000001</v>
      </c>
      <c r="N685" s="9">
        <v>4.9444999999999997</v>
      </c>
      <c r="O685" s="9">
        <v>0.37409999999999999</v>
      </c>
      <c r="P685" s="9">
        <v>1.2927</v>
      </c>
      <c r="Q685" s="9">
        <v>19.688099999999999</v>
      </c>
      <c r="R685" s="9"/>
      <c r="S685" s="11"/>
    </row>
    <row r="686" spans="1:19" ht="15" customHeight="1">
      <c r="A686" s="13">
        <v>62062</v>
      </c>
      <c r="B686" s="8">
        <f>CHOOSE( CONTROL!$C$33, 21.1228, 21.1217) * CHOOSE(CONTROL!$C$16, $D$10, 100%, $F$10)</f>
        <v>21.122800000000002</v>
      </c>
      <c r="C686" s="8">
        <f>CHOOSE( CONTROL!$C$33, 21.1279, 21.1268) * CHOOSE(CONTROL!$C$16, $D$10, 100%, $F$10)</f>
        <v>21.1279</v>
      </c>
      <c r="D686" s="8">
        <f>CHOOSE( CONTROL!$C$33, 21.1076, 21.1064) * CHOOSE( CONTROL!$C$16, $D$10, 100%, $F$10)</f>
        <v>21.107600000000001</v>
      </c>
      <c r="E686" s="12">
        <f>CHOOSE( CONTROL!$C$33, 21.1145, 21.1133) * CHOOSE( CONTROL!$C$16, $D$10, 100%, $F$10)</f>
        <v>21.1145</v>
      </c>
      <c r="F686" s="4">
        <f>CHOOSE( CONTROL!$C$33, 21.7857, 21.7845) * CHOOSE(CONTROL!$C$16, $D$10, 100%, $F$10)</f>
        <v>21.785699999999999</v>
      </c>
      <c r="G686" s="8">
        <f>CHOOSE( CONTROL!$C$33, 20.8641, 20.863) * CHOOSE( CONTROL!$C$16, $D$10, 100%, $F$10)</f>
        <v>20.864100000000001</v>
      </c>
      <c r="H686" s="4">
        <f>CHOOSE( CONTROL!$C$33, 21.7556, 21.7545) * CHOOSE(CONTROL!$C$16, $D$10, 100%, $F$10)</f>
        <v>21.755600000000001</v>
      </c>
      <c r="I686" s="8">
        <f>CHOOSE( CONTROL!$C$33, 20.6453, 20.6442) * CHOOSE(CONTROL!$C$16, $D$10, 100%, $F$10)</f>
        <v>20.645299999999999</v>
      </c>
      <c r="J686" s="4">
        <f>CHOOSE( CONTROL!$C$33, 20.4699, 20.4688) * CHOOSE(CONTROL!$C$16, $D$10, 100%, $F$10)</f>
        <v>20.469899999999999</v>
      </c>
      <c r="K686" s="4"/>
      <c r="L686" s="9">
        <v>28.360600000000002</v>
      </c>
      <c r="M686" s="9">
        <v>11.6745</v>
      </c>
      <c r="N686" s="9">
        <v>4.7850000000000001</v>
      </c>
      <c r="O686" s="9">
        <v>0.36199999999999999</v>
      </c>
      <c r="P686" s="9">
        <v>1.2509999999999999</v>
      </c>
      <c r="Q686" s="9">
        <v>19.053000000000001</v>
      </c>
      <c r="R686" s="9"/>
      <c r="S686" s="11"/>
    </row>
    <row r="687" spans="1:19" ht="15" customHeight="1">
      <c r="A687" s="13">
        <v>62093</v>
      </c>
      <c r="B687" s="8">
        <f>CHOOSE( CONTROL!$C$33, 21.0843, 21.0832) * CHOOSE(CONTROL!$C$16, $D$10, 100%, $F$10)</f>
        <v>21.084299999999999</v>
      </c>
      <c r="C687" s="8">
        <f>CHOOSE( CONTROL!$C$33, 21.0894, 21.0883) * CHOOSE(CONTROL!$C$16, $D$10, 100%, $F$10)</f>
        <v>21.089400000000001</v>
      </c>
      <c r="D687" s="8">
        <f>CHOOSE( CONTROL!$C$33, 21.0706, 21.0695) * CHOOSE( CONTROL!$C$16, $D$10, 100%, $F$10)</f>
        <v>21.070599999999999</v>
      </c>
      <c r="E687" s="12">
        <f>CHOOSE( CONTROL!$C$33, 21.0769, 21.0758) * CHOOSE( CONTROL!$C$16, $D$10, 100%, $F$10)</f>
        <v>21.076899999999998</v>
      </c>
      <c r="F687" s="4">
        <f>CHOOSE( CONTROL!$C$33, 21.7472, 21.7461) * CHOOSE(CONTROL!$C$16, $D$10, 100%, $F$10)</f>
        <v>21.747199999999999</v>
      </c>
      <c r="G687" s="8">
        <f>CHOOSE( CONTROL!$C$33, 20.8272, 20.8261) * CHOOSE( CONTROL!$C$16, $D$10, 100%, $F$10)</f>
        <v>20.827200000000001</v>
      </c>
      <c r="H687" s="4">
        <f>CHOOSE( CONTROL!$C$33, 21.7177, 21.7166) * CHOOSE(CONTROL!$C$16, $D$10, 100%, $F$10)</f>
        <v>21.717700000000001</v>
      </c>
      <c r="I687" s="8">
        <f>CHOOSE( CONTROL!$C$33, 20.6125, 20.6115) * CHOOSE(CONTROL!$C$16, $D$10, 100%, $F$10)</f>
        <v>20.612500000000001</v>
      </c>
      <c r="J687" s="4">
        <f>CHOOSE( CONTROL!$C$33, 20.4326, 20.4315) * CHOOSE(CONTROL!$C$16, $D$10, 100%, $F$10)</f>
        <v>20.432600000000001</v>
      </c>
      <c r="K687" s="4"/>
      <c r="L687" s="9">
        <v>29.306000000000001</v>
      </c>
      <c r="M687" s="9">
        <v>12.063700000000001</v>
      </c>
      <c r="N687" s="9">
        <v>4.9444999999999997</v>
      </c>
      <c r="O687" s="9">
        <v>0.37409999999999999</v>
      </c>
      <c r="P687" s="9">
        <v>1.2927</v>
      </c>
      <c r="Q687" s="9">
        <v>19.688099999999999</v>
      </c>
      <c r="R687" s="9"/>
      <c r="S687" s="11"/>
    </row>
    <row r="688" spans="1:19" ht="15" customHeight="1">
      <c r="A688" s="13">
        <v>62124</v>
      </c>
      <c r="B688" s="8">
        <f>CHOOSE( CONTROL!$C$33, 21.7067, 21.7056) * CHOOSE(CONTROL!$C$16, $D$10, 100%, $F$10)</f>
        <v>21.706700000000001</v>
      </c>
      <c r="C688" s="8">
        <f>CHOOSE( CONTROL!$C$33, 21.7118, 21.7107) * CHOOSE(CONTROL!$C$16, $D$10, 100%, $F$10)</f>
        <v>21.7118</v>
      </c>
      <c r="D688" s="8">
        <f>CHOOSE( CONTROL!$C$33, 21.7042, 21.7031) * CHOOSE( CONTROL!$C$16, $D$10, 100%, $F$10)</f>
        <v>21.7042</v>
      </c>
      <c r="E688" s="12">
        <f>CHOOSE( CONTROL!$C$33, 21.7064, 21.7053) * CHOOSE( CONTROL!$C$16, $D$10, 100%, $F$10)</f>
        <v>21.706399999999999</v>
      </c>
      <c r="F688" s="4">
        <f>CHOOSE( CONTROL!$C$33, 22.3696, 22.3685) * CHOOSE(CONTROL!$C$16, $D$10, 100%, $F$10)</f>
        <v>22.369599999999998</v>
      </c>
      <c r="G688" s="8">
        <f>CHOOSE( CONTROL!$C$33, 21.4468, 21.4457) * CHOOSE( CONTROL!$C$16, $D$10, 100%, $F$10)</f>
        <v>21.4468</v>
      </c>
      <c r="H688" s="4">
        <f>CHOOSE( CONTROL!$C$33, 22.3314, 22.3303) * CHOOSE(CONTROL!$C$16, $D$10, 100%, $F$10)</f>
        <v>22.331399999999999</v>
      </c>
      <c r="I688" s="8">
        <f>CHOOSE( CONTROL!$C$33, 21.2068, 21.2057) * CHOOSE(CONTROL!$C$16, $D$10, 100%, $F$10)</f>
        <v>21.206800000000001</v>
      </c>
      <c r="J688" s="4">
        <f>CHOOSE( CONTROL!$C$33, 21.0353, 21.0342) * CHOOSE(CONTROL!$C$16, $D$10, 100%, $F$10)</f>
        <v>21.035299999999999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" customHeight="1">
      <c r="A689" s="13">
        <v>62152</v>
      </c>
      <c r="B689" s="8">
        <f>CHOOSE( CONTROL!$C$33, 20.3024, 20.3013) * CHOOSE(CONTROL!$C$16, $D$10, 100%, $F$10)</f>
        <v>20.302399999999999</v>
      </c>
      <c r="C689" s="8">
        <f>CHOOSE( CONTROL!$C$33, 20.3075, 20.3064) * CHOOSE(CONTROL!$C$16, $D$10, 100%, $F$10)</f>
        <v>20.307500000000001</v>
      </c>
      <c r="D689" s="8">
        <f>CHOOSE( CONTROL!$C$33, 20.2997, 20.2986) * CHOOSE( CONTROL!$C$16, $D$10, 100%, $F$10)</f>
        <v>20.299700000000001</v>
      </c>
      <c r="E689" s="12">
        <f>CHOOSE( CONTROL!$C$33, 20.302, 20.3009) * CHOOSE( CONTROL!$C$16, $D$10, 100%, $F$10)</f>
        <v>20.302</v>
      </c>
      <c r="F689" s="4">
        <f>CHOOSE( CONTROL!$C$33, 20.9653, 20.9641) * CHOOSE(CONTROL!$C$16, $D$10, 100%, $F$10)</f>
        <v>20.965299999999999</v>
      </c>
      <c r="G689" s="8">
        <f>CHOOSE( CONTROL!$C$33, 20.0619, 20.0608) * CHOOSE( CONTROL!$C$16, $D$10, 100%, $F$10)</f>
        <v>20.061900000000001</v>
      </c>
      <c r="H689" s="4">
        <f>CHOOSE( CONTROL!$C$33, 20.9466, 20.9455) * CHOOSE(CONTROL!$C$16, $D$10, 100%, $F$10)</f>
        <v>20.9466</v>
      </c>
      <c r="I689" s="8">
        <f>CHOOSE( CONTROL!$C$33, 19.8457, 19.8446) * CHOOSE(CONTROL!$C$16, $D$10, 100%, $F$10)</f>
        <v>19.845700000000001</v>
      </c>
      <c r="J689" s="4">
        <f>CHOOSE( CONTROL!$C$33, 19.6755, 19.6744) * CHOOSE(CONTROL!$C$16, $D$10, 100%, $F$10)</f>
        <v>19.6755</v>
      </c>
      <c r="K689" s="4"/>
      <c r="L689" s="9">
        <v>26.469899999999999</v>
      </c>
      <c r="M689" s="9">
        <v>10.8962</v>
      </c>
      <c r="N689" s="9">
        <v>4.4660000000000002</v>
      </c>
      <c r="O689" s="9">
        <v>0.33789999999999998</v>
      </c>
      <c r="P689" s="9">
        <v>1.1676</v>
      </c>
      <c r="Q689" s="9">
        <v>17.782800000000002</v>
      </c>
      <c r="R689" s="9"/>
      <c r="S689" s="11"/>
    </row>
    <row r="690" spans="1:19" ht="15" customHeight="1">
      <c r="A690" s="13">
        <v>62183</v>
      </c>
      <c r="B690" s="8">
        <f>CHOOSE( CONTROL!$C$33, 19.8699, 19.8687) * CHOOSE(CONTROL!$C$16, $D$10, 100%, $F$10)</f>
        <v>19.869900000000001</v>
      </c>
      <c r="C690" s="8">
        <f>CHOOSE( CONTROL!$C$33, 19.875, 19.8738) * CHOOSE(CONTROL!$C$16, $D$10, 100%, $F$10)</f>
        <v>19.875</v>
      </c>
      <c r="D690" s="8">
        <f>CHOOSE( CONTROL!$C$33, 19.8664, 19.8653) * CHOOSE( CONTROL!$C$16, $D$10, 100%, $F$10)</f>
        <v>19.866399999999999</v>
      </c>
      <c r="E690" s="12">
        <f>CHOOSE( CONTROL!$C$33, 19.869, 19.8679) * CHOOSE( CONTROL!$C$16, $D$10, 100%, $F$10)</f>
        <v>19.869</v>
      </c>
      <c r="F690" s="4">
        <f>CHOOSE( CONTROL!$C$33, 20.5327, 20.5316) * CHOOSE(CONTROL!$C$16, $D$10, 100%, $F$10)</f>
        <v>20.532699999999998</v>
      </c>
      <c r="G690" s="8">
        <f>CHOOSE( CONTROL!$C$33, 19.6349, 19.6337) * CHOOSE( CONTROL!$C$16, $D$10, 100%, $F$10)</f>
        <v>19.634899999999998</v>
      </c>
      <c r="H690" s="4">
        <f>CHOOSE( CONTROL!$C$33, 20.5201, 20.519) * CHOOSE(CONTROL!$C$16, $D$10, 100%, $F$10)</f>
        <v>20.520099999999999</v>
      </c>
      <c r="I690" s="8">
        <f>CHOOSE( CONTROL!$C$33, 19.4244, 19.4233) * CHOOSE(CONTROL!$C$16, $D$10, 100%, $F$10)</f>
        <v>19.424399999999999</v>
      </c>
      <c r="J690" s="4">
        <f>CHOOSE( CONTROL!$C$33, 19.2567, 19.2556) * CHOOSE(CONTROL!$C$16, $D$10, 100%, $F$10)</f>
        <v>19.256699999999999</v>
      </c>
      <c r="K690" s="4"/>
      <c r="L690" s="9">
        <v>29.306000000000001</v>
      </c>
      <c r="M690" s="9">
        <v>12.063700000000001</v>
      </c>
      <c r="N690" s="9">
        <v>4.9444999999999997</v>
      </c>
      <c r="O690" s="9">
        <v>0.37409999999999999</v>
      </c>
      <c r="P690" s="9">
        <v>1.2927</v>
      </c>
      <c r="Q690" s="9">
        <v>19.688099999999999</v>
      </c>
      <c r="R690" s="9"/>
      <c r="S690" s="11"/>
    </row>
    <row r="691" spans="1:19" ht="15" customHeight="1">
      <c r="A691" s="13">
        <v>62213</v>
      </c>
      <c r="B691" s="8">
        <f>CHOOSE( CONTROL!$C$33, 20.1729, 20.1718) * CHOOSE(CONTROL!$C$16, $D$10, 100%, $F$10)</f>
        <v>20.172899999999998</v>
      </c>
      <c r="C691" s="8">
        <f>CHOOSE( CONTROL!$C$33, 20.1774, 20.1763) * CHOOSE(CONTROL!$C$16, $D$10, 100%, $F$10)</f>
        <v>20.177399999999999</v>
      </c>
      <c r="D691" s="8">
        <f>CHOOSE( CONTROL!$C$33, 20.2063, 20.2052) * CHOOSE( CONTROL!$C$16, $D$10, 100%, $F$10)</f>
        <v>20.206299999999999</v>
      </c>
      <c r="E691" s="12">
        <f>CHOOSE( CONTROL!$C$33, 20.1962, 20.1951) * CHOOSE( CONTROL!$C$16, $D$10, 100%, $F$10)</f>
        <v>20.196200000000001</v>
      </c>
      <c r="F691" s="4">
        <f>CHOOSE( CONTROL!$C$33, 20.9512, 20.95) * CHOOSE(CONTROL!$C$16, $D$10, 100%, $F$10)</f>
        <v>20.9512</v>
      </c>
      <c r="G691" s="8">
        <f>CHOOSE( CONTROL!$C$33, 19.9538, 19.9527) * CHOOSE( CONTROL!$C$16, $D$10, 100%, $F$10)</f>
        <v>19.953800000000001</v>
      </c>
      <c r="H691" s="4">
        <f>CHOOSE( CONTROL!$C$33, 20.9327, 20.9316) * CHOOSE(CONTROL!$C$16, $D$10, 100%, $F$10)</f>
        <v>20.932700000000001</v>
      </c>
      <c r="I691" s="8">
        <f>CHOOSE( CONTROL!$C$33, 19.6752, 19.6741) * CHOOSE(CONTROL!$C$16, $D$10, 100%, $F$10)</f>
        <v>19.6752</v>
      </c>
      <c r="J691" s="4">
        <f>CHOOSE( CONTROL!$C$33, 19.5493, 19.5482) * CHOOSE(CONTROL!$C$16, $D$10, 100%, $F$10)</f>
        <v>19.549299999999999</v>
      </c>
      <c r="K691" s="4"/>
      <c r="L691" s="9">
        <v>30.092199999999998</v>
      </c>
      <c r="M691" s="9">
        <v>11.6745</v>
      </c>
      <c r="N691" s="9">
        <v>4.7850000000000001</v>
      </c>
      <c r="O691" s="9">
        <v>0.36199999999999999</v>
      </c>
      <c r="P691" s="9">
        <v>1.2509999999999999</v>
      </c>
      <c r="Q691" s="9">
        <v>19.053000000000001</v>
      </c>
      <c r="R691" s="9"/>
      <c r="S691" s="11"/>
    </row>
    <row r="692" spans="1:19" ht="15" customHeight="1">
      <c r="A692" s="13">
        <v>62244</v>
      </c>
      <c r="B692" s="8">
        <f>CHOOSE( CONTROL!$C$33, 20.7126, 20.711) * CHOOSE(CONTROL!$C$16, $D$10, 100%, $F$10)</f>
        <v>20.712599999999998</v>
      </c>
      <c r="C692" s="8">
        <f>CHOOSE( CONTROL!$C$33, 20.7206, 20.719) * CHOOSE(CONTROL!$C$16, $D$10, 100%, $F$10)</f>
        <v>20.720600000000001</v>
      </c>
      <c r="D692" s="8">
        <f>CHOOSE( CONTROL!$C$33, 20.7428, 20.7413) * CHOOSE( CONTROL!$C$16, $D$10, 100%, $F$10)</f>
        <v>20.742799999999999</v>
      </c>
      <c r="E692" s="12">
        <f>CHOOSE( CONTROL!$C$33, 20.7335, 20.732) * CHOOSE( CONTROL!$C$16, $D$10, 100%, $F$10)</f>
        <v>20.733499999999999</v>
      </c>
      <c r="F692" s="4">
        <f>CHOOSE( CONTROL!$C$33, 21.4895, 21.488) * CHOOSE(CONTROL!$C$16, $D$10, 100%, $F$10)</f>
        <v>21.4895</v>
      </c>
      <c r="G692" s="8">
        <f>CHOOSE( CONTROL!$C$33, 20.4846, 20.4831) * CHOOSE( CONTROL!$C$16, $D$10, 100%, $F$10)</f>
        <v>20.4846</v>
      </c>
      <c r="H692" s="4">
        <f>CHOOSE( CONTROL!$C$33, 21.4636, 21.462) * CHOOSE(CONTROL!$C$16, $D$10, 100%, $F$10)</f>
        <v>21.4636</v>
      </c>
      <c r="I692" s="8">
        <f>CHOOSE( CONTROL!$C$33, 20.1964, 20.1948) * CHOOSE(CONTROL!$C$16, $D$10, 100%, $F$10)</f>
        <v>20.196400000000001</v>
      </c>
      <c r="J692" s="4">
        <f>CHOOSE( CONTROL!$C$33, 20.0706, 20.0691) * CHOOSE(CONTROL!$C$16, $D$10, 100%, $F$10)</f>
        <v>20.070599999999999</v>
      </c>
      <c r="K692" s="4"/>
      <c r="L692" s="9">
        <v>30.7165</v>
      </c>
      <c r="M692" s="9">
        <v>12.063700000000001</v>
      </c>
      <c r="N692" s="9">
        <v>4.9444999999999997</v>
      </c>
      <c r="O692" s="9">
        <v>0.37409999999999999</v>
      </c>
      <c r="P692" s="9">
        <v>1.2927</v>
      </c>
      <c r="Q692" s="9">
        <v>19.688099999999999</v>
      </c>
      <c r="R692" s="9"/>
      <c r="S692" s="11"/>
    </row>
    <row r="693" spans="1:19" ht="15" customHeight="1">
      <c r="A693" s="13">
        <v>62274</v>
      </c>
      <c r="B693" s="8">
        <f>CHOOSE( CONTROL!$C$33, 20.3794, 20.3778) * CHOOSE(CONTROL!$C$16, $D$10, 100%, $F$10)</f>
        <v>20.3794</v>
      </c>
      <c r="C693" s="8">
        <f>CHOOSE( CONTROL!$C$33, 20.3874, 20.3858) * CHOOSE(CONTROL!$C$16, $D$10, 100%, $F$10)</f>
        <v>20.3874</v>
      </c>
      <c r="D693" s="8">
        <f>CHOOSE( CONTROL!$C$33, 20.4098, 20.4082) * CHOOSE( CONTROL!$C$16, $D$10, 100%, $F$10)</f>
        <v>20.409800000000001</v>
      </c>
      <c r="E693" s="12">
        <f>CHOOSE( CONTROL!$C$33, 20.4005, 20.3989) * CHOOSE( CONTROL!$C$16, $D$10, 100%, $F$10)</f>
        <v>20.400500000000001</v>
      </c>
      <c r="F693" s="4">
        <f>CHOOSE( CONTROL!$C$33, 21.1563, 21.1547) * CHOOSE(CONTROL!$C$16, $D$10, 100%, $F$10)</f>
        <v>21.156300000000002</v>
      </c>
      <c r="G693" s="8">
        <f>CHOOSE( CONTROL!$C$33, 20.1562, 20.1546) * CHOOSE( CONTROL!$C$16, $D$10, 100%, $F$10)</f>
        <v>20.156199999999998</v>
      </c>
      <c r="H693" s="4">
        <f>CHOOSE( CONTROL!$C$33, 21.135, 21.1335) * CHOOSE(CONTROL!$C$16, $D$10, 100%, $F$10)</f>
        <v>21.135000000000002</v>
      </c>
      <c r="I693" s="8">
        <f>CHOOSE( CONTROL!$C$33, 19.8741, 19.8726) * CHOOSE(CONTROL!$C$16, $D$10, 100%, $F$10)</f>
        <v>19.874099999999999</v>
      </c>
      <c r="J693" s="4">
        <f>CHOOSE( CONTROL!$C$33, 19.748, 19.7464) * CHOOSE(CONTROL!$C$16, $D$10, 100%, $F$10)</f>
        <v>19.748000000000001</v>
      </c>
      <c r="K693" s="4"/>
      <c r="L693" s="9">
        <v>29.7257</v>
      </c>
      <c r="M693" s="9">
        <v>11.6745</v>
      </c>
      <c r="N693" s="9">
        <v>4.7850000000000001</v>
      </c>
      <c r="O693" s="9">
        <v>0.36199999999999999</v>
      </c>
      <c r="P693" s="9">
        <v>1.2509999999999999</v>
      </c>
      <c r="Q693" s="9">
        <v>19.053000000000001</v>
      </c>
      <c r="R693" s="9"/>
      <c r="S693" s="11"/>
    </row>
    <row r="694" spans="1:19" ht="15" customHeight="1">
      <c r="A694" s="13">
        <v>62305</v>
      </c>
      <c r="B694" s="8">
        <f>CHOOSE( CONTROL!$C$33, 21.2569, 21.2553) * CHOOSE(CONTROL!$C$16, $D$10, 100%, $F$10)</f>
        <v>21.256900000000002</v>
      </c>
      <c r="C694" s="8">
        <f>CHOOSE( CONTROL!$C$33, 21.2649, 21.2633) * CHOOSE(CONTROL!$C$16, $D$10, 100%, $F$10)</f>
        <v>21.264900000000001</v>
      </c>
      <c r="D694" s="8">
        <f>CHOOSE( CONTROL!$C$33, 21.2875, 21.286) * CHOOSE( CONTROL!$C$16, $D$10, 100%, $F$10)</f>
        <v>21.287500000000001</v>
      </c>
      <c r="E694" s="12">
        <f>CHOOSE( CONTROL!$C$33, 21.2781, 21.2766) * CHOOSE( CONTROL!$C$16, $D$10, 100%, $F$10)</f>
        <v>21.278099999999998</v>
      </c>
      <c r="F694" s="4">
        <f>CHOOSE( CONTROL!$C$33, 22.0338, 22.0323) * CHOOSE(CONTROL!$C$16, $D$10, 100%, $F$10)</f>
        <v>22.033799999999999</v>
      </c>
      <c r="G694" s="8">
        <f>CHOOSE( CONTROL!$C$33, 21.0216, 21.0201) * CHOOSE( CONTROL!$C$16, $D$10, 100%, $F$10)</f>
        <v>21.021599999999999</v>
      </c>
      <c r="H694" s="4">
        <f>CHOOSE( CONTROL!$C$33, 22.0003, 21.9987) * CHOOSE(CONTROL!$C$16, $D$10, 100%, $F$10)</f>
        <v>22.000299999999999</v>
      </c>
      <c r="I694" s="8">
        <f>CHOOSE( CONTROL!$C$33, 20.725, 20.7235) * CHOOSE(CONTROL!$C$16, $D$10, 100%, $F$10)</f>
        <v>20.725000000000001</v>
      </c>
      <c r="J694" s="4">
        <f>CHOOSE( CONTROL!$C$33, 20.5977, 20.5961) * CHOOSE(CONTROL!$C$16, $D$10, 100%, $F$10)</f>
        <v>20.5977</v>
      </c>
      <c r="K694" s="4"/>
      <c r="L694" s="9">
        <v>30.7165</v>
      </c>
      <c r="M694" s="9">
        <v>12.063700000000001</v>
      </c>
      <c r="N694" s="9">
        <v>4.9444999999999997</v>
      </c>
      <c r="O694" s="9">
        <v>0.37409999999999999</v>
      </c>
      <c r="P694" s="9">
        <v>1.2927</v>
      </c>
      <c r="Q694" s="9">
        <v>19.688099999999999</v>
      </c>
      <c r="R694" s="9"/>
      <c r="S694" s="11"/>
    </row>
    <row r="695" spans="1:19" ht="15" customHeight="1">
      <c r="A695" s="13">
        <v>62336</v>
      </c>
      <c r="B695" s="8">
        <f>CHOOSE( CONTROL!$C$33, 19.615, 19.6134) * CHOOSE(CONTROL!$C$16, $D$10, 100%, $F$10)</f>
        <v>19.614999999999998</v>
      </c>
      <c r="C695" s="8">
        <f>CHOOSE( CONTROL!$C$33, 19.623, 19.6214) * CHOOSE(CONTROL!$C$16, $D$10, 100%, $F$10)</f>
        <v>19.623000000000001</v>
      </c>
      <c r="D695" s="8">
        <f>CHOOSE( CONTROL!$C$33, 19.6457, 19.6441) * CHOOSE( CONTROL!$C$16, $D$10, 100%, $F$10)</f>
        <v>19.645700000000001</v>
      </c>
      <c r="E695" s="12">
        <f>CHOOSE( CONTROL!$C$33, 19.6363, 19.6347) * CHOOSE( CONTROL!$C$16, $D$10, 100%, $F$10)</f>
        <v>19.636299999999999</v>
      </c>
      <c r="F695" s="4">
        <f>CHOOSE( CONTROL!$C$33, 20.3919, 20.3903) * CHOOSE(CONTROL!$C$16, $D$10, 100%, $F$10)</f>
        <v>20.3919</v>
      </c>
      <c r="G695" s="8">
        <f>CHOOSE( CONTROL!$C$33, 19.4027, 19.4011) * CHOOSE( CONTROL!$C$16, $D$10, 100%, $F$10)</f>
        <v>19.402699999999999</v>
      </c>
      <c r="H695" s="4">
        <f>CHOOSE( CONTROL!$C$33, 20.3813, 20.3797) * CHOOSE(CONTROL!$C$16, $D$10, 100%, $F$10)</f>
        <v>20.3813</v>
      </c>
      <c r="I695" s="8">
        <f>CHOOSE( CONTROL!$C$33, 19.1345, 19.133) * CHOOSE(CONTROL!$C$16, $D$10, 100%, $F$10)</f>
        <v>19.134499999999999</v>
      </c>
      <c r="J695" s="4">
        <f>CHOOSE( CONTROL!$C$33, 19.0078, 19.0063) * CHOOSE(CONTROL!$C$16, $D$10, 100%, $F$10)</f>
        <v>19.0078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1.2927</v>
      </c>
      <c r="Q695" s="9">
        <v>19.688099999999999</v>
      </c>
      <c r="R695" s="9"/>
      <c r="S695" s="11"/>
    </row>
    <row r="696" spans="1:19" ht="15" customHeight="1">
      <c r="A696" s="13">
        <v>62366</v>
      </c>
      <c r="B696" s="8">
        <f>CHOOSE( CONTROL!$C$33, 19.2038, 19.2023) * CHOOSE(CONTROL!$C$16, $D$10, 100%, $F$10)</f>
        <v>19.203800000000001</v>
      </c>
      <c r="C696" s="8">
        <f>CHOOSE( CONTROL!$C$33, 19.2118, 19.2103) * CHOOSE(CONTROL!$C$16, $D$10, 100%, $F$10)</f>
        <v>19.2118</v>
      </c>
      <c r="D696" s="8">
        <f>CHOOSE( CONTROL!$C$33, 19.2344, 19.2328) * CHOOSE( CONTROL!$C$16, $D$10, 100%, $F$10)</f>
        <v>19.234400000000001</v>
      </c>
      <c r="E696" s="12">
        <f>CHOOSE( CONTROL!$C$33, 19.225, 19.2234) * CHOOSE( CONTROL!$C$16, $D$10, 100%, $F$10)</f>
        <v>19.225000000000001</v>
      </c>
      <c r="F696" s="4">
        <f>CHOOSE( CONTROL!$C$33, 19.9807, 19.9792) * CHOOSE(CONTROL!$C$16, $D$10, 100%, $F$10)</f>
        <v>19.980699999999999</v>
      </c>
      <c r="G696" s="8">
        <f>CHOOSE( CONTROL!$C$33, 18.9971, 18.9956) * CHOOSE( CONTROL!$C$16, $D$10, 100%, $F$10)</f>
        <v>18.9971</v>
      </c>
      <c r="H696" s="4">
        <f>CHOOSE( CONTROL!$C$33, 19.9758, 19.9743) * CHOOSE(CONTROL!$C$16, $D$10, 100%, $F$10)</f>
        <v>19.9758</v>
      </c>
      <c r="I696" s="8">
        <f>CHOOSE( CONTROL!$C$33, 18.7358, 18.7342) * CHOOSE(CONTROL!$C$16, $D$10, 100%, $F$10)</f>
        <v>18.735800000000001</v>
      </c>
      <c r="J696" s="4">
        <f>CHOOSE( CONTROL!$C$33, 18.6097, 18.6081) * CHOOSE(CONTROL!$C$16, $D$10, 100%, $F$10)</f>
        <v>18.6097</v>
      </c>
      <c r="K696" s="4"/>
      <c r="L696" s="9">
        <v>29.7257</v>
      </c>
      <c r="M696" s="9">
        <v>11.6745</v>
      </c>
      <c r="N696" s="9">
        <v>4.7850000000000001</v>
      </c>
      <c r="O696" s="9">
        <v>0.36199999999999999</v>
      </c>
      <c r="P696" s="9">
        <v>1.2509999999999999</v>
      </c>
      <c r="Q696" s="9">
        <v>19.053000000000001</v>
      </c>
      <c r="R696" s="9"/>
      <c r="S696" s="11"/>
    </row>
    <row r="697" spans="1:19" ht="15" customHeight="1">
      <c r="A697" s="13">
        <v>62397</v>
      </c>
      <c r="B697" s="8">
        <f>CHOOSE( CONTROL!$C$33, 20.0554, 20.0542) * CHOOSE(CONTROL!$C$16, $D$10, 100%, $F$10)</f>
        <v>20.055399999999999</v>
      </c>
      <c r="C697" s="8">
        <f>CHOOSE( CONTROL!$C$33, 20.0607, 20.0596) * CHOOSE(CONTROL!$C$16, $D$10, 100%, $F$10)</f>
        <v>20.060700000000001</v>
      </c>
      <c r="D697" s="8">
        <f>CHOOSE( CONTROL!$C$33, 20.0895, 20.0884) * CHOOSE( CONTROL!$C$16, $D$10, 100%, $F$10)</f>
        <v>20.089500000000001</v>
      </c>
      <c r="E697" s="12">
        <f>CHOOSE( CONTROL!$C$33, 20.0794, 20.0783) * CHOOSE( CONTROL!$C$16, $D$10, 100%, $F$10)</f>
        <v>20.0794</v>
      </c>
      <c r="F697" s="4">
        <f>CHOOSE( CONTROL!$C$33, 20.834, 20.8329) * CHOOSE(CONTROL!$C$16, $D$10, 100%, $F$10)</f>
        <v>20.834</v>
      </c>
      <c r="G697" s="8">
        <f>CHOOSE( CONTROL!$C$33, 19.8386, 19.8375) * CHOOSE( CONTROL!$C$16, $D$10, 100%, $F$10)</f>
        <v>19.8386</v>
      </c>
      <c r="H697" s="4">
        <f>CHOOSE( CONTROL!$C$33, 20.8172, 20.8161) * CHOOSE(CONTROL!$C$16, $D$10, 100%, $F$10)</f>
        <v>20.8172</v>
      </c>
      <c r="I697" s="8">
        <f>CHOOSE( CONTROL!$C$33, 19.563, 19.5619) * CHOOSE(CONTROL!$C$16, $D$10, 100%, $F$10)</f>
        <v>19.562999999999999</v>
      </c>
      <c r="J697" s="4">
        <f>CHOOSE( CONTROL!$C$33, 19.4359, 19.4348) * CHOOSE(CONTROL!$C$16, $D$10, 100%, $F$10)</f>
        <v>19.4359</v>
      </c>
      <c r="K697" s="4"/>
      <c r="L697" s="9">
        <v>31.095300000000002</v>
      </c>
      <c r="M697" s="9">
        <v>12.063700000000001</v>
      </c>
      <c r="N697" s="9">
        <v>4.9444999999999997</v>
      </c>
      <c r="O697" s="9">
        <v>0.37409999999999999</v>
      </c>
      <c r="P697" s="9">
        <v>1.2927</v>
      </c>
      <c r="Q697" s="9">
        <v>19.688099999999999</v>
      </c>
      <c r="R697" s="9"/>
      <c r="S697" s="11"/>
    </row>
    <row r="698" spans="1:19" ht="15" customHeight="1">
      <c r="A698" s="13">
        <v>62427</v>
      </c>
      <c r="B698" s="8">
        <f>CHOOSE( CONTROL!$C$33, 21.6307, 21.6296) * CHOOSE(CONTROL!$C$16, $D$10, 100%, $F$10)</f>
        <v>21.630700000000001</v>
      </c>
      <c r="C698" s="8">
        <f>CHOOSE( CONTROL!$C$33, 21.6358, 21.6347) * CHOOSE(CONTROL!$C$16, $D$10, 100%, $F$10)</f>
        <v>21.6358</v>
      </c>
      <c r="D698" s="8">
        <f>CHOOSE( CONTROL!$C$33, 21.6155, 21.6144) * CHOOSE( CONTROL!$C$16, $D$10, 100%, $F$10)</f>
        <v>21.615500000000001</v>
      </c>
      <c r="E698" s="12">
        <f>CHOOSE( CONTROL!$C$33, 21.6224, 21.6213) * CHOOSE( CONTROL!$C$16, $D$10, 100%, $F$10)</f>
        <v>21.622399999999999</v>
      </c>
      <c r="F698" s="4">
        <f>CHOOSE( CONTROL!$C$33, 22.2936, 22.2925) * CHOOSE(CONTROL!$C$16, $D$10, 100%, $F$10)</f>
        <v>22.293600000000001</v>
      </c>
      <c r="G698" s="8">
        <f>CHOOSE( CONTROL!$C$33, 21.3649, 21.3638) * CHOOSE( CONTROL!$C$16, $D$10, 100%, $F$10)</f>
        <v>21.364899999999999</v>
      </c>
      <c r="H698" s="4">
        <f>CHOOSE( CONTROL!$C$33, 22.2564, 22.2553) * CHOOSE(CONTROL!$C$16, $D$10, 100%, $F$10)</f>
        <v>22.256399999999999</v>
      </c>
      <c r="I698" s="8">
        <f>CHOOSE( CONTROL!$C$33, 21.1373, 21.1362) * CHOOSE(CONTROL!$C$16, $D$10, 100%, $F$10)</f>
        <v>21.1373</v>
      </c>
      <c r="J698" s="4">
        <f>CHOOSE( CONTROL!$C$33, 20.9617, 20.9606) * CHOOSE(CONTROL!$C$16, $D$10, 100%, $F$10)</f>
        <v>20.9617</v>
      </c>
      <c r="K698" s="4"/>
      <c r="L698" s="9">
        <v>28.360600000000002</v>
      </c>
      <c r="M698" s="9">
        <v>11.6745</v>
      </c>
      <c r="N698" s="9">
        <v>4.7850000000000001</v>
      </c>
      <c r="O698" s="9">
        <v>0.36199999999999999</v>
      </c>
      <c r="P698" s="9">
        <v>1.2509999999999999</v>
      </c>
      <c r="Q698" s="9">
        <v>19.053000000000001</v>
      </c>
      <c r="R698" s="9"/>
      <c r="S698" s="11"/>
    </row>
    <row r="699" spans="1:19" ht="15" customHeight="1">
      <c r="A699" s="13">
        <v>62458</v>
      </c>
      <c r="B699" s="8">
        <f>CHOOSE( CONTROL!$C$33, 21.5913, 21.5902) * CHOOSE(CONTROL!$C$16, $D$10, 100%, $F$10)</f>
        <v>21.5913</v>
      </c>
      <c r="C699" s="8">
        <f>CHOOSE( CONTROL!$C$33, 21.5964, 21.5953) * CHOOSE(CONTROL!$C$16, $D$10, 100%, $F$10)</f>
        <v>21.596399999999999</v>
      </c>
      <c r="D699" s="8">
        <f>CHOOSE( CONTROL!$C$33, 21.5776, 21.5764) * CHOOSE( CONTROL!$C$16, $D$10, 100%, $F$10)</f>
        <v>21.5776</v>
      </c>
      <c r="E699" s="12">
        <f>CHOOSE( CONTROL!$C$33, 21.5839, 21.5828) * CHOOSE( CONTROL!$C$16, $D$10, 100%, $F$10)</f>
        <v>21.5839</v>
      </c>
      <c r="F699" s="4">
        <f>CHOOSE( CONTROL!$C$33, 22.2542, 22.2531) * CHOOSE(CONTROL!$C$16, $D$10, 100%, $F$10)</f>
        <v>22.254200000000001</v>
      </c>
      <c r="G699" s="8">
        <f>CHOOSE( CONTROL!$C$33, 21.3271, 21.326) * CHOOSE( CONTROL!$C$16, $D$10, 100%, $F$10)</f>
        <v>21.327100000000002</v>
      </c>
      <c r="H699" s="4">
        <f>CHOOSE( CONTROL!$C$33, 22.2176, 22.2165) * CHOOSE(CONTROL!$C$16, $D$10, 100%, $F$10)</f>
        <v>22.217600000000001</v>
      </c>
      <c r="I699" s="8">
        <f>CHOOSE( CONTROL!$C$33, 21.1037, 21.1026) * CHOOSE(CONTROL!$C$16, $D$10, 100%, $F$10)</f>
        <v>21.1037</v>
      </c>
      <c r="J699" s="4">
        <f>CHOOSE( CONTROL!$C$33, 20.9236, 20.9225) * CHOOSE(CONTROL!$C$16, $D$10, 100%, $F$10)</f>
        <v>20.9236</v>
      </c>
      <c r="K699" s="4"/>
      <c r="L699" s="9">
        <v>29.306000000000001</v>
      </c>
      <c r="M699" s="9">
        <v>12.063700000000001</v>
      </c>
      <c r="N699" s="9">
        <v>4.9444999999999997</v>
      </c>
      <c r="O699" s="9">
        <v>0.37409999999999999</v>
      </c>
      <c r="P699" s="9">
        <v>1.2927</v>
      </c>
      <c r="Q699" s="9">
        <v>19.688099999999999</v>
      </c>
      <c r="R699" s="9"/>
      <c r="S699" s="11"/>
    </row>
    <row r="700" spans="1:19" ht="15" customHeight="1">
      <c r="A700" s="13">
        <v>62489</v>
      </c>
      <c r="B700" s="8">
        <f>CHOOSE( CONTROL!$C$33, 22.2287, 22.2276) * CHOOSE(CONTROL!$C$16, $D$10, 100%, $F$10)</f>
        <v>22.2287</v>
      </c>
      <c r="C700" s="8">
        <f>CHOOSE( CONTROL!$C$33, 22.2338, 22.2327) * CHOOSE(CONTROL!$C$16, $D$10, 100%, $F$10)</f>
        <v>22.233799999999999</v>
      </c>
      <c r="D700" s="8">
        <f>CHOOSE( CONTROL!$C$33, 22.2262, 22.225) * CHOOSE( CONTROL!$C$16, $D$10, 100%, $F$10)</f>
        <v>22.226199999999999</v>
      </c>
      <c r="E700" s="12">
        <f>CHOOSE( CONTROL!$C$33, 22.2284, 22.2273) * CHOOSE( CONTROL!$C$16, $D$10, 100%, $F$10)</f>
        <v>22.228400000000001</v>
      </c>
      <c r="F700" s="4">
        <f>CHOOSE( CONTROL!$C$33, 22.8916, 22.8904) * CHOOSE(CONTROL!$C$16, $D$10, 100%, $F$10)</f>
        <v>22.8916</v>
      </c>
      <c r="G700" s="8">
        <f>CHOOSE( CONTROL!$C$33, 21.9614, 21.9603) * CHOOSE( CONTROL!$C$16, $D$10, 100%, $F$10)</f>
        <v>21.961400000000001</v>
      </c>
      <c r="H700" s="4">
        <f>CHOOSE( CONTROL!$C$33, 22.846, 22.8449) * CHOOSE(CONTROL!$C$16, $D$10, 100%, $F$10)</f>
        <v>22.846</v>
      </c>
      <c r="I700" s="8">
        <f>CHOOSE( CONTROL!$C$33, 21.7124, 21.7113) * CHOOSE(CONTROL!$C$16, $D$10, 100%, $F$10)</f>
        <v>21.712399999999999</v>
      </c>
      <c r="J700" s="4">
        <f>CHOOSE( CONTROL!$C$33, 21.5407, 21.5396) * CHOOSE(CONTROL!$C$16, $D$10, 100%, $F$10)</f>
        <v>21.540700000000001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" customHeight="1">
      <c r="A701" s="13">
        <v>62517</v>
      </c>
      <c r="B701" s="8">
        <f>CHOOSE( CONTROL!$C$33, 20.7906, 20.7895) * CHOOSE(CONTROL!$C$16, $D$10, 100%, $F$10)</f>
        <v>20.790600000000001</v>
      </c>
      <c r="C701" s="8">
        <f>CHOOSE( CONTROL!$C$33, 20.7957, 20.7946) * CHOOSE(CONTROL!$C$16, $D$10, 100%, $F$10)</f>
        <v>20.7957</v>
      </c>
      <c r="D701" s="8">
        <f>CHOOSE( CONTROL!$C$33, 20.7879, 20.7868) * CHOOSE( CONTROL!$C$16, $D$10, 100%, $F$10)</f>
        <v>20.7879</v>
      </c>
      <c r="E701" s="12">
        <f>CHOOSE( CONTROL!$C$33, 20.7902, 20.7891) * CHOOSE( CONTROL!$C$16, $D$10, 100%, $F$10)</f>
        <v>20.790199999999999</v>
      </c>
      <c r="F701" s="4">
        <f>CHOOSE( CONTROL!$C$33, 21.4535, 21.4523) * CHOOSE(CONTROL!$C$16, $D$10, 100%, $F$10)</f>
        <v>21.453499999999998</v>
      </c>
      <c r="G701" s="8">
        <f>CHOOSE( CONTROL!$C$33, 20.5433, 20.5422) * CHOOSE( CONTROL!$C$16, $D$10, 100%, $F$10)</f>
        <v>20.543299999999999</v>
      </c>
      <c r="H701" s="4">
        <f>CHOOSE( CONTROL!$C$33, 21.428, 21.4269) * CHOOSE(CONTROL!$C$16, $D$10, 100%, $F$10)</f>
        <v>21.428000000000001</v>
      </c>
      <c r="I701" s="8">
        <f>CHOOSE( CONTROL!$C$33, 20.3186, 20.3176) * CHOOSE(CONTROL!$C$16, $D$10, 100%, $F$10)</f>
        <v>20.3186</v>
      </c>
      <c r="J701" s="4">
        <f>CHOOSE( CONTROL!$C$33, 20.1482, 20.1471) * CHOOSE(CONTROL!$C$16, $D$10, 100%, $F$10)</f>
        <v>20.148199999999999</v>
      </c>
      <c r="K701" s="4"/>
      <c r="L701" s="9">
        <v>26.469899999999999</v>
      </c>
      <c r="M701" s="9">
        <v>10.8962</v>
      </c>
      <c r="N701" s="9">
        <v>4.4660000000000002</v>
      </c>
      <c r="O701" s="9">
        <v>0.33789999999999998</v>
      </c>
      <c r="P701" s="9">
        <v>1.1676</v>
      </c>
      <c r="Q701" s="9">
        <v>17.782800000000002</v>
      </c>
      <c r="R701" s="9"/>
      <c r="S701" s="11"/>
    </row>
    <row r="702" spans="1:19" ht="15" customHeight="1">
      <c r="A702" s="13">
        <v>62548</v>
      </c>
      <c r="B702" s="8">
        <f>CHOOSE( CONTROL!$C$33, 20.3477, 20.3466) * CHOOSE(CONTROL!$C$16, $D$10, 100%, $F$10)</f>
        <v>20.3477</v>
      </c>
      <c r="C702" s="8">
        <f>CHOOSE( CONTROL!$C$33, 20.3528, 20.3517) * CHOOSE(CONTROL!$C$16, $D$10, 100%, $F$10)</f>
        <v>20.352799999999998</v>
      </c>
      <c r="D702" s="8">
        <f>CHOOSE( CONTROL!$C$33, 20.3442, 20.3431) * CHOOSE( CONTROL!$C$16, $D$10, 100%, $F$10)</f>
        <v>20.344200000000001</v>
      </c>
      <c r="E702" s="12">
        <f>CHOOSE( CONTROL!$C$33, 20.3468, 20.3457) * CHOOSE( CONTROL!$C$16, $D$10, 100%, $F$10)</f>
        <v>20.346800000000002</v>
      </c>
      <c r="F702" s="4">
        <f>CHOOSE( CONTROL!$C$33, 21.0105, 21.0094) * CHOOSE(CONTROL!$C$16, $D$10, 100%, $F$10)</f>
        <v>21.0105</v>
      </c>
      <c r="G702" s="8">
        <f>CHOOSE( CONTROL!$C$33, 20.106, 20.1049) * CHOOSE( CONTROL!$C$16, $D$10, 100%, $F$10)</f>
        <v>20.106000000000002</v>
      </c>
      <c r="H702" s="4">
        <f>CHOOSE( CONTROL!$C$33, 20.9913, 20.9902) * CHOOSE(CONTROL!$C$16, $D$10, 100%, $F$10)</f>
        <v>20.991299999999999</v>
      </c>
      <c r="I702" s="8">
        <f>CHOOSE( CONTROL!$C$33, 19.8873, 19.8862) * CHOOSE(CONTROL!$C$16, $D$10, 100%, $F$10)</f>
        <v>19.8873</v>
      </c>
      <c r="J702" s="4">
        <f>CHOOSE( CONTROL!$C$33, 19.7193, 19.7182) * CHOOSE(CONTROL!$C$16, $D$10, 100%, $F$10)</f>
        <v>19.7193</v>
      </c>
      <c r="K702" s="4"/>
      <c r="L702" s="9">
        <v>29.306000000000001</v>
      </c>
      <c r="M702" s="9">
        <v>12.063700000000001</v>
      </c>
      <c r="N702" s="9">
        <v>4.9444999999999997</v>
      </c>
      <c r="O702" s="9">
        <v>0.37409999999999999</v>
      </c>
      <c r="P702" s="9">
        <v>1.2927</v>
      </c>
      <c r="Q702" s="9">
        <v>19.688099999999999</v>
      </c>
      <c r="R702" s="9"/>
      <c r="S702" s="11"/>
    </row>
    <row r="703" spans="1:19" ht="15" customHeight="1">
      <c r="A703" s="13">
        <v>62578</v>
      </c>
      <c r="B703" s="8">
        <f>CHOOSE( CONTROL!$C$33, 20.6579, 20.6568) * CHOOSE(CONTROL!$C$16, $D$10, 100%, $F$10)</f>
        <v>20.657900000000001</v>
      </c>
      <c r="C703" s="8">
        <f>CHOOSE( CONTROL!$C$33, 20.6625, 20.6614) * CHOOSE(CONTROL!$C$16, $D$10, 100%, $F$10)</f>
        <v>20.662500000000001</v>
      </c>
      <c r="D703" s="8">
        <f>CHOOSE( CONTROL!$C$33, 20.6913, 20.6902) * CHOOSE( CONTROL!$C$16, $D$10, 100%, $F$10)</f>
        <v>20.691299999999998</v>
      </c>
      <c r="E703" s="12">
        <f>CHOOSE( CONTROL!$C$33, 20.6813, 20.6802) * CHOOSE( CONTROL!$C$16, $D$10, 100%, $F$10)</f>
        <v>20.6813</v>
      </c>
      <c r="F703" s="4">
        <f>CHOOSE( CONTROL!$C$33, 21.4362, 21.4351) * CHOOSE(CONTROL!$C$16, $D$10, 100%, $F$10)</f>
        <v>21.436199999999999</v>
      </c>
      <c r="G703" s="8">
        <f>CHOOSE( CONTROL!$C$33, 20.4321, 20.431) * CHOOSE( CONTROL!$C$16, $D$10, 100%, $F$10)</f>
        <v>20.432099999999998</v>
      </c>
      <c r="H703" s="4">
        <f>CHOOSE( CONTROL!$C$33, 21.411, 21.4099) * CHOOSE(CONTROL!$C$16, $D$10, 100%, $F$10)</f>
        <v>21.411000000000001</v>
      </c>
      <c r="I703" s="8">
        <f>CHOOSE( CONTROL!$C$33, 20.1451, 20.144) * CHOOSE(CONTROL!$C$16, $D$10, 100%, $F$10)</f>
        <v>20.145099999999999</v>
      </c>
      <c r="J703" s="4">
        <f>CHOOSE( CONTROL!$C$33, 20.019, 20.0179) * CHOOSE(CONTROL!$C$16, $D$10, 100%, $F$10)</f>
        <v>20.018999999999998</v>
      </c>
      <c r="K703" s="4"/>
      <c r="L703" s="9">
        <v>30.092199999999998</v>
      </c>
      <c r="M703" s="9">
        <v>11.6745</v>
      </c>
      <c r="N703" s="9">
        <v>4.7850000000000001</v>
      </c>
      <c r="O703" s="9">
        <v>0.36199999999999999</v>
      </c>
      <c r="P703" s="9">
        <v>1.2509999999999999</v>
      </c>
      <c r="Q703" s="9">
        <v>19.053000000000001</v>
      </c>
      <c r="R703" s="9"/>
      <c r="S703" s="11"/>
    </row>
    <row r="704" spans="1:19" ht="15" customHeight="1">
      <c r="A704" s="13">
        <v>62609</v>
      </c>
      <c r="B704" s="8">
        <f>CHOOSE( CONTROL!$C$33, 21.2106, 21.209) * CHOOSE(CONTROL!$C$16, $D$10, 100%, $F$10)</f>
        <v>21.210599999999999</v>
      </c>
      <c r="C704" s="8">
        <f>CHOOSE( CONTROL!$C$33, 21.2186, 21.217) * CHOOSE(CONTROL!$C$16, $D$10, 100%, $F$10)</f>
        <v>21.218599999999999</v>
      </c>
      <c r="D704" s="8">
        <f>CHOOSE( CONTROL!$C$33, 21.2408, 21.2393) * CHOOSE( CONTROL!$C$16, $D$10, 100%, $F$10)</f>
        <v>21.2408</v>
      </c>
      <c r="E704" s="12">
        <f>CHOOSE( CONTROL!$C$33, 21.2315, 21.23) * CHOOSE( CONTROL!$C$16, $D$10, 100%, $F$10)</f>
        <v>21.2315</v>
      </c>
      <c r="F704" s="4">
        <f>CHOOSE( CONTROL!$C$33, 21.9875, 21.986) * CHOOSE(CONTROL!$C$16, $D$10, 100%, $F$10)</f>
        <v>21.987500000000001</v>
      </c>
      <c r="G704" s="8">
        <f>CHOOSE( CONTROL!$C$33, 20.9757, 20.9741) * CHOOSE( CONTROL!$C$16, $D$10, 100%, $F$10)</f>
        <v>20.9757</v>
      </c>
      <c r="H704" s="4">
        <f>CHOOSE( CONTROL!$C$33, 21.9546, 21.9531) * CHOOSE(CONTROL!$C$16, $D$10, 100%, $F$10)</f>
        <v>21.954599999999999</v>
      </c>
      <c r="I704" s="8">
        <f>CHOOSE( CONTROL!$C$33, 20.6788, 20.6773) * CHOOSE(CONTROL!$C$16, $D$10, 100%, $F$10)</f>
        <v>20.678799999999999</v>
      </c>
      <c r="J704" s="4">
        <f>CHOOSE( CONTROL!$C$33, 20.5528, 20.5513) * CHOOSE(CONTROL!$C$16, $D$10, 100%, $F$10)</f>
        <v>20.552800000000001</v>
      </c>
      <c r="K704" s="4"/>
      <c r="L704" s="9">
        <v>30.7165</v>
      </c>
      <c r="M704" s="9">
        <v>12.063700000000001</v>
      </c>
      <c r="N704" s="9">
        <v>4.9444999999999997</v>
      </c>
      <c r="O704" s="9">
        <v>0.37409999999999999</v>
      </c>
      <c r="P704" s="9">
        <v>1.2927</v>
      </c>
      <c r="Q704" s="9">
        <v>19.688099999999999</v>
      </c>
      <c r="R704" s="9"/>
      <c r="S704" s="11"/>
    </row>
    <row r="705" spans="1:19" ht="15" customHeight="1">
      <c r="A705" s="13">
        <v>62639</v>
      </c>
      <c r="B705" s="8">
        <f>CHOOSE( CONTROL!$C$33, 20.8694, 20.8678) * CHOOSE(CONTROL!$C$16, $D$10, 100%, $F$10)</f>
        <v>20.869399999999999</v>
      </c>
      <c r="C705" s="8">
        <f>CHOOSE( CONTROL!$C$33, 20.8774, 20.8758) * CHOOSE(CONTROL!$C$16, $D$10, 100%, $F$10)</f>
        <v>20.877400000000002</v>
      </c>
      <c r="D705" s="8">
        <f>CHOOSE( CONTROL!$C$33, 20.8998, 20.8982) * CHOOSE( CONTROL!$C$16, $D$10, 100%, $F$10)</f>
        <v>20.899799999999999</v>
      </c>
      <c r="E705" s="12">
        <f>CHOOSE( CONTROL!$C$33, 20.8905, 20.8889) * CHOOSE( CONTROL!$C$16, $D$10, 100%, $F$10)</f>
        <v>20.890499999999999</v>
      </c>
      <c r="F705" s="4">
        <f>CHOOSE( CONTROL!$C$33, 21.6463, 21.6447) * CHOOSE(CONTROL!$C$16, $D$10, 100%, $F$10)</f>
        <v>21.6463</v>
      </c>
      <c r="G705" s="8">
        <f>CHOOSE( CONTROL!$C$33, 20.6393, 20.6378) * CHOOSE( CONTROL!$C$16, $D$10, 100%, $F$10)</f>
        <v>20.639299999999999</v>
      </c>
      <c r="H705" s="4">
        <f>CHOOSE( CONTROL!$C$33, 21.6182, 21.6166) * CHOOSE(CONTROL!$C$16, $D$10, 100%, $F$10)</f>
        <v>21.618200000000002</v>
      </c>
      <c r="I705" s="8">
        <f>CHOOSE( CONTROL!$C$33, 20.3488, 20.3473) * CHOOSE(CONTROL!$C$16, $D$10, 100%, $F$10)</f>
        <v>20.348800000000001</v>
      </c>
      <c r="J705" s="4">
        <f>CHOOSE( CONTROL!$C$33, 20.2224, 20.2209) * CHOOSE(CONTROL!$C$16, $D$10, 100%, $F$10)</f>
        <v>20.2224</v>
      </c>
      <c r="K705" s="4"/>
      <c r="L705" s="9">
        <v>29.7257</v>
      </c>
      <c r="M705" s="9">
        <v>11.6745</v>
      </c>
      <c r="N705" s="9">
        <v>4.7850000000000001</v>
      </c>
      <c r="O705" s="9">
        <v>0.36199999999999999</v>
      </c>
      <c r="P705" s="9">
        <v>1.2509999999999999</v>
      </c>
      <c r="Q705" s="9">
        <v>19.053000000000001</v>
      </c>
      <c r="R705" s="9"/>
      <c r="S705" s="11"/>
    </row>
    <row r="706" spans="1:19" ht="15" customHeight="1">
      <c r="A706" s="13">
        <v>62670</v>
      </c>
      <c r="B706" s="8">
        <f>CHOOSE( CONTROL!$C$33, 21.768, 21.7664) * CHOOSE(CONTROL!$C$16, $D$10, 100%, $F$10)</f>
        <v>21.768000000000001</v>
      </c>
      <c r="C706" s="8">
        <f>CHOOSE( CONTROL!$C$33, 21.776, 21.7744) * CHOOSE(CONTROL!$C$16, $D$10, 100%, $F$10)</f>
        <v>21.776</v>
      </c>
      <c r="D706" s="8">
        <f>CHOOSE( CONTROL!$C$33, 21.7986, 21.797) * CHOOSE( CONTROL!$C$16, $D$10, 100%, $F$10)</f>
        <v>21.7986</v>
      </c>
      <c r="E706" s="12">
        <f>CHOOSE( CONTROL!$C$33, 21.7892, 21.7876) * CHOOSE( CONTROL!$C$16, $D$10, 100%, $F$10)</f>
        <v>21.789200000000001</v>
      </c>
      <c r="F706" s="4">
        <f>CHOOSE( CONTROL!$C$33, 22.5449, 22.5433) * CHOOSE(CONTROL!$C$16, $D$10, 100%, $F$10)</f>
        <v>22.544899999999998</v>
      </c>
      <c r="G706" s="8">
        <f>CHOOSE( CONTROL!$C$33, 21.5256, 21.524) * CHOOSE( CONTROL!$C$16, $D$10, 100%, $F$10)</f>
        <v>21.525600000000001</v>
      </c>
      <c r="H706" s="4">
        <f>CHOOSE( CONTROL!$C$33, 22.5042, 22.5027) * CHOOSE(CONTROL!$C$16, $D$10, 100%, $F$10)</f>
        <v>22.504200000000001</v>
      </c>
      <c r="I706" s="8">
        <f>CHOOSE( CONTROL!$C$33, 21.2201, 21.2186) * CHOOSE(CONTROL!$C$16, $D$10, 100%, $F$10)</f>
        <v>21.220099999999999</v>
      </c>
      <c r="J706" s="4">
        <f>CHOOSE( CONTROL!$C$33, 21.0925, 21.091) * CHOOSE(CONTROL!$C$16, $D$10, 100%, $F$10)</f>
        <v>21.092500000000001</v>
      </c>
      <c r="K706" s="4"/>
      <c r="L706" s="9">
        <v>30.7165</v>
      </c>
      <c r="M706" s="9">
        <v>12.063700000000001</v>
      </c>
      <c r="N706" s="9">
        <v>4.9444999999999997</v>
      </c>
      <c r="O706" s="9">
        <v>0.37409999999999999</v>
      </c>
      <c r="P706" s="9">
        <v>1.2927</v>
      </c>
      <c r="Q706" s="9">
        <v>19.688099999999999</v>
      </c>
      <c r="R706" s="9"/>
      <c r="S706" s="11"/>
    </row>
    <row r="707" spans="1:19" ht="15" customHeight="1">
      <c r="A707" s="13">
        <v>62701</v>
      </c>
      <c r="B707" s="8">
        <f>CHOOSE( CONTROL!$C$33, 20.0866, 20.085) * CHOOSE(CONTROL!$C$16, $D$10, 100%, $F$10)</f>
        <v>20.086600000000001</v>
      </c>
      <c r="C707" s="8">
        <f>CHOOSE( CONTROL!$C$33, 20.0946, 20.093) * CHOOSE(CONTROL!$C$16, $D$10, 100%, $F$10)</f>
        <v>20.0946</v>
      </c>
      <c r="D707" s="8">
        <f>CHOOSE( CONTROL!$C$33, 20.1173, 20.1157) * CHOOSE( CONTROL!$C$16, $D$10, 100%, $F$10)</f>
        <v>20.1173</v>
      </c>
      <c r="E707" s="12">
        <f>CHOOSE( CONTROL!$C$33, 20.1079, 20.1063) * CHOOSE( CONTROL!$C$16, $D$10, 100%, $F$10)</f>
        <v>20.107900000000001</v>
      </c>
      <c r="F707" s="4">
        <f>CHOOSE( CONTROL!$C$33, 20.8635, 20.862) * CHOOSE(CONTROL!$C$16, $D$10, 100%, $F$10)</f>
        <v>20.863499999999998</v>
      </c>
      <c r="G707" s="8">
        <f>CHOOSE( CONTROL!$C$33, 19.8677, 19.8662) * CHOOSE( CONTROL!$C$16, $D$10, 100%, $F$10)</f>
        <v>19.867699999999999</v>
      </c>
      <c r="H707" s="4">
        <f>CHOOSE( CONTROL!$C$33, 20.8463, 20.8448) * CHOOSE(CONTROL!$C$16, $D$10, 100%, $F$10)</f>
        <v>20.846299999999999</v>
      </c>
      <c r="I707" s="8">
        <f>CHOOSE( CONTROL!$C$33, 19.5914, 19.5899) * CHOOSE(CONTROL!$C$16, $D$10, 100%, $F$10)</f>
        <v>19.5914</v>
      </c>
      <c r="J707" s="4">
        <f>CHOOSE( CONTROL!$C$33, 19.4645, 19.4629) * CHOOSE(CONTROL!$C$16, $D$10, 100%, $F$10)</f>
        <v>19.464500000000001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1.2927</v>
      </c>
      <c r="Q707" s="9">
        <v>19.688099999999999</v>
      </c>
      <c r="R707" s="9"/>
      <c r="S707" s="11"/>
    </row>
    <row r="708" spans="1:19" ht="15" customHeight="1">
      <c r="A708" s="13">
        <v>62731</v>
      </c>
      <c r="B708" s="8">
        <f>CHOOSE( CONTROL!$C$33, 19.6656, 19.664) * CHOOSE(CONTROL!$C$16, $D$10, 100%, $F$10)</f>
        <v>19.665600000000001</v>
      </c>
      <c r="C708" s="8">
        <f>CHOOSE( CONTROL!$C$33, 19.6736, 19.672) * CHOOSE(CONTROL!$C$16, $D$10, 100%, $F$10)</f>
        <v>19.6736</v>
      </c>
      <c r="D708" s="8">
        <f>CHOOSE( CONTROL!$C$33, 19.6961, 19.6945) * CHOOSE( CONTROL!$C$16, $D$10, 100%, $F$10)</f>
        <v>19.696100000000001</v>
      </c>
      <c r="E708" s="12">
        <f>CHOOSE( CONTROL!$C$33, 19.6867, 19.6851) * CHOOSE( CONTROL!$C$16, $D$10, 100%, $F$10)</f>
        <v>19.686699999999998</v>
      </c>
      <c r="F708" s="4">
        <f>CHOOSE( CONTROL!$C$33, 20.4425, 20.4409) * CHOOSE(CONTROL!$C$16, $D$10, 100%, $F$10)</f>
        <v>20.442499999999999</v>
      </c>
      <c r="G708" s="8">
        <f>CHOOSE( CONTROL!$C$33, 19.4524, 19.4509) * CHOOSE( CONTROL!$C$16, $D$10, 100%, $F$10)</f>
        <v>19.452400000000001</v>
      </c>
      <c r="H708" s="4">
        <f>CHOOSE( CONTROL!$C$33, 20.4311, 20.4296) * CHOOSE(CONTROL!$C$16, $D$10, 100%, $F$10)</f>
        <v>20.431100000000001</v>
      </c>
      <c r="I708" s="8">
        <f>CHOOSE( CONTROL!$C$33, 19.1831, 19.1816) * CHOOSE(CONTROL!$C$16, $D$10, 100%, $F$10)</f>
        <v>19.1831</v>
      </c>
      <c r="J708" s="4">
        <f>CHOOSE( CONTROL!$C$33, 19.0568, 19.0552) * CHOOSE(CONTROL!$C$16, $D$10, 100%, $F$10)</f>
        <v>19.056799999999999</v>
      </c>
      <c r="K708" s="4"/>
      <c r="L708" s="9">
        <v>29.7257</v>
      </c>
      <c r="M708" s="9">
        <v>11.6745</v>
      </c>
      <c r="N708" s="9">
        <v>4.7850000000000001</v>
      </c>
      <c r="O708" s="9">
        <v>0.36199999999999999</v>
      </c>
      <c r="P708" s="9">
        <v>1.2509999999999999</v>
      </c>
      <c r="Q708" s="9">
        <v>19.053000000000001</v>
      </c>
      <c r="R708" s="9"/>
      <c r="S708" s="11"/>
    </row>
    <row r="709" spans="1:19" ht="15" customHeight="1">
      <c r="A709" s="13">
        <v>62762</v>
      </c>
      <c r="B709" s="8">
        <f>CHOOSE( CONTROL!$C$33, 20.5376, 20.5365) * CHOOSE(CONTROL!$C$16, $D$10, 100%, $F$10)</f>
        <v>20.537600000000001</v>
      </c>
      <c r="C709" s="8">
        <f>CHOOSE( CONTROL!$C$33, 20.543, 20.5418) * CHOOSE(CONTROL!$C$16, $D$10, 100%, $F$10)</f>
        <v>20.542999999999999</v>
      </c>
      <c r="D709" s="8">
        <f>CHOOSE( CONTROL!$C$33, 20.5717, 20.5706) * CHOOSE( CONTROL!$C$16, $D$10, 100%, $F$10)</f>
        <v>20.5717</v>
      </c>
      <c r="E709" s="12">
        <f>CHOOSE( CONTROL!$C$33, 20.5617, 20.5605) * CHOOSE( CONTROL!$C$16, $D$10, 100%, $F$10)</f>
        <v>20.561699999999998</v>
      </c>
      <c r="F709" s="4">
        <f>CHOOSE( CONTROL!$C$33, 21.3163, 21.3151) * CHOOSE(CONTROL!$C$16, $D$10, 100%, $F$10)</f>
        <v>21.316299999999998</v>
      </c>
      <c r="G709" s="8">
        <f>CHOOSE( CONTROL!$C$33, 20.3141, 20.313) * CHOOSE( CONTROL!$C$16, $D$10, 100%, $F$10)</f>
        <v>20.3141</v>
      </c>
      <c r="H709" s="4">
        <f>CHOOSE( CONTROL!$C$33, 21.2927, 21.2916) * CHOOSE(CONTROL!$C$16, $D$10, 100%, $F$10)</f>
        <v>21.2927</v>
      </c>
      <c r="I709" s="8">
        <f>CHOOSE( CONTROL!$C$33, 20.0302, 20.0291) * CHOOSE(CONTROL!$C$16, $D$10, 100%, $F$10)</f>
        <v>20.030200000000001</v>
      </c>
      <c r="J709" s="4">
        <f>CHOOSE( CONTROL!$C$33, 19.9028, 19.9017) * CHOOSE(CONTROL!$C$16, $D$10, 100%, $F$10)</f>
        <v>19.902799999999999</v>
      </c>
      <c r="K709" s="4"/>
      <c r="L709" s="9">
        <v>31.095300000000002</v>
      </c>
      <c r="M709" s="9">
        <v>12.063700000000001</v>
      </c>
      <c r="N709" s="9">
        <v>4.9444999999999997</v>
      </c>
      <c r="O709" s="9">
        <v>0.37409999999999999</v>
      </c>
      <c r="P709" s="9">
        <v>1.2927</v>
      </c>
      <c r="Q709" s="9">
        <v>19.688099999999999</v>
      </c>
      <c r="R709" s="9"/>
      <c r="S709" s="11"/>
    </row>
    <row r="710" spans="1:19" ht="15" customHeight="1">
      <c r="A710" s="13">
        <v>62792</v>
      </c>
      <c r="B710" s="8">
        <f>CHOOSE( CONTROL!$C$33, 22.1508, 22.1497) * CHOOSE(CONTROL!$C$16, $D$10, 100%, $F$10)</f>
        <v>22.1508</v>
      </c>
      <c r="C710" s="8">
        <f>CHOOSE( CONTROL!$C$33, 22.1559, 22.1548) * CHOOSE(CONTROL!$C$16, $D$10, 100%, $F$10)</f>
        <v>22.155899999999999</v>
      </c>
      <c r="D710" s="8">
        <f>CHOOSE( CONTROL!$C$33, 22.1356, 22.1345) * CHOOSE( CONTROL!$C$16, $D$10, 100%, $F$10)</f>
        <v>22.1356</v>
      </c>
      <c r="E710" s="12">
        <f>CHOOSE( CONTROL!$C$33, 22.1425, 22.1414) * CHOOSE( CONTROL!$C$16, $D$10, 100%, $F$10)</f>
        <v>22.142499999999998</v>
      </c>
      <c r="F710" s="4">
        <f>CHOOSE( CONTROL!$C$33, 22.8137, 22.8126) * CHOOSE(CONTROL!$C$16, $D$10, 100%, $F$10)</f>
        <v>22.813700000000001</v>
      </c>
      <c r="G710" s="8">
        <f>CHOOSE( CONTROL!$C$33, 21.8778, 21.8766) * CHOOSE( CONTROL!$C$16, $D$10, 100%, $F$10)</f>
        <v>21.877800000000001</v>
      </c>
      <c r="H710" s="4">
        <f>CHOOSE( CONTROL!$C$33, 22.7693, 22.7682) * CHOOSE(CONTROL!$C$16, $D$10, 100%, $F$10)</f>
        <v>22.769300000000001</v>
      </c>
      <c r="I710" s="8">
        <f>CHOOSE( CONTROL!$C$33, 21.6412, 21.6401) * CHOOSE(CONTROL!$C$16, $D$10, 100%, $F$10)</f>
        <v>21.641200000000001</v>
      </c>
      <c r="J710" s="4">
        <f>CHOOSE( CONTROL!$C$33, 21.4653, 21.4642) * CHOOSE(CONTROL!$C$16, $D$10, 100%, $F$10)</f>
        <v>21.465299999999999</v>
      </c>
      <c r="K710" s="4"/>
      <c r="L710" s="9">
        <v>28.360600000000002</v>
      </c>
      <c r="M710" s="9">
        <v>11.6745</v>
      </c>
      <c r="N710" s="9">
        <v>4.7850000000000001</v>
      </c>
      <c r="O710" s="9">
        <v>0.36199999999999999</v>
      </c>
      <c r="P710" s="9">
        <v>1.2509999999999999</v>
      </c>
      <c r="Q710" s="9">
        <v>19.053000000000001</v>
      </c>
      <c r="R710" s="9"/>
      <c r="S710" s="11"/>
    </row>
    <row r="711" spans="1:19" ht="15" customHeight="1">
      <c r="A711" s="13">
        <v>62823</v>
      </c>
      <c r="B711" s="8">
        <f>CHOOSE( CONTROL!$C$33, 22.1105, 22.1094) * CHOOSE(CONTROL!$C$16, $D$10, 100%, $F$10)</f>
        <v>22.110499999999998</v>
      </c>
      <c r="C711" s="8">
        <f>CHOOSE( CONTROL!$C$33, 22.1156, 22.1145) * CHOOSE(CONTROL!$C$16, $D$10, 100%, $F$10)</f>
        <v>22.115600000000001</v>
      </c>
      <c r="D711" s="8">
        <f>CHOOSE( CONTROL!$C$33, 22.0967, 22.0956) * CHOOSE( CONTROL!$C$16, $D$10, 100%, $F$10)</f>
        <v>22.096699999999998</v>
      </c>
      <c r="E711" s="12">
        <f>CHOOSE( CONTROL!$C$33, 22.1031, 22.102) * CHOOSE( CONTROL!$C$16, $D$10, 100%, $F$10)</f>
        <v>22.103100000000001</v>
      </c>
      <c r="F711" s="4">
        <f>CHOOSE( CONTROL!$C$33, 22.7734, 22.7723) * CHOOSE(CONTROL!$C$16, $D$10, 100%, $F$10)</f>
        <v>22.773399999999999</v>
      </c>
      <c r="G711" s="8">
        <f>CHOOSE( CONTROL!$C$33, 21.839, 21.8379) * CHOOSE( CONTROL!$C$16, $D$10, 100%, $F$10)</f>
        <v>21.838999999999999</v>
      </c>
      <c r="H711" s="4">
        <f>CHOOSE( CONTROL!$C$33, 22.7295, 22.7284) * CHOOSE(CONTROL!$C$16, $D$10, 100%, $F$10)</f>
        <v>22.729500000000002</v>
      </c>
      <c r="I711" s="8">
        <f>CHOOSE( CONTROL!$C$33, 21.6067, 21.6056) * CHOOSE(CONTROL!$C$16, $D$10, 100%, $F$10)</f>
        <v>21.6067</v>
      </c>
      <c r="J711" s="4">
        <f>CHOOSE( CONTROL!$C$33, 21.4263, 21.4252) * CHOOSE(CONTROL!$C$16, $D$10, 100%, $F$10)</f>
        <v>21.426300000000001</v>
      </c>
      <c r="K711" s="4"/>
      <c r="L711" s="9">
        <v>29.306000000000001</v>
      </c>
      <c r="M711" s="9">
        <v>12.063700000000001</v>
      </c>
      <c r="N711" s="9">
        <v>4.9444999999999997</v>
      </c>
      <c r="O711" s="9">
        <v>0.37409999999999999</v>
      </c>
      <c r="P711" s="9">
        <v>1.2927</v>
      </c>
      <c r="Q711" s="9">
        <v>19.688099999999999</v>
      </c>
      <c r="R711" s="9"/>
      <c r="S711" s="11"/>
    </row>
    <row r="712" spans="1:19" ht="15" customHeight="1">
      <c r="A712" s="13">
        <v>62854</v>
      </c>
      <c r="B712" s="8">
        <f>CHOOSE( CONTROL!$C$33, 22.7632, 22.7621) * CHOOSE(CONTROL!$C$16, $D$10, 100%, $F$10)</f>
        <v>22.763200000000001</v>
      </c>
      <c r="C712" s="8">
        <f>CHOOSE( CONTROL!$C$33, 22.7683, 22.7672) * CHOOSE(CONTROL!$C$16, $D$10, 100%, $F$10)</f>
        <v>22.7683</v>
      </c>
      <c r="D712" s="8">
        <f>CHOOSE( CONTROL!$C$33, 22.7606, 22.7595) * CHOOSE( CONTROL!$C$16, $D$10, 100%, $F$10)</f>
        <v>22.7606</v>
      </c>
      <c r="E712" s="12">
        <f>CHOOSE( CONTROL!$C$33, 22.7629, 22.7618) * CHOOSE( CONTROL!$C$16, $D$10, 100%, $F$10)</f>
        <v>22.762899999999998</v>
      </c>
      <c r="F712" s="4">
        <f>CHOOSE( CONTROL!$C$33, 23.426, 23.4249) * CHOOSE(CONTROL!$C$16, $D$10, 100%, $F$10)</f>
        <v>23.425999999999998</v>
      </c>
      <c r="G712" s="8">
        <f>CHOOSE( CONTROL!$C$33, 22.4885, 22.4873) * CHOOSE( CONTROL!$C$16, $D$10, 100%, $F$10)</f>
        <v>22.488499999999998</v>
      </c>
      <c r="H712" s="4">
        <f>CHOOSE( CONTROL!$C$33, 23.3731, 23.372) * CHOOSE(CONTROL!$C$16, $D$10, 100%, $F$10)</f>
        <v>23.373100000000001</v>
      </c>
      <c r="I712" s="8">
        <f>CHOOSE( CONTROL!$C$33, 22.2302, 22.2291) * CHOOSE(CONTROL!$C$16, $D$10, 100%, $F$10)</f>
        <v>22.2302</v>
      </c>
      <c r="J712" s="4">
        <f>CHOOSE( CONTROL!$C$33, 22.0582, 22.0572) * CHOOSE(CONTROL!$C$16, $D$10, 100%, $F$10)</f>
        <v>22.058199999999999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" customHeight="1">
      <c r="A713" s="13">
        <v>62883</v>
      </c>
      <c r="B713" s="8">
        <f>CHOOSE( CONTROL!$C$33, 21.2905, 21.2894) * CHOOSE(CONTROL!$C$16, $D$10, 100%, $F$10)</f>
        <v>21.290500000000002</v>
      </c>
      <c r="C713" s="8">
        <f>CHOOSE( CONTROL!$C$33, 21.2956, 21.2945) * CHOOSE(CONTROL!$C$16, $D$10, 100%, $F$10)</f>
        <v>21.2956</v>
      </c>
      <c r="D713" s="8">
        <f>CHOOSE( CONTROL!$C$33, 21.2878, 21.2867) * CHOOSE( CONTROL!$C$16, $D$10, 100%, $F$10)</f>
        <v>21.287800000000001</v>
      </c>
      <c r="E713" s="12">
        <f>CHOOSE( CONTROL!$C$33, 21.2901, 21.289) * CHOOSE( CONTROL!$C$16, $D$10, 100%, $F$10)</f>
        <v>21.290099999999999</v>
      </c>
      <c r="F713" s="4">
        <f>CHOOSE( CONTROL!$C$33, 21.9534, 21.9523) * CHOOSE(CONTROL!$C$16, $D$10, 100%, $F$10)</f>
        <v>21.953399999999998</v>
      </c>
      <c r="G713" s="8">
        <f>CHOOSE( CONTROL!$C$33, 21.0362, 21.0351) * CHOOSE( CONTROL!$C$16, $D$10, 100%, $F$10)</f>
        <v>21.036200000000001</v>
      </c>
      <c r="H713" s="4">
        <f>CHOOSE( CONTROL!$C$33, 21.921, 21.9199) * CHOOSE(CONTROL!$C$16, $D$10, 100%, $F$10)</f>
        <v>21.920999999999999</v>
      </c>
      <c r="I713" s="8">
        <f>CHOOSE( CONTROL!$C$33, 20.803, 20.8019) * CHOOSE(CONTROL!$C$16, $D$10, 100%, $F$10)</f>
        <v>20.803000000000001</v>
      </c>
      <c r="J713" s="4">
        <f>CHOOSE( CONTROL!$C$33, 20.6323, 20.6312) * CHOOSE(CONTROL!$C$16, $D$10, 100%, $F$10)</f>
        <v>20.632300000000001</v>
      </c>
      <c r="K713" s="4"/>
      <c r="L713" s="9">
        <v>27.415299999999998</v>
      </c>
      <c r="M713" s="9">
        <v>11.285299999999999</v>
      </c>
      <c r="N713" s="9">
        <v>4.6254999999999997</v>
      </c>
      <c r="O713" s="9">
        <v>0.34989999999999999</v>
      </c>
      <c r="P713" s="9">
        <v>1.2093</v>
      </c>
      <c r="Q713" s="9">
        <v>18.417899999999999</v>
      </c>
      <c r="R713" s="9"/>
      <c r="S713" s="11"/>
    </row>
    <row r="714" spans="1:19" ht="15" customHeight="1">
      <c r="A714" s="13">
        <v>62914</v>
      </c>
      <c r="B714" s="8">
        <f>CHOOSE( CONTROL!$C$33, 20.837, 20.8358) * CHOOSE(CONTROL!$C$16, $D$10, 100%, $F$10)</f>
        <v>20.837</v>
      </c>
      <c r="C714" s="8">
        <f>CHOOSE( CONTROL!$C$33, 20.8421, 20.8409) * CHOOSE(CONTROL!$C$16, $D$10, 100%, $F$10)</f>
        <v>20.842099999999999</v>
      </c>
      <c r="D714" s="8">
        <f>CHOOSE( CONTROL!$C$33, 20.8335, 20.8324) * CHOOSE( CONTROL!$C$16, $D$10, 100%, $F$10)</f>
        <v>20.833500000000001</v>
      </c>
      <c r="E714" s="12">
        <f>CHOOSE( CONTROL!$C$33, 20.8361, 20.835) * CHOOSE( CONTROL!$C$16, $D$10, 100%, $F$10)</f>
        <v>20.836099999999998</v>
      </c>
      <c r="F714" s="4">
        <f>CHOOSE( CONTROL!$C$33, 21.4998, 21.4987) * CHOOSE(CONTROL!$C$16, $D$10, 100%, $F$10)</f>
        <v>21.4998</v>
      </c>
      <c r="G714" s="8">
        <f>CHOOSE( CONTROL!$C$33, 20.5885, 20.5874) * CHOOSE( CONTROL!$C$16, $D$10, 100%, $F$10)</f>
        <v>20.5885</v>
      </c>
      <c r="H714" s="4">
        <f>CHOOSE( CONTROL!$C$33, 21.4737, 21.4726) * CHOOSE(CONTROL!$C$16, $D$10, 100%, $F$10)</f>
        <v>21.473700000000001</v>
      </c>
      <c r="I714" s="8">
        <f>CHOOSE( CONTROL!$C$33, 20.3613, 20.3602) * CHOOSE(CONTROL!$C$16, $D$10, 100%, $F$10)</f>
        <v>20.3613</v>
      </c>
      <c r="J714" s="4">
        <f>CHOOSE( CONTROL!$C$33, 20.1931, 20.192) * CHOOSE(CONTROL!$C$16, $D$10, 100%, $F$10)</f>
        <v>20.193100000000001</v>
      </c>
      <c r="K714" s="4"/>
      <c r="L714" s="9">
        <v>29.306000000000001</v>
      </c>
      <c r="M714" s="9">
        <v>12.063700000000001</v>
      </c>
      <c r="N714" s="9">
        <v>4.9444999999999997</v>
      </c>
      <c r="O714" s="9">
        <v>0.37409999999999999</v>
      </c>
      <c r="P714" s="9">
        <v>1.2927</v>
      </c>
      <c r="Q714" s="9">
        <v>19.688099999999999</v>
      </c>
      <c r="R714" s="9"/>
      <c r="S714" s="11"/>
    </row>
    <row r="715" spans="1:19" ht="15" customHeight="1">
      <c r="A715" s="13">
        <v>62944</v>
      </c>
      <c r="B715" s="8">
        <f>CHOOSE( CONTROL!$C$33, 21.1547, 21.1536) * CHOOSE(CONTROL!$C$16, $D$10, 100%, $F$10)</f>
        <v>21.154699999999998</v>
      </c>
      <c r="C715" s="8">
        <f>CHOOSE( CONTROL!$C$33, 21.1592, 21.1581) * CHOOSE(CONTROL!$C$16, $D$10, 100%, $F$10)</f>
        <v>21.159199999999998</v>
      </c>
      <c r="D715" s="8">
        <f>CHOOSE( CONTROL!$C$33, 21.1881, 21.187) * CHOOSE( CONTROL!$C$16, $D$10, 100%, $F$10)</f>
        <v>21.188099999999999</v>
      </c>
      <c r="E715" s="12">
        <f>CHOOSE( CONTROL!$C$33, 21.178, 21.1769) * CHOOSE( CONTROL!$C$16, $D$10, 100%, $F$10)</f>
        <v>21.178000000000001</v>
      </c>
      <c r="F715" s="4">
        <f>CHOOSE( CONTROL!$C$33, 21.933, 21.9318) * CHOOSE(CONTROL!$C$16, $D$10, 100%, $F$10)</f>
        <v>21.933</v>
      </c>
      <c r="G715" s="8">
        <f>CHOOSE( CONTROL!$C$33, 20.9219, 20.9208) * CHOOSE( CONTROL!$C$16, $D$10, 100%, $F$10)</f>
        <v>20.921900000000001</v>
      </c>
      <c r="H715" s="4">
        <f>CHOOSE( CONTROL!$C$33, 21.9008, 21.8997) * CHOOSE(CONTROL!$C$16, $D$10, 100%, $F$10)</f>
        <v>21.9008</v>
      </c>
      <c r="I715" s="8">
        <f>CHOOSE( CONTROL!$C$33, 20.6263, 20.6252) * CHOOSE(CONTROL!$C$16, $D$10, 100%, $F$10)</f>
        <v>20.626300000000001</v>
      </c>
      <c r="J715" s="4">
        <f>CHOOSE( CONTROL!$C$33, 20.5, 20.4989) * CHOOSE(CONTROL!$C$16, $D$10, 100%, $F$10)</f>
        <v>20.5</v>
      </c>
      <c r="K715" s="4"/>
      <c r="L715" s="9">
        <v>30.092199999999998</v>
      </c>
      <c r="M715" s="9">
        <v>11.6745</v>
      </c>
      <c r="N715" s="9">
        <v>4.7850000000000001</v>
      </c>
      <c r="O715" s="9">
        <v>0.36199999999999999</v>
      </c>
      <c r="P715" s="9">
        <v>1.2509999999999999</v>
      </c>
      <c r="Q715" s="9">
        <v>19.053000000000001</v>
      </c>
      <c r="R715" s="9"/>
      <c r="S715" s="11"/>
    </row>
    <row r="716" spans="1:19" ht="15" customHeight="1">
      <c r="A716" s="13">
        <v>62975</v>
      </c>
      <c r="B716" s="8">
        <f>CHOOSE( CONTROL!$C$33, 21.7206, 21.719) * CHOOSE(CONTROL!$C$16, $D$10, 100%, $F$10)</f>
        <v>21.720600000000001</v>
      </c>
      <c r="C716" s="8">
        <f>CHOOSE( CONTROL!$C$33, 21.7286, 21.727) * CHOOSE(CONTROL!$C$16, $D$10, 100%, $F$10)</f>
        <v>21.7286</v>
      </c>
      <c r="D716" s="8">
        <f>CHOOSE( CONTROL!$C$33, 21.7508, 21.7492) * CHOOSE( CONTROL!$C$16, $D$10, 100%, $F$10)</f>
        <v>21.750800000000002</v>
      </c>
      <c r="E716" s="12">
        <f>CHOOSE( CONTROL!$C$33, 21.7415, 21.7399) * CHOOSE( CONTROL!$C$16, $D$10, 100%, $F$10)</f>
        <v>21.741499999999998</v>
      </c>
      <c r="F716" s="4">
        <f>CHOOSE( CONTROL!$C$33, 22.4975, 22.4959) * CHOOSE(CONTROL!$C$16, $D$10, 100%, $F$10)</f>
        <v>22.497499999999999</v>
      </c>
      <c r="G716" s="8">
        <f>CHOOSE( CONTROL!$C$33, 21.4785, 21.477) * CHOOSE( CONTROL!$C$16, $D$10, 100%, $F$10)</f>
        <v>21.4785</v>
      </c>
      <c r="H716" s="4">
        <f>CHOOSE( CONTROL!$C$33, 22.4575, 22.4559) * CHOOSE(CONTROL!$C$16, $D$10, 100%, $F$10)</f>
        <v>22.4575</v>
      </c>
      <c r="I716" s="8">
        <f>CHOOSE( CONTROL!$C$33, 21.1729, 21.1713) * CHOOSE(CONTROL!$C$16, $D$10, 100%, $F$10)</f>
        <v>21.172899999999998</v>
      </c>
      <c r="J716" s="4">
        <f>CHOOSE( CONTROL!$C$33, 21.0466, 21.0451) * CHOOSE(CONTROL!$C$16, $D$10, 100%, $F$10)</f>
        <v>21.046600000000002</v>
      </c>
      <c r="K716" s="4"/>
      <c r="L716" s="9">
        <v>30.7165</v>
      </c>
      <c r="M716" s="9">
        <v>12.063700000000001</v>
      </c>
      <c r="N716" s="9">
        <v>4.9444999999999997</v>
      </c>
      <c r="O716" s="9">
        <v>0.37409999999999999</v>
      </c>
      <c r="P716" s="9">
        <v>1.2927</v>
      </c>
      <c r="Q716" s="9">
        <v>19.688099999999999</v>
      </c>
      <c r="R716" s="9"/>
      <c r="S716" s="11"/>
    </row>
    <row r="717" spans="1:19" ht="15" customHeight="1">
      <c r="A717" s="13">
        <v>63005</v>
      </c>
      <c r="B717" s="8">
        <f>CHOOSE( CONTROL!$C$33, 21.3711, 21.3696) * CHOOSE(CONTROL!$C$16, $D$10, 100%, $F$10)</f>
        <v>21.371099999999998</v>
      </c>
      <c r="C717" s="8">
        <f>CHOOSE( CONTROL!$C$33, 21.3791, 21.3776) * CHOOSE(CONTROL!$C$16, $D$10, 100%, $F$10)</f>
        <v>21.379100000000001</v>
      </c>
      <c r="D717" s="8">
        <f>CHOOSE( CONTROL!$C$33, 21.4015, 21.4) * CHOOSE( CONTROL!$C$16, $D$10, 100%, $F$10)</f>
        <v>21.401499999999999</v>
      </c>
      <c r="E717" s="12">
        <f>CHOOSE( CONTROL!$C$33, 21.3922, 21.3907) * CHOOSE( CONTROL!$C$16, $D$10, 100%, $F$10)</f>
        <v>21.392199999999999</v>
      </c>
      <c r="F717" s="4">
        <f>CHOOSE( CONTROL!$C$33, 22.1481, 22.1465) * CHOOSE(CONTROL!$C$16, $D$10, 100%, $F$10)</f>
        <v>22.148099999999999</v>
      </c>
      <c r="G717" s="8">
        <f>CHOOSE( CONTROL!$C$33, 21.1341, 21.1325) * CHOOSE( CONTROL!$C$16, $D$10, 100%, $F$10)</f>
        <v>21.1341</v>
      </c>
      <c r="H717" s="4">
        <f>CHOOSE( CONTROL!$C$33, 22.1129, 22.1114) * CHOOSE(CONTROL!$C$16, $D$10, 100%, $F$10)</f>
        <v>22.1129</v>
      </c>
      <c r="I717" s="8">
        <f>CHOOSE( CONTROL!$C$33, 20.8349, 20.8334) * CHOOSE(CONTROL!$C$16, $D$10, 100%, $F$10)</f>
        <v>20.834900000000001</v>
      </c>
      <c r="J717" s="4">
        <f>CHOOSE( CONTROL!$C$33, 20.7083, 20.7068) * CHOOSE(CONTROL!$C$16, $D$10, 100%, $F$10)</f>
        <v>20.708300000000001</v>
      </c>
      <c r="K717" s="4"/>
      <c r="L717" s="9">
        <v>29.7257</v>
      </c>
      <c r="M717" s="9">
        <v>11.6745</v>
      </c>
      <c r="N717" s="9">
        <v>4.7850000000000001</v>
      </c>
      <c r="O717" s="9">
        <v>0.36199999999999999</v>
      </c>
      <c r="P717" s="9">
        <v>1.2509999999999999</v>
      </c>
      <c r="Q717" s="9">
        <v>19.053000000000001</v>
      </c>
      <c r="R717" s="9"/>
      <c r="S717" s="11"/>
    </row>
    <row r="718" spans="1:19" ht="15" customHeight="1">
      <c r="A718" s="13">
        <v>63036</v>
      </c>
      <c r="B718" s="8">
        <f>CHOOSE( CONTROL!$C$33, 22.2913, 22.2898) * CHOOSE(CONTROL!$C$16, $D$10, 100%, $F$10)</f>
        <v>22.2913</v>
      </c>
      <c r="C718" s="8">
        <f>CHOOSE( CONTROL!$C$33, 22.2993, 22.2978) * CHOOSE(CONTROL!$C$16, $D$10, 100%, $F$10)</f>
        <v>22.299299999999999</v>
      </c>
      <c r="D718" s="8">
        <f>CHOOSE( CONTROL!$C$33, 22.3219, 22.3204) * CHOOSE( CONTROL!$C$16, $D$10, 100%, $F$10)</f>
        <v>22.321899999999999</v>
      </c>
      <c r="E718" s="12">
        <f>CHOOSE( CONTROL!$C$33, 22.3125, 22.311) * CHOOSE( CONTROL!$C$16, $D$10, 100%, $F$10)</f>
        <v>22.3125</v>
      </c>
      <c r="F718" s="4">
        <f>CHOOSE( CONTROL!$C$33, 23.0683, 23.0667) * CHOOSE(CONTROL!$C$16, $D$10, 100%, $F$10)</f>
        <v>23.068300000000001</v>
      </c>
      <c r="G718" s="8">
        <f>CHOOSE( CONTROL!$C$33, 22.0416, 22.0401) * CHOOSE( CONTROL!$C$16, $D$10, 100%, $F$10)</f>
        <v>22.041599999999999</v>
      </c>
      <c r="H718" s="4">
        <f>CHOOSE( CONTROL!$C$33, 23.0203, 23.0187) * CHOOSE(CONTROL!$C$16, $D$10, 100%, $F$10)</f>
        <v>23.020299999999999</v>
      </c>
      <c r="I718" s="8">
        <f>CHOOSE( CONTROL!$C$33, 21.7271, 21.7256) * CHOOSE(CONTROL!$C$16, $D$10, 100%, $F$10)</f>
        <v>21.7271</v>
      </c>
      <c r="J718" s="4">
        <f>CHOOSE( CONTROL!$C$33, 21.5993, 21.5978) * CHOOSE(CONTROL!$C$16, $D$10, 100%, $F$10)</f>
        <v>21.599299999999999</v>
      </c>
      <c r="K718" s="4"/>
      <c r="L718" s="9">
        <v>30.7165</v>
      </c>
      <c r="M718" s="9">
        <v>12.063700000000001</v>
      </c>
      <c r="N718" s="9">
        <v>4.9444999999999997</v>
      </c>
      <c r="O718" s="9">
        <v>0.37409999999999999</v>
      </c>
      <c r="P718" s="9">
        <v>1.2927</v>
      </c>
      <c r="Q718" s="9">
        <v>19.688099999999999</v>
      </c>
      <c r="R718" s="9"/>
      <c r="S718" s="11"/>
    </row>
    <row r="719" spans="1:19" ht="15" customHeight="1">
      <c r="A719" s="13">
        <v>63067</v>
      </c>
      <c r="B719" s="8">
        <f>CHOOSE( CONTROL!$C$33, 20.5696, 20.568) * CHOOSE(CONTROL!$C$16, $D$10, 100%, $F$10)</f>
        <v>20.569600000000001</v>
      </c>
      <c r="C719" s="8">
        <f>CHOOSE( CONTROL!$C$33, 20.5776, 20.576) * CHOOSE(CONTROL!$C$16, $D$10, 100%, $F$10)</f>
        <v>20.5776</v>
      </c>
      <c r="D719" s="8">
        <f>CHOOSE( CONTROL!$C$33, 20.6002, 20.5987) * CHOOSE( CONTROL!$C$16, $D$10, 100%, $F$10)</f>
        <v>20.600200000000001</v>
      </c>
      <c r="E719" s="12">
        <f>CHOOSE( CONTROL!$C$33, 20.5908, 20.5893) * CHOOSE( CONTROL!$C$16, $D$10, 100%, $F$10)</f>
        <v>20.590800000000002</v>
      </c>
      <c r="F719" s="4">
        <f>CHOOSE( CONTROL!$C$33, 21.3465, 21.3449) * CHOOSE(CONTROL!$C$16, $D$10, 100%, $F$10)</f>
        <v>21.346499999999999</v>
      </c>
      <c r="G719" s="8">
        <f>CHOOSE( CONTROL!$C$33, 20.3439, 20.3424) * CHOOSE( CONTROL!$C$16, $D$10, 100%, $F$10)</f>
        <v>20.343900000000001</v>
      </c>
      <c r="H719" s="4">
        <f>CHOOSE( CONTROL!$C$33, 21.3225, 21.321) * CHOOSE(CONTROL!$C$16, $D$10, 100%, $F$10)</f>
        <v>21.322500000000002</v>
      </c>
      <c r="I719" s="8">
        <f>CHOOSE( CONTROL!$C$33, 20.0593, 20.0578) * CHOOSE(CONTROL!$C$16, $D$10, 100%, $F$10)</f>
        <v>20.0593</v>
      </c>
      <c r="J719" s="4">
        <f>CHOOSE( CONTROL!$C$33, 19.9321, 19.9306) * CHOOSE(CONTROL!$C$16, $D$10, 100%, $F$10)</f>
        <v>19.932099999999998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1.2927</v>
      </c>
      <c r="Q719" s="9">
        <v>19.688099999999999</v>
      </c>
      <c r="R719" s="9"/>
      <c r="S719" s="11"/>
    </row>
    <row r="720" spans="1:19" ht="15" customHeight="1">
      <c r="A720" s="13">
        <v>63097</v>
      </c>
      <c r="B720" s="8">
        <f>CHOOSE( CONTROL!$C$33, 20.1384, 20.1368) * CHOOSE(CONTROL!$C$16, $D$10, 100%, $F$10)</f>
        <v>20.138400000000001</v>
      </c>
      <c r="C720" s="8">
        <f>CHOOSE( CONTROL!$C$33, 20.1464, 20.1448) * CHOOSE(CONTROL!$C$16, $D$10, 100%, $F$10)</f>
        <v>20.1464</v>
      </c>
      <c r="D720" s="8">
        <f>CHOOSE( CONTROL!$C$33, 20.169, 20.1674) * CHOOSE( CONTROL!$C$16, $D$10, 100%, $F$10)</f>
        <v>20.169</v>
      </c>
      <c r="E720" s="12">
        <f>CHOOSE( CONTROL!$C$33, 20.1596, 20.158) * CHOOSE( CONTROL!$C$16, $D$10, 100%, $F$10)</f>
        <v>20.159600000000001</v>
      </c>
      <c r="F720" s="4">
        <f>CHOOSE( CONTROL!$C$33, 20.9153, 20.9138) * CHOOSE(CONTROL!$C$16, $D$10, 100%, $F$10)</f>
        <v>20.915299999999998</v>
      </c>
      <c r="G720" s="8">
        <f>CHOOSE( CONTROL!$C$33, 19.9187, 19.9171) * CHOOSE( CONTROL!$C$16, $D$10, 100%, $F$10)</f>
        <v>19.918700000000001</v>
      </c>
      <c r="H720" s="4">
        <f>CHOOSE( CONTROL!$C$33, 20.8974, 20.8958) * CHOOSE(CONTROL!$C$16, $D$10, 100%, $F$10)</f>
        <v>20.897400000000001</v>
      </c>
      <c r="I720" s="8">
        <f>CHOOSE( CONTROL!$C$33, 19.6412, 19.6397) * CHOOSE(CONTROL!$C$16, $D$10, 100%, $F$10)</f>
        <v>19.641200000000001</v>
      </c>
      <c r="J720" s="4">
        <f>CHOOSE( CONTROL!$C$33, 19.5146, 19.5131) * CHOOSE(CONTROL!$C$16, $D$10, 100%, $F$10)</f>
        <v>19.514600000000002</v>
      </c>
      <c r="K720" s="4"/>
      <c r="L720" s="9">
        <v>29.7257</v>
      </c>
      <c r="M720" s="9">
        <v>11.6745</v>
      </c>
      <c r="N720" s="9">
        <v>4.7850000000000001</v>
      </c>
      <c r="O720" s="9">
        <v>0.36199999999999999</v>
      </c>
      <c r="P720" s="9">
        <v>1.2509999999999999</v>
      </c>
      <c r="Q720" s="9">
        <v>19.053000000000001</v>
      </c>
      <c r="R720" s="9"/>
      <c r="S720" s="11"/>
    </row>
    <row r="721" spans="1:19" ht="15" customHeight="1">
      <c r="A721" s="13">
        <v>63128</v>
      </c>
      <c r="B721" s="8">
        <f>CHOOSE( CONTROL!$C$33, 21.0315, 21.0303) * CHOOSE(CONTROL!$C$16, $D$10, 100%, $F$10)</f>
        <v>21.031500000000001</v>
      </c>
      <c r="C721" s="8">
        <f>CHOOSE( CONTROL!$C$33, 21.0368, 21.0357) * CHOOSE(CONTROL!$C$16, $D$10, 100%, $F$10)</f>
        <v>21.036799999999999</v>
      </c>
      <c r="D721" s="8">
        <f>CHOOSE( CONTROL!$C$33, 21.0656, 21.0645) * CHOOSE( CONTROL!$C$16, $D$10, 100%, $F$10)</f>
        <v>21.0656</v>
      </c>
      <c r="E721" s="12">
        <f>CHOOSE( CONTROL!$C$33, 21.0555, 21.0544) * CHOOSE( CONTROL!$C$16, $D$10, 100%, $F$10)</f>
        <v>21.055499999999999</v>
      </c>
      <c r="F721" s="4">
        <f>CHOOSE( CONTROL!$C$33, 21.8101, 21.809) * CHOOSE(CONTROL!$C$16, $D$10, 100%, $F$10)</f>
        <v>21.810099999999998</v>
      </c>
      <c r="G721" s="8">
        <f>CHOOSE( CONTROL!$C$33, 20.8011, 20.8) * CHOOSE( CONTROL!$C$16, $D$10, 100%, $F$10)</f>
        <v>20.801100000000002</v>
      </c>
      <c r="H721" s="4">
        <f>CHOOSE( CONTROL!$C$33, 21.7797, 21.7786) * CHOOSE(CONTROL!$C$16, $D$10, 100%, $F$10)</f>
        <v>21.779699999999998</v>
      </c>
      <c r="I721" s="8">
        <f>CHOOSE( CONTROL!$C$33, 20.5086, 20.5075) * CHOOSE(CONTROL!$C$16, $D$10, 100%, $F$10)</f>
        <v>20.508600000000001</v>
      </c>
      <c r="J721" s="4">
        <f>CHOOSE( CONTROL!$C$33, 20.381, 20.3799) * CHOOSE(CONTROL!$C$16, $D$10, 100%, $F$10)</f>
        <v>20.381</v>
      </c>
      <c r="K721" s="4"/>
      <c r="L721" s="9">
        <v>31.095300000000002</v>
      </c>
      <c r="M721" s="9">
        <v>12.063700000000001</v>
      </c>
      <c r="N721" s="9">
        <v>4.9444999999999997</v>
      </c>
      <c r="O721" s="9">
        <v>0.37409999999999999</v>
      </c>
      <c r="P721" s="9">
        <v>1.2927</v>
      </c>
      <c r="Q721" s="9">
        <v>19.688099999999999</v>
      </c>
      <c r="R721" s="9"/>
      <c r="S721" s="11"/>
    </row>
    <row r="722" spans="1:19" ht="15" customHeight="1">
      <c r="A722" s="13">
        <v>63158</v>
      </c>
      <c r="B722" s="8">
        <f>CHOOSE( CONTROL!$C$33, 22.6834, 22.6823) * CHOOSE(CONTROL!$C$16, $D$10, 100%, $F$10)</f>
        <v>22.683399999999999</v>
      </c>
      <c r="C722" s="8">
        <f>CHOOSE( CONTROL!$C$33, 22.6885, 22.6874) * CHOOSE(CONTROL!$C$16, $D$10, 100%, $F$10)</f>
        <v>22.688500000000001</v>
      </c>
      <c r="D722" s="8">
        <f>CHOOSE( CONTROL!$C$33, 22.6682, 22.6671) * CHOOSE( CONTROL!$C$16, $D$10, 100%, $F$10)</f>
        <v>22.668199999999999</v>
      </c>
      <c r="E722" s="12">
        <f>CHOOSE( CONTROL!$C$33, 22.6751, 22.674) * CHOOSE( CONTROL!$C$16, $D$10, 100%, $F$10)</f>
        <v>22.6751</v>
      </c>
      <c r="F722" s="4">
        <f>CHOOSE( CONTROL!$C$33, 23.3463, 23.3452) * CHOOSE(CONTROL!$C$16, $D$10, 100%, $F$10)</f>
        <v>23.346299999999999</v>
      </c>
      <c r="G722" s="8">
        <f>CHOOSE( CONTROL!$C$33, 22.4029, 22.4018) * CHOOSE( CONTROL!$C$16, $D$10, 100%, $F$10)</f>
        <v>22.402899999999999</v>
      </c>
      <c r="H722" s="4">
        <f>CHOOSE( CONTROL!$C$33, 23.2944, 23.2933) * CHOOSE(CONTROL!$C$16, $D$10, 100%, $F$10)</f>
        <v>23.2944</v>
      </c>
      <c r="I722" s="8">
        <f>CHOOSE( CONTROL!$C$33, 22.1572, 22.1561) * CHOOSE(CONTROL!$C$16, $D$10, 100%, $F$10)</f>
        <v>22.1572</v>
      </c>
      <c r="J722" s="4">
        <f>CHOOSE( CONTROL!$C$33, 21.981, 21.9799) * CHOOSE(CONTROL!$C$16, $D$10, 100%, $F$10)</f>
        <v>21.981000000000002</v>
      </c>
      <c r="K722" s="4"/>
      <c r="L722" s="9">
        <v>28.360600000000002</v>
      </c>
      <c r="M722" s="9">
        <v>11.6745</v>
      </c>
      <c r="N722" s="9">
        <v>4.7850000000000001</v>
      </c>
      <c r="O722" s="9">
        <v>0.36199999999999999</v>
      </c>
      <c r="P722" s="9">
        <v>1.2509999999999999</v>
      </c>
      <c r="Q722" s="9">
        <v>19.053000000000001</v>
      </c>
      <c r="R722" s="9"/>
      <c r="S722" s="11"/>
    </row>
    <row r="723" spans="1:19" ht="15" customHeight="1">
      <c r="A723" s="13">
        <v>63189</v>
      </c>
      <c r="B723" s="8">
        <f>CHOOSE( CONTROL!$C$33, 22.6422, 22.641) * CHOOSE(CONTROL!$C$16, $D$10, 100%, $F$10)</f>
        <v>22.642199999999999</v>
      </c>
      <c r="C723" s="8">
        <f>CHOOSE( CONTROL!$C$33, 22.6473, 22.6461) * CHOOSE(CONTROL!$C$16, $D$10, 100%, $F$10)</f>
        <v>22.647300000000001</v>
      </c>
      <c r="D723" s="8">
        <f>CHOOSE( CONTROL!$C$33, 22.6284, 22.6273) * CHOOSE( CONTROL!$C$16, $D$10, 100%, $F$10)</f>
        <v>22.628399999999999</v>
      </c>
      <c r="E723" s="12">
        <f>CHOOSE( CONTROL!$C$33, 22.6348, 22.6336) * CHOOSE( CONTROL!$C$16, $D$10, 100%, $F$10)</f>
        <v>22.634799999999998</v>
      </c>
      <c r="F723" s="4">
        <f>CHOOSE( CONTROL!$C$33, 23.305, 23.3039) * CHOOSE(CONTROL!$C$16, $D$10, 100%, $F$10)</f>
        <v>23.305</v>
      </c>
      <c r="G723" s="8">
        <f>CHOOSE( CONTROL!$C$33, 22.3633, 22.3622) * CHOOSE( CONTROL!$C$16, $D$10, 100%, $F$10)</f>
        <v>22.363299999999999</v>
      </c>
      <c r="H723" s="4">
        <f>CHOOSE( CONTROL!$C$33, 23.2537, 23.2526) * CHOOSE(CONTROL!$C$16, $D$10, 100%, $F$10)</f>
        <v>23.253699999999998</v>
      </c>
      <c r="I723" s="8">
        <f>CHOOSE( CONTROL!$C$33, 22.1217, 22.1206) * CHOOSE(CONTROL!$C$16, $D$10, 100%, $F$10)</f>
        <v>22.121700000000001</v>
      </c>
      <c r="J723" s="4">
        <f>CHOOSE( CONTROL!$C$33, 21.9411, 21.94) * CHOOSE(CONTROL!$C$16, $D$10, 100%, $F$10)</f>
        <v>21.941099999999999</v>
      </c>
      <c r="K723" s="4"/>
      <c r="L723" s="9">
        <v>29.306000000000001</v>
      </c>
      <c r="M723" s="9">
        <v>12.063700000000001</v>
      </c>
      <c r="N723" s="9">
        <v>4.9444999999999997</v>
      </c>
      <c r="O723" s="9">
        <v>0.37409999999999999</v>
      </c>
      <c r="P723" s="9">
        <v>1.2927</v>
      </c>
      <c r="Q723" s="9">
        <v>19.688099999999999</v>
      </c>
      <c r="R723" s="9"/>
      <c r="S723" s="11"/>
    </row>
    <row r="724" spans="1:19" ht="15" customHeight="1">
      <c r="A724" s="13">
        <v>63220</v>
      </c>
      <c r="B724" s="8">
        <f>CHOOSE( CONTROL!$C$33, 23.3105, 23.3094) * CHOOSE(CONTROL!$C$16, $D$10, 100%, $F$10)</f>
        <v>23.310500000000001</v>
      </c>
      <c r="C724" s="8">
        <f>CHOOSE( CONTROL!$C$33, 23.3156, 23.3145) * CHOOSE(CONTROL!$C$16, $D$10, 100%, $F$10)</f>
        <v>23.3156</v>
      </c>
      <c r="D724" s="8">
        <f>CHOOSE( CONTROL!$C$33, 23.308, 23.3068) * CHOOSE( CONTROL!$C$16, $D$10, 100%, $F$10)</f>
        <v>23.308</v>
      </c>
      <c r="E724" s="12">
        <f>CHOOSE( CONTROL!$C$33, 23.3102, 23.3091) * CHOOSE( CONTROL!$C$16, $D$10, 100%, $F$10)</f>
        <v>23.310199999999998</v>
      </c>
      <c r="F724" s="4">
        <f>CHOOSE( CONTROL!$C$33, 23.9734, 23.9722) * CHOOSE(CONTROL!$C$16, $D$10, 100%, $F$10)</f>
        <v>23.973400000000002</v>
      </c>
      <c r="G724" s="8">
        <f>CHOOSE( CONTROL!$C$33, 23.0281, 23.027) * CHOOSE( CONTROL!$C$16, $D$10, 100%, $F$10)</f>
        <v>23.028099999999998</v>
      </c>
      <c r="H724" s="4">
        <f>CHOOSE( CONTROL!$C$33, 23.9128, 23.9117) * CHOOSE(CONTROL!$C$16, $D$10, 100%, $F$10)</f>
        <v>23.912800000000001</v>
      </c>
      <c r="I724" s="8">
        <f>CHOOSE( CONTROL!$C$33, 22.7605, 22.7594) * CHOOSE(CONTROL!$C$16, $D$10, 100%, $F$10)</f>
        <v>22.7605</v>
      </c>
      <c r="J724" s="4">
        <f>CHOOSE( CONTROL!$C$33, 22.5882, 22.5871) * CHOOSE(CONTROL!$C$16, $D$10, 100%, $F$10)</f>
        <v>22.588200000000001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" customHeight="1">
      <c r="A725" s="13">
        <v>63248</v>
      </c>
      <c r="B725" s="8">
        <f>CHOOSE( CONTROL!$C$33, 21.8025, 21.8014) * CHOOSE(CONTROL!$C$16, $D$10, 100%, $F$10)</f>
        <v>21.802499999999998</v>
      </c>
      <c r="C725" s="8">
        <f>CHOOSE( CONTROL!$C$33, 21.8076, 21.8065) * CHOOSE(CONTROL!$C$16, $D$10, 100%, $F$10)</f>
        <v>21.807600000000001</v>
      </c>
      <c r="D725" s="8">
        <f>CHOOSE( CONTROL!$C$33, 21.7998, 21.7986) * CHOOSE( CONTROL!$C$16, $D$10, 100%, $F$10)</f>
        <v>21.799800000000001</v>
      </c>
      <c r="E725" s="12">
        <f>CHOOSE( CONTROL!$C$33, 21.8021, 21.8009) * CHOOSE( CONTROL!$C$16, $D$10, 100%, $F$10)</f>
        <v>21.802099999999999</v>
      </c>
      <c r="F725" s="4">
        <f>CHOOSE( CONTROL!$C$33, 22.4653, 22.4642) * CHOOSE(CONTROL!$C$16, $D$10, 100%, $F$10)</f>
        <v>22.465299999999999</v>
      </c>
      <c r="G725" s="8">
        <f>CHOOSE( CONTROL!$C$33, 21.541, 21.5399) * CHOOSE( CONTROL!$C$16, $D$10, 100%, $F$10)</f>
        <v>21.541</v>
      </c>
      <c r="H725" s="4">
        <f>CHOOSE( CONTROL!$C$33, 22.4258, 22.4247) * CHOOSE(CONTROL!$C$16, $D$10, 100%, $F$10)</f>
        <v>22.425799999999999</v>
      </c>
      <c r="I725" s="8">
        <f>CHOOSE( CONTROL!$C$33, 21.2989, 21.2978) * CHOOSE(CONTROL!$C$16, $D$10, 100%, $F$10)</f>
        <v>21.2989</v>
      </c>
      <c r="J725" s="4">
        <f>CHOOSE( CONTROL!$C$33, 21.128, 21.1269) * CHOOSE(CONTROL!$C$16, $D$10, 100%, $F$10)</f>
        <v>21.128</v>
      </c>
      <c r="K725" s="4"/>
      <c r="L725" s="9">
        <v>26.469899999999999</v>
      </c>
      <c r="M725" s="9">
        <v>10.8962</v>
      </c>
      <c r="N725" s="9">
        <v>4.4660000000000002</v>
      </c>
      <c r="O725" s="9">
        <v>0.33789999999999998</v>
      </c>
      <c r="P725" s="9">
        <v>1.1676</v>
      </c>
      <c r="Q725" s="9">
        <v>17.782800000000002</v>
      </c>
      <c r="R725" s="9"/>
      <c r="S725" s="11"/>
    </row>
    <row r="726" spans="1:19" ht="15" customHeight="1">
      <c r="A726" s="13">
        <v>63279</v>
      </c>
      <c r="B726" s="8">
        <f>CHOOSE( CONTROL!$C$33, 21.338, 21.3369) * CHOOSE(CONTROL!$C$16, $D$10, 100%, $F$10)</f>
        <v>21.338000000000001</v>
      </c>
      <c r="C726" s="8">
        <f>CHOOSE( CONTROL!$C$33, 21.3431, 21.342) * CHOOSE(CONTROL!$C$16, $D$10, 100%, $F$10)</f>
        <v>21.3431</v>
      </c>
      <c r="D726" s="8">
        <f>CHOOSE( CONTROL!$C$33, 21.3346, 21.3334) * CHOOSE( CONTROL!$C$16, $D$10, 100%, $F$10)</f>
        <v>21.334599999999998</v>
      </c>
      <c r="E726" s="12">
        <f>CHOOSE( CONTROL!$C$33, 21.3372, 21.336) * CHOOSE( CONTROL!$C$16, $D$10, 100%, $F$10)</f>
        <v>21.337199999999999</v>
      </c>
      <c r="F726" s="4">
        <f>CHOOSE( CONTROL!$C$33, 22.0009, 21.9998) * CHOOSE(CONTROL!$C$16, $D$10, 100%, $F$10)</f>
        <v>22.000900000000001</v>
      </c>
      <c r="G726" s="8">
        <f>CHOOSE( CONTROL!$C$33, 21.0825, 21.0814) * CHOOSE( CONTROL!$C$16, $D$10, 100%, $F$10)</f>
        <v>21.0825</v>
      </c>
      <c r="H726" s="4">
        <f>CHOOSE( CONTROL!$C$33, 21.9678, 21.9667) * CHOOSE(CONTROL!$C$16, $D$10, 100%, $F$10)</f>
        <v>21.9678</v>
      </c>
      <c r="I726" s="8">
        <f>CHOOSE( CONTROL!$C$33, 20.8467, 20.8456) * CHOOSE(CONTROL!$C$16, $D$10, 100%, $F$10)</f>
        <v>20.846699999999998</v>
      </c>
      <c r="J726" s="4">
        <f>CHOOSE( CONTROL!$C$33, 20.6783, 20.6772) * CHOOSE(CONTROL!$C$16, $D$10, 100%, $F$10)</f>
        <v>20.6783</v>
      </c>
      <c r="K726" s="4"/>
      <c r="L726" s="9">
        <v>29.306000000000001</v>
      </c>
      <c r="M726" s="9">
        <v>12.063700000000001</v>
      </c>
      <c r="N726" s="9">
        <v>4.9444999999999997</v>
      </c>
      <c r="O726" s="9">
        <v>0.37409999999999999</v>
      </c>
      <c r="P726" s="9">
        <v>1.2927</v>
      </c>
      <c r="Q726" s="9">
        <v>19.688099999999999</v>
      </c>
      <c r="R726" s="9"/>
      <c r="S726" s="11"/>
    </row>
    <row r="727" spans="1:19" ht="15" customHeight="1">
      <c r="A727" s="13">
        <v>63309</v>
      </c>
      <c r="B727" s="8">
        <f>CHOOSE( CONTROL!$C$33, 21.6633, 21.6622) * CHOOSE(CONTROL!$C$16, $D$10, 100%, $F$10)</f>
        <v>21.6633</v>
      </c>
      <c r="C727" s="8">
        <f>CHOOSE( CONTROL!$C$33, 21.6679, 21.6667) * CHOOSE(CONTROL!$C$16, $D$10, 100%, $F$10)</f>
        <v>21.667899999999999</v>
      </c>
      <c r="D727" s="8">
        <f>CHOOSE( CONTROL!$C$33, 21.6967, 21.6956) * CHOOSE( CONTROL!$C$16, $D$10, 100%, $F$10)</f>
        <v>21.6967</v>
      </c>
      <c r="E727" s="12">
        <f>CHOOSE( CONTROL!$C$33, 21.6867, 21.6855) * CHOOSE( CONTROL!$C$16, $D$10, 100%, $F$10)</f>
        <v>21.686699999999998</v>
      </c>
      <c r="F727" s="4">
        <f>CHOOSE( CONTROL!$C$33, 22.4416, 22.4405) * CHOOSE(CONTROL!$C$16, $D$10, 100%, $F$10)</f>
        <v>22.441600000000001</v>
      </c>
      <c r="G727" s="8">
        <f>CHOOSE( CONTROL!$C$33, 21.4235, 21.4224) * CHOOSE( CONTROL!$C$16, $D$10, 100%, $F$10)</f>
        <v>21.423500000000001</v>
      </c>
      <c r="H727" s="4">
        <f>CHOOSE( CONTROL!$C$33, 22.4024, 22.4013) * CHOOSE(CONTROL!$C$16, $D$10, 100%, $F$10)</f>
        <v>22.4024</v>
      </c>
      <c r="I727" s="8">
        <f>CHOOSE( CONTROL!$C$33, 21.1191, 21.118) * CHOOSE(CONTROL!$C$16, $D$10, 100%, $F$10)</f>
        <v>21.1191</v>
      </c>
      <c r="J727" s="4">
        <f>CHOOSE( CONTROL!$C$33, 20.9925, 20.9914) * CHOOSE(CONTROL!$C$16, $D$10, 100%, $F$10)</f>
        <v>20.9925</v>
      </c>
      <c r="K727" s="4"/>
      <c r="L727" s="9">
        <v>30.092199999999998</v>
      </c>
      <c r="M727" s="9">
        <v>11.6745</v>
      </c>
      <c r="N727" s="9">
        <v>4.7850000000000001</v>
      </c>
      <c r="O727" s="9">
        <v>0.36199999999999999</v>
      </c>
      <c r="P727" s="9">
        <v>1.2509999999999999</v>
      </c>
      <c r="Q727" s="9">
        <v>19.053000000000001</v>
      </c>
      <c r="R727" s="9"/>
      <c r="S727" s="11"/>
    </row>
    <row r="728" spans="1:19" ht="15" customHeight="1">
      <c r="A728" s="13">
        <v>63340</v>
      </c>
      <c r="B728" s="8">
        <f>CHOOSE( CONTROL!$C$33, 22.2428, 22.2412) * CHOOSE(CONTROL!$C$16, $D$10, 100%, $F$10)</f>
        <v>22.242799999999999</v>
      </c>
      <c r="C728" s="8">
        <f>CHOOSE( CONTROL!$C$33, 22.2508, 22.2492) * CHOOSE(CONTROL!$C$16, $D$10, 100%, $F$10)</f>
        <v>22.250800000000002</v>
      </c>
      <c r="D728" s="8">
        <f>CHOOSE( CONTROL!$C$33, 22.273, 22.2714) * CHOOSE( CONTROL!$C$16, $D$10, 100%, $F$10)</f>
        <v>22.273</v>
      </c>
      <c r="E728" s="12">
        <f>CHOOSE( CONTROL!$C$33, 22.2637, 22.2621) * CHOOSE( CONTROL!$C$16, $D$10, 100%, $F$10)</f>
        <v>22.2637</v>
      </c>
      <c r="F728" s="4">
        <f>CHOOSE( CONTROL!$C$33, 23.0197, 23.0181) * CHOOSE(CONTROL!$C$16, $D$10, 100%, $F$10)</f>
        <v>23.0197</v>
      </c>
      <c r="G728" s="8">
        <f>CHOOSE( CONTROL!$C$33, 21.9934, 21.9919) * CHOOSE( CONTROL!$C$16, $D$10, 100%, $F$10)</f>
        <v>21.993400000000001</v>
      </c>
      <c r="H728" s="4">
        <f>CHOOSE( CONTROL!$C$33, 22.9724, 22.9709) * CHOOSE(CONTROL!$C$16, $D$10, 100%, $F$10)</f>
        <v>22.9724</v>
      </c>
      <c r="I728" s="8">
        <f>CHOOSE( CONTROL!$C$33, 21.6788, 21.6772) * CHOOSE(CONTROL!$C$16, $D$10, 100%, $F$10)</f>
        <v>21.678799999999999</v>
      </c>
      <c r="J728" s="4">
        <f>CHOOSE( CONTROL!$C$33, 21.5523, 21.5508) * CHOOSE(CONTROL!$C$16, $D$10, 100%, $F$10)</f>
        <v>21.552299999999999</v>
      </c>
      <c r="K728" s="4"/>
      <c r="L728" s="9">
        <v>30.7165</v>
      </c>
      <c r="M728" s="9">
        <v>12.063700000000001</v>
      </c>
      <c r="N728" s="9">
        <v>4.9444999999999997</v>
      </c>
      <c r="O728" s="9">
        <v>0.37409999999999999</v>
      </c>
      <c r="P728" s="9">
        <v>1.2927</v>
      </c>
      <c r="Q728" s="9">
        <v>19.688099999999999</v>
      </c>
      <c r="R728" s="9"/>
      <c r="S728" s="11"/>
    </row>
    <row r="729" spans="1:19" ht="15" customHeight="1">
      <c r="A729" s="13">
        <v>63370</v>
      </c>
      <c r="B729" s="8">
        <f>CHOOSE( CONTROL!$C$33, 21.885, 21.8834) * CHOOSE(CONTROL!$C$16, $D$10, 100%, $F$10)</f>
        <v>21.885000000000002</v>
      </c>
      <c r="C729" s="8">
        <f>CHOOSE( CONTROL!$C$33, 21.893, 21.8914) * CHOOSE(CONTROL!$C$16, $D$10, 100%, $F$10)</f>
        <v>21.893000000000001</v>
      </c>
      <c r="D729" s="8">
        <f>CHOOSE( CONTROL!$C$33, 21.9154, 21.9138) * CHOOSE( CONTROL!$C$16, $D$10, 100%, $F$10)</f>
        <v>21.915400000000002</v>
      </c>
      <c r="E729" s="12">
        <f>CHOOSE( CONTROL!$C$33, 21.9061, 21.9045) * CHOOSE( CONTROL!$C$16, $D$10, 100%, $F$10)</f>
        <v>21.906099999999999</v>
      </c>
      <c r="F729" s="4">
        <f>CHOOSE( CONTROL!$C$33, 22.6619, 22.6603) * CHOOSE(CONTROL!$C$16, $D$10, 100%, $F$10)</f>
        <v>22.661899999999999</v>
      </c>
      <c r="G729" s="8">
        <f>CHOOSE( CONTROL!$C$33, 21.6407, 21.6392) * CHOOSE( CONTROL!$C$16, $D$10, 100%, $F$10)</f>
        <v>21.640699999999999</v>
      </c>
      <c r="H729" s="4">
        <f>CHOOSE( CONTROL!$C$33, 22.6196, 22.618) * CHOOSE(CONTROL!$C$16, $D$10, 100%, $F$10)</f>
        <v>22.619599999999998</v>
      </c>
      <c r="I729" s="8">
        <f>CHOOSE( CONTROL!$C$33, 21.3327, 21.3312) * CHOOSE(CONTROL!$C$16, $D$10, 100%, $F$10)</f>
        <v>21.332699999999999</v>
      </c>
      <c r="J729" s="4">
        <f>CHOOSE( CONTROL!$C$33, 21.2058, 21.2043) * CHOOSE(CONTROL!$C$16, $D$10, 100%, $F$10)</f>
        <v>21.2058</v>
      </c>
      <c r="K729" s="4"/>
      <c r="L729" s="9">
        <v>29.7257</v>
      </c>
      <c r="M729" s="9">
        <v>11.6745</v>
      </c>
      <c r="N729" s="9">
        <v>4.7850000000000001</v>
      </c>
      <c r="O729" s="9">
        <v>0.36199999999999999</v>
      </c>
      <c r="P729" s="9">
        <v>1.2509999999999999</v>
      </c>
      <c r="Q729" s="9">
        <v>19.053000000000001</v>
      </c>
      <c r="R729" s="9"/>
      <c r="S729" s="11"/>
    </row>
    <row r="730" spans="1:19" ht="15" customHeight="1">
      <c r="A730" s="13">
        <v>63401</v>
      </c>
      <c r="B730" s="8">
        <f>CHOOSE( CONTROL!$C$33, 22.8273, 22.8257) * CHOOSE(CONTROL!$C$16, $D$10, 100%, $F$10)</f>
        <v>22.827300000000001</v>
      </c>
      <c r="C730" s="8">
        <f>CHOOSE( CONTROL!$C$33, 22.8353, 22.8337) * CHOOSE(CONTROL!$C$16, $D$10, 100%, $F$10)</f>
        <v>22.8353</v>
      </c>
      <c r="D730" s="8">
        <f>CHOOSE( CONTROL!$C$33, 22.8579, 22.8563) * CHOOSE( CONTROL!$C$16, $D$10, 100%, $F$10)</f>
        <v>22.857900000000001</v>
      </c>
      <c r="E730" s="12">
        <f>CHOOSE( CONTROL!$C$33, 22.8485, 22.8469) * CHOOSE( CONTROL!$C$16, $D$10, 100%, $F$10)</f>
        <v>22.848500000000001</v>
      </c>
      <c r="F730" s="4">
        <f>CHOOSE( CONTROL!$C$33, 23.6042, 23.6026) * CHOOSE(CONTROL!$C$16, $D$10, 100%, $F$10)</f>
        <v>23.604199999999999</v>
      </c>
      <c r="G730" s="8">
        <f>CHOOSE( CONTROL!$C$33, 22.5701, 22.5685) * CHOOSE( CONTROL!$C$16, $D$10, 100%, $F$10)</f>
        <v>22.5701</v>
      </c>
      <c r="H730" s="4">
        <f>CHOOSE( CONTROL!$C$33, 23.5487, 23.5472) * CHOOSE(CONTROL!$C$16, $D$10, 100%, $F$10)</f>
        <v>23.5487</v>
      </c>
      <c r="I730" s="8">
        <f>CHOOSE( CONTROL!$C$33, 22.2463, 22.2448) * CHOOSE(CONTROL!$C$16, $D$10, 100%, $F$10)</f>
        <v>22.246300000000002</v>
      </c>
      <c r="J730" s="4">
        <f>CHOOSE( CONTROL!$C$33, 22.1182, 22.1167) * CHOOSE(CONTROL!$C$16, $D$10, 100%, $F$10)</f>
        <v>22.118200000000002</v>
      </c>
      <c r="K730" s="4"/>
      <c r="L730" s="9">
        <v>30.7165</v>
      </c>
      <c r="M730" s="9">
        <v>12.063700000000001</v>
      </c>
      <c r="N730" s="9">
        <v>4.9444999999999997</v>
      </c>
      <c r="O730" s="9">
        <v>0.37409999999999999</v>
      </c>
      <c r="P730" s="9">
        <v>1.2927</v>
      </c>
      <c r="Q730" s="9">
        <v>19.688099999999999</v>
      </c>
      <c r="R730" s="9"/>
      <c r="S730" s="11"/>
    </row>
    <row r="731" spans="1:19" ht="15" customHeight="1">
      <c r="A731" s="13">
        <v>63432</v>
      </c>
      <c r="B731" s="8">
        <f>CHOOSE( CONTROL!$C$33, 21.0641, 21.0625) * CHOOSE(CONTROL!$C$16, $D$10, 100%, $F$10)</f>
        <v>21.0641</v>
      </c>
      <c r="C731" s="8">
        <f>CHOOSE( CONTROL!$C$33, 21.0721, 21.0705) * CHOOSE(CONTROL!$C$16, $D$10, 100%, $F$10)</f>
        <v>21.072099999999999</v>
      </c>
      <c r="D731" s="8">
        <f>CHOOSE( CONTROL!$C$33, 21.0948, 21.0932) * CHOOSE( CONTROL!$C$16, $D$10, 100%, $F$10)</f>
        <v>21.094799999999999</v>
      </c>
      <c r="E731" s="12">
        <f>CHOOSE( CONTROL!$C$33, 21.0854, 21.0838) * CHOOSE( CONTROL!$C$16, $D$10, 100%, $F$10)</f>
        <v>21.0854</v>
      </c>
      <c r="F731" s="4">
        <f>CHOOSE( CONTROL!$C$33, 21.841, 21.8395) * CHOOSE(CONTROL!$C$16, $D$10, 100%, $F$10)</f>
        <v>21.841000000000001</v>
      </c>
      <c r="G731" s="8">
        <f>CHOOSE( CONTROL!$C$33, 20.8316, 20.83) * CHOOSE( CONTROL!$C$16, $D$10, 100%, $F$10)</f>
        <v>20.831600000000002</v>
      </c>
      <c r="H731" s="4">
        <f>CHOOSE( CONTROL!$C$33, 21.8102, 21.8086) * CHOOSE(CONTROL!$C$16, $D$10, 100%, $F$10)</f>
        <v>21.810199999999998</v>
      </c>
      <c r="I731" s="8">
        <f>CHOOSE( CONTROL!$C$33, 20.5384, 20.5369) * CHOOSE(CONTROL!$C$16, $D$10, 100%, $F$10)</f>
        <v>20.538399999999999</v>
      </c>
      <c r="J731" s="4">
        <f>CHOOSE( CONTROL!$C$33, 20.411, 20.4095) * CHOOSE(CONTROL!$C$16, $D$10, 100%, $F$10)</f>
        <v>20.411000000000001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1.2927</v>
      </c>
      <c r="Q731" s="9">
        <v>19.688099999999999</v>
      </c>
      <c r="R731" s="9"/>
      <c r="S731" s="11"/>
    </row>
    <row r="732" spans="1:19" ht="15" customHeight="1">
      <c r="A732" s="13">
        <v>63462</v>
      </c>
      <c r="B732" s="8">
        <f>CHOOSE( CONTROL!$C$33, 20.6226, 20.621) * CHOOSE(CONTROL!$C$16, $D$10, 100%, $F$10)</f>
        <v>20.622599999999998</v>
      </c>
      <c r="C732" s="8">
        <f>CHOOSE( CONTROL!$C$33, 20.6306, 20.629) * CHOOSE(CONTROL!$C$16, $D$10, 100%, $F$10)</f>
        <v>20.630600000000001</v>
      </c>
      <c r="D732" s="8">
        <f>CHOOSE( CONTROL!$C$33, 20.6532, 20.6516) * CHOOSE( CONTROL!$C$16, $D$10, 100%, $F$10)</f>
        <v>20.653199999999998</v>
      </c>
      <c r="E732" s="12">
        <f>CHOOSE( CONTROL!$C$33, 20.6438, 20.6422) * CHOOSE( CONTROL!$C$16, $D$10, 100%, $F$10)</f>
        <v>20.643799999999999</v>
      </c>
      <c r="F732" s="4">
        <f>CHOOSE( CONTROL!$C$33, 21.3995, 21.398) * CHOOSE(CONTROL!$C$16, $D$10, 100%, $F$10)</f>
        <v>21.3995</v>
      </c>
      <c r="G732" s="8">
        <f>CHOOSE( CONTROL!$C$33, 20.3961, 20.3946) * CHOOSE( CONTROL!$C$16, $D$10, 100%, $F$10)</f>
        <v>20.396100000000001</v>
      </c>
      <c r="H732" s="4">
        <f>CHOOSE( CONTROL!$C$33, 21.3748, 21.3733) * CHOOSE(CONTROL!$C$16, $D$10, 100%, $F$10)</f>
        <v>21.3748</v>
      </c>
      <c r="I732" s="8">
        <f>CHOOSE( CONTROL!$C$33, 20.1103, 20.1087) * CHOOSE(CONTROL!$C$16, $D$10, 100%, $F$10)</f>
        <v>20.110299999999999</v>
      </c>
      <c r="J732" s="4">
        <f>CHOOSE( CONTROL!$C$33, 19.9835, 19.9819) * CHOOSE(CONTROL!$C$16, $D$10, 100%, $F$10)</f>
        <v>19.983499999999999</v>
      </c>
      <c r="K732" s="4"/>
      <c r="L732" s="9">
        <v>29.7257</v>
      </c>
      <c r="M732" s="9">
        <v>11.6745</v>
      </c>
      <c r="N732" s="9">
        <v>4.7850000000000001</v>
      </c>
      <c r="O732" s="9">
        <v>0.36199999999999999</v>
      </c>
      <c r="P732" s="9">
        <v>1.2509999999999999</v>
      </c>
      <c r="Q732" s="9">
        <v>19.053000000000001</v>
      </c>
      <c r="R732" s="9"/>
      <c r="S732" s="11"/>
    </row>
    <row r="733" spans="1:19" ht="15" customHeight="1">
      <c r="A733" s="13">
        <v>63493</v>
      </c>
      <c r="B733" s="8">
        <f>CHOOSE( CONTROL!$C$33, 21.5372, 21.536) * CHOOSE(CONTROL!$C$16, $D$10, 100%, $F$10)</f>
        <v>21.537199999999999</v>
      </c>
      <c r="C733" s="8">
        <f>CHOOSE( CONTROL!$C$33, 21.5425, 21.5414) * CHOOSE(CONTROL!$C$16, $D$10, 100%, $F$10)</f>
        <v>21.5425</v>
      </c>
      <c r="D733" s="8">
        <f>CHOOSE( CONTROL!$C$33, 21.5713, 21.5702) * CHOOSE( CONTROL!$C$16, $D$10, 100%, $F$10)</f>
        <v>21.571300000000001</v>
      </c>
      <c r="E733" s="12">
        <f>CHOOSE( CONTROL!$C$33, 21.5612, 21.5601) * CHOOSE( CONTROL!$C$16, $D$10, 100%, $F$10)</f>
        <v>21.561199999999999</v>
      </c>
      <c r="F733" s="4">
        <f>CHOOSE( CONTROL!$C$33, 22.3158, 22.3147) * CHOOSE(CONTROL!$C$16, $D$10, 100%, $F$10)</f>
        <v>22.315799999999999</v>
      </c>
      <c r="G733" s="8">
        <f>CHOOSE( CONTROL!$C$33, 21.2997, 21.2986) * CHOOSE( CONTROL!$C$16, $D$10, 100%, $F$10)</f>
        <v>21.299700000000001</v>
      </c>
      <c r="H733" s="4">
        <f>CHOOSE( CONTROL!$C$33, 22.2783, 22.2772) * CHOOSE(CONTROL!$C$16, $D$10, 100%, $F$10)</f>
        <v>22.278300000000002</v>
      </c>
      <c r="I733" s="8">
        <f>CHOOSE( CONTROL!$C$33, 20.9985, 20.9974) * CHOOSE(CONTROL!$C$16, $D$10, 100%, $F$10)</f>
        <v>20.9985</v>
      </c>
      <c r="J733" s="4">
        <f>CHOOSE( CONTROL!$C$33, 20.8707, 20.8696) * CHOOSE(CONTROL!$C$16, $D$10, 100%, $F$10)</f>
        <v>20.870699999999999</v>
      </c>
      <c r="K733" s="4"/>
      <c r="L733" s="9">
        <v>31.095300000000002</v>
      </c>
      <c r="M733" s="9">
        <v>12.063700000000001</v>
      </c>
      <c r="N733" s="9">
        <v>4.9444999999999997</v>
      </c>
      <c r="O733" s="9">
        <v>0.37409999999999999</v>
      </c>
      <c r="P733" s="9">
        <v>1.2927</v>
      </c>
      <c r="Q733" s="9">
        <v>19.688099999999999</v>
      </c>
      <c r="R733" s="9"/>
      <c r="S733" s="11"/>
    </row>
    <row r="734" spans="1:19" ht="15" customHeight="1">
      <c r="A734" s="13">
        <v>63523</v>
      </c>
      <c r="B734" s="8">
        <f>CHOOSE( CONTROL!$C$33, 23.2289, 23.2277) * CHOOSE(CONTROL!$C$16, $D$10, 100%, $F$10)</f>
        <v>23.228899999999999</v>
      </c>
      <c r="C734" s="8">
        <f>CHOOSE( CONTROL!$C$33, 23.234, 23.2328) * CHOOSE(CONTROL!$C$16, $D$10, 100%, $F$10)</f>
        <v>23.234000000000002</v>
      </c>
      <c r="D734" s="8">
        <f>CHOOSE( CONTROL!$C$33, 23.2136, 23.2125) * CHOOSE( CONTROL!$C$16, $D$10, 100%, $F$10)</f>
        <v>23.2136</v>
      </c>
      <c r="E734" s="12">
        <f>CHOOSE( CONTROL!$C$33, 23.2205, 23.2194) * CHOOSE( CONTROL!$C$16, $D$10, 100%, $F$10)</f>
        <v>23.220500000000001</v>
      </c>
      <c r="F734" s="4">
        <f>CHOOSE( CONTROL!$C$33, 23.8917, 23.8906) * CHOOSE(CONTROL!$C$16, $D$10, 100%, $F$10)</f>
        <v>23.8917</v>
      </c>
      <c r="G734" s="8">
        <f>CHOOSE( CONTROL!$C$33, 22.9407, 22.9396) * CHOOSE( CONTROL!$C$16, $D$10, 100%, $F$10)</f>
        <v>22.9407</v>
      </c>
      <c r="H734" s="4">
        <f>CHOOSE( CONTROL!$C$33, 23.8322, 23.8311) * CHOOSE(CONTROL!$C$16, $D$10, 100%, $F$10)</f>
        <v>23.8322</v>
      </c>
      <c r="I734" s="8">
        <f>CHOOSE( CONTROL!$C$33, 22.6856, 22.6845) * CHOOSE(CONTROL!$C$16, $D$10, 100%, $F$10)</f>
        <v>22.685600000000001</v>
      </c>
      <c r="J734" s="4">
        <f>CHOOSE( CONTROL!$C$33, 22.5092, 22.5081) * CHOOSE(CONTROL!$C$16, $D$10, 100%, $F$10)</f>
        <v>22.5092</v>
      </c>
      <c r="K734" s="4"/>
      <c r="L734" s="9">
        <v>28.360600000000002</v>
      </c>
      <c r="M734" s="9">
        <v>11.6745</v>
      </c>
      <c r="N734" s="9">
        <v>4.7850000000000001</v>
      </c>
      <c r="O734" s="9">
        <v>0.36199999999999999</v>
      </c>
      <c r="P734" s="9">
        <v>1.2509999999999999</v>
      </c>
      <c r="Q734" s="9">
        <v>19.053000000000001</v>
      </c>
      <c r="R734" s="9"/>
      <c r="S734" s="11"/>
    </row>
    <row r="735" spans="1:19" ht="15" customHeight="1">
      <c r="A735" s="13">
        <v>63554</v>
      </c>
      <c r="B735" s="8">
        <f>CHOOSE( CONTROL!$C$33, 23.1866, 23.1855) * CHOOSE(CONTROL!$C$16, $D$10, 100%, $F$10)</f>
        <v>23.186599999999999</v>
      </c>
      <c r="C735" s="8">
        <f>CHOOSE( CONTROL!$C$33, 23.1917, 23.1906) * CHOOSE(CONTROL!$C$16, $D$10, 100%, $F$10)</f>
        <v>23.191700000000001</v>
      </c>
      <c r="D735" s="8">
        <f>CHOOSE( CONTROL!$C$33, 23.1728, 23.1717) * CHOOSE( CONTROL!$C$16, $D$10, 100%, $F$10)</f>
        <v>23.172799999999999</v>
      </c>
      <c r="E735" s="12">
        <f>CHOOSE( CONTROL!$C$33, 23.1792, 23.1781) * CHOOSE( CONTROL!$C$16, $D$10, 100%, $F$10)</f>
        <v>23.179200000000002</v>
      </c>
      <c r="F735" s="4">
        <f>CHOOSE( CONTROL!$C$33, 23.8494, 23.8483) * CHOOSE(CONTROL!$C$16, $D$10, 100%, $F$10)</f>
        <v>23.849399999999999</v>
      </c>
      <c r="G735" s="8">
        <f>CHOOSE( CONTROL!$C$33, 22.9001, 22.899) * CHOOSE( CONTROL!$C$16, $D$10, 100%, $F$10)</f>
        <v>22.900099999999998</v>
      </c>
      <c r="H735" s="4">
        <f>CHOOSE( CONTROL!$C$33, 23.7906, 23.7895) * CHOOSE(CONTROL!$C$16, $D$10, 100%, $F$10)</f>
        <v>23.790600000000001</v>
      </c>
      <c r="I735" s="8">
        <f>CHOOSE( CONTROL!$C$33, 22.6491, 22.6481) * CHOOSE(CONTROL!$C$16, $D$10, 100%, $F$10)</f>
        <v>22.649100000000001</v>
      </c>
      <c r="J735" s="4">
        <f>CHOOSE( CONTROL!$C$33, 22.4682, 22.4671) * CHOOSE(CONTROL!$C$16, $D$10, 100%, $F$10)</f>
        <v>22.4682</v>
      </c>
      <c r="K735" s="4"/>
      <c r="L735" s="9">
        <v>29.306000000000001</v>
      </c>
      <c r="M735" s="9">
        <v>12.063700000000001</v>
      </c>
      <c r="N735" s="9">
        <v>4.9444999999999997</v>
      </c>
      <c r="O735" s="9">
        <v>0.37409999999999999</v>
      </c>
      <c r="P735" s="9">
        <v>1.2927</v>
      </c>
      <c r="Q735" s="9">
        <v>19.688099999999999</v>
      </c>
      <c r="R735" s="9"/>
      <c r="S735" s="11"/>
    </row>
    <row r="736" spans="1:19" ht="15" customHeight="1">
      <c r="A736" s="13">
        <v>63585</v>
      </c>
      <c r="B736" s="8">
        <f>CHOOSE( CONTROL!$C$33, 23.871, 23.8699) * CHOOSE(CONTROL!$C$16, $D$10, 100%, $F$10)</f>
        <v>23.870999999999999</v>
      </c>
      <c r="C736" s="8">
        <f>CHOOSE( CONTROL!$C$33, 23.8761, 23.875) * CHOOSE(CONTROL!$C$16, $D$10, 100%, $F$10)</f>
        <v>23.876100000000001</v>
      </c>
      <c r="D736" s="8">
        <f>CHOOSE( CONTROL!$C$33, 23.8684, 23.8673) * CHOOSE( CONTROL!$C$16, $D$10, 100%, $F$10)</f>
        <v>23.868400000000001</v>
      </c>
      <c r="E736" s="12">
        <f>CHOOSE( CONTROL!$C$33, 23.8707, 23.8696) * CHOOSE( CONTROL!$C$16, $D$10, 100%, $F$10)</f>
        <v>23.870699999999999</v>
      </c>
      <c r="F736" s="4">
        <f>CHOOSE( CONTROL!$C$33, 24.5338, 24.5327) * CHOOSE(CONTROL!$C$16, $D$10, 100%, $F$10)</f>
        <v>24.533799999999999</v>
      </c>
      <c r="G736" s="8">
        <f>CHOOSE( CONTROL!$C$33, 23.5808, 23.5797) * CHOOSE( CONTROL!$C$16, $D$10, 100%, $F$10)</f>
        <v>23.5808</v>
      </c>
      <c r="H736" s="4">
        <f>CHOOSE( CONTROL!$C$33, 24.4654, 24.4643) * CHOOSE(CONTROL!$C$16, $D$10, 100%, $F$10)</f>
        <v>24.465399999999999</v>
      </c>
      <c r="I736" s="8">
        <f>CHOOSE( CONTROL!$C$33, 23.3034, 23.3024) * CHOOSE(CONTROL!$C$16, $D$10, 100%, $F$10)</f>
        <v>23.3034</v>
      </c>
      <c r="J736" s="4">
        <f>CHOOSE( CONTROL!$C$33, 23.1309, 23.1298) * CHOOSE(CONTROL!$C$16, $D$10, 100%, $F$10)</f>
        <v>23.1309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" customHeight="1">
      <c r="A737" s="13">
        <v>63613</v>
      </c>
      <c r="B737" s="8">
        <f>CHOOSE( CONTROL!$C$33, 22.3267, 22.3256) * CHOOSE(CONTROL!$C$16, $D$10, 100%, $F$10)</f>
        <v>22.326699999999999</v>
      </c>
      <c r="C737" s="8">
        <f>CHOOSE( CONTROL!$C$33, 22.3318, 22.3307) * CHOOSE(CONTROL!$C$16, $D$10, 100%, $F$10)</f>
        <v>22.331800000000001</v>
      </c>
      <c r="D737" s="8">
        <f>CHOOSE( CONTROL!$C$33, 22.324, 22.3229) * CHOOSE( CONTROL!$C$16, $D$10, 100%, $F$10)</f>
        <v>22.324000000000002</v>
      </c>
      <c r="E737" s="12">
        <f>CHOOSE( CONTROL!$C$33, 22.3263, 22.3252) * CHOOSE( CONTROL!$C$16, $D$10, 100%, $F$10)</f>
        <v>22.3263</v>
      </c>
      <c r="F737" s="4">
        <f>CHOOSE( CONTROL!$C$33, 22.9896, 22.9885) * CHOOSE(CONTROL!$C$16, $D$10, 100%, $F$10)</f>
        <v>22.989599999999999</v>
      </c>
      <c r="G737" s="8">
        <f>CHOOSE( CONTROL!$C$33, 22.058, 22.0568) * CHOOSE( CONTROL!$C$16, $D$10, 100%, $F$10)</f>
        <v>22.058</v>
      </c>
      <c r="H737" s="4">
        <f>CHOOSE( CONTROL!$C$33, 22.9427, 22.9416) * CHOOSE(CONTROL!$C$16, $D$10, 100%, $F$10)</f>
        <v>22.942699999999999</v>
      </c>
      <c r="I737" s="8">
        <f>CHOOSE( CONTROL!$C$33, 21.8068, 21.8057) * CHOOSE(CONTROL!$C$16, $D$10, 100%, $F$10)</f>
        <v>21.806799999999999</v>
      </c>
      <c r="J737" s="4">
        <f>CHOOSE( CONTROL!$C$33, 21.6356, 21.6345) * CHOOSE(CONTROL!$C$16, $D$10, 100%, $F$10)</f>
        <v>21.6356</v>
      </c>
      <c r="K737" s="4"/>
      <c r="L737" s="9">
        <v>26.469899999999999</v>
      </c>
      <c r="M737" s="9">
        <v>10.8962</v>
      </c>
      <c r="N737" s="9">
        <v>4.4660000000000002</v>
      </c>
      <c r="O737" s="9">
        <v>0.33789999999999998</v>
      </c>
      <c r="P737" s="9">
        <v>1.1676</v>
      </c>
      <c r="Q737" s="9">
        <v>17.782800000000002</v>
      </c>
      <c r="R737" s="9"/>
      <c r="S737" s="11"/>
    </row>
    <row r="738" spans="1:19" ht="15" customHeight="1">
      <c r="A738" s="13">
        <v>63644</v>
      </c>
      <c r="B738" s="8">
        <f>CHOOSE( CONTROL!$C$33, 21.8511, 21.85) * CHOOSE(CONTROL!$C$16, $D$10, 100%, $F$10)</f>
        <v>21.851099999999999</v>
      </c>
      <c r="C738" s="8">
        <f>CHOOSE( CONTROL!$C$33, 21.8562, 21.8551) * CHOOSE(CONTROL!$C$16, $D$10, 100%, $F$10)</f>
        <v>21.856200000000001</v>
      </c>
      <c r="D738" s="8">
        <f>CHOOSE( CONTROL!$C$33, 21.8476, 21.8465) * CHOOSE( CONTROL!$C$16, $D$10, 100%, $F$10)</f>
        <v>21.8476</v>
      </c>
      <c r="E738" s="12">
        <f>CHOOSE( CONTROL!$C$33, 21.8502, 21.8491) * CHOOSE( CONTROL!$C$16, $D$10, 100%, $F$10)</f>
        <v>21.850200000000001</v>
      </c>
      <c r="F738" s="4">
        <f>CHOOSE( CONTROL!$C$33, 22.514, 22.5128) * CHOOSE(CONTROL!$C$16, $D$10, 100%, $F$10)</f>
        <v>22.513999999999999</v>
      </c>
      <c r="G738" s="8">
        <f>CHOOSE( CONTROL!$C$33, 21.5884, 21.5873) * CHOOSE( CONTROL!$C$16, $D$10, 100%, $F$10)</f>
        <v>21.5884</v>
      </c>
      <c r="H738" s="4">
        <f>CHOOSE( CONTROL!$C$33, 22.4737, 22.4726) * CHOOSE(CONTROL!$C$16, $D$10, 100%, $F$10)</f>
        <v>22.473700000000001</v>
      </c>
      <c r="I738" s="8">
        <f>CHOOSE( CONTROL!$C$33, 21.3438, 21.3427) * CHOOSE(CONTROL!$C$16, $D$10, 100%, $F$10)</f>
        <v>21.343800000000002</v>
      </c>
      <c r="J738" s="4">
        <f>CHOOSE( CONTROL!$C$33, 21.1751, 21.174) * CHOOSE(CONTROL!$C$16, $D$10, 100%, $F$10)</f>
        <v>21.1751</v>
      </c>
      <c r="K738" s="4"/>
      <c r="L738" s="9">
        <v>29.306000000000001</v>
      </c>
      <c r="M738" s="9">
        <v>12.063700000000001</v>
      </c>
      <c r="N738" s="9">
        <v>4.9444999999999997</v>
      </c>
      <c r="O738" s="9">
        <v>0.37409999999999999</v>
      </c>
      <c r="P738" s="9">
        <v>1.2927</v>
      </c>
      <c r="Q738" s="9">
        <v>19.688099999999999</v>
      </c>
      <c r="R738" s="9"/>
      <c r="S738" s="11"/>
    </row>
    <row r="739" spans="1:19" ht="15" customHeight="1">
      <c r="A739" s="13">
        <v>63674</v>
      </c>
      <c r="B739" s="8">
        <f>CHOOSE( CONTROL!$C$33, 22.1842, 22.1831) * CHOOSE(CONTROL!$C$16, $D$10, 100%, $F$10)</f>
        <v>22.184200000000001</v>
      </c>
      <c r="C739" s="8">
        <f>CHOOSE( CONTROL!$C$33, 22.1887, 22.1876) * CHOOSE(CONTROL!$C$16, $D$10, 100%, $F$10)</f>
        <v>22.188700000000001</v>
      </c>
      <c r="D739" s="8">
        <f>CHOOSE( CONTROL!$C$33, 22.2176, 22.2165) * CHOOSE( CONTROL!$C$16, $D$10, 100%, $F$10)</f>
        <v>22.217600000000001</v>
      </c>
      <c r="E739" s="12">
        <f>CHOOSE( CONTROL!$C$33, 22.2075, 22.2064) * CHOOSE( CONTROL!$C$16, $D$10, 100%, $F$10)</f>
        <v>22.2075</v>
      </c>
      <c r="F739" s="4">
        <f>CHOOSE( CONTROL!$C$33, 22.9625, 22.9614) * CHOOSE(CONTROL!$C$16, $D$10, 100%, $F$10)</f>
        <v>22.962499999999999</v>
      </c>
      <c r="G739" s="8">
        <f>CHOOSE( CONTROL!$C$33, 21.9371, 21.936) * CHOOSE( CONTROL!$C$16, $D$10, 100%, $F$10)</f>
        <v>21.937100000000001</v>
      </c>
      <c r="H739" s="4">
        <f>CHOOSE( CONTROL!$C$33, 22.916, 22.9149) * CHOOSE(CONTROL!$C$16, $D$10, 100%, $F$10)</f>
        <v>22.916</v>
      </c>
      <c r="I739" s="8">
        <f>CHOOSE( CONTROL!$C$33, 21.6237, 21.6226) * CHOOSE(CONTROL!$C$16, $D$10, 100%, $F$10)</f>
        <v>21.623699999999999</v>
      </c>
      <c r="J739" s="4">
        <f>CHOOSE( CONTROL!$C$33, 21.4969, 21.4958) * CHOOSE(CONTROL!$C$16, $D$10, 100%, $F$10)</f>
        <v>21.4969</v>
      </c>
      <c r="K739" s="4"/>
      <c r="L739" s="9">
        <v>30.092199999999998</v>
      </c>
      <c r="M739" s="9">
        <v>11.6745</v>
      </c>
      <c r="N739" s="9">
        <v>4.7850000000000001</v>
      </c>
      <c r="O739" s="9">
        <v>0.36199999999999999</v>
      </c>
      <c r="P739" s="9">
        <v>1.2509999999999999</v>
      </c>
      <c r="Q739" s="9">
        <v>19.053000000000001</v>
      </c>
      <c r="R739" s="9"/>
      <c r="S739" s="11"/>
    </row>
    <row r="740" spans="1:19" ht="15" customHeight="1">
      <c r="A740" s="13">
        <v>63705</v>
      </c>
      <c r="B740" s="8">
        <f>CHOOSE( CONTROL!$C$33, 22.7776, 22.776) * CHOOSE(CONTROL!$C$16, $D$10, 100%, $F$10)</f>
        <v>22.7776</v>
      </c>
      <c r="C740" s="8">
        <f>CHOOSE( CONTROL!$C$33, 22.7855, 22.784) * CHOOSE(CONTROL!$C$16, $D$10, 100%, $F$10)</f>
        <v>22.785499999999999</v>
      </c>
      <c r="D740" s="8">
        <f>CHOOSE( CONTROL!$C$33, 22.8078, 22.8062) * CHOOSE( CONTROL!$C$16, $D$10, 100%, $F$10)</f>
        <v>22.8078</v>
      </c>
      <c r="E740" s="12">
        <f>CHOOSE( CONTROL!$C$33, 22.7985, 22.7969) * CHOOSE( CONTROL!$C$16, $D$10, 100%, $F$10)</f>
        <v>22.798500000000001</v>
      </c>
      <c r="F740" s="4">
        <f>CHOOSE( CONTROL!$C$33, 23.5545, 23.5529) * CHOOSE(CONTROL!$C$16, $D$10, 100%, $F$10)</f>
        <v>23.554500000000001</v>
      </c>
      <c r="G740" s="8">
        <f>CHOOSE( CONTROL!$C$33, 22.5208, 22.5192) * CHOOSE( CONTROL!$C$16, $D$10, 100%, $F$10)</f>
        <v>22.520800000000001</v>
      </c>
      <c r="H740" s="4">
        <f>CHOOSE( CONTROL!$C$33, 23.4997, 23.4982) * CHOOSE(CONTROL!$C$16, $D$10, 100%, $F$10)</f>
        <v>23.499700000000001</v>
      </c>
      <c r="I740" s="8">
        <f>CHOOSE( CONTROL!$C$33, 22.1968, 22.1953) * CHOOSE(CONTROL!$C$16, $D$10, 100%, $F$10)</f>
        <v>22.1968</v>
      </c>
      <c r="J740" s="4">
        <f>CHOOSE( CONTROL!$C$33, 22.0701, 22.0686) * CHOOSE(CONTROL!$C$16, $D$10, 100%, $F$10)</f>
        <v>22.0701</v>
      </c>
      <c r="K740" s="4"/>
      <c r="L740" s="9">
        <v>30.7165</v>
      </c>
      <c r="M740" s="9">
        <v>12.063700000000001</v>
      </c>
      <c r="N740" s="9">
        <v>4.9444999999999997</v>
      </c>
      <c r="O740" s="9">
        <v>0.37409999999999999</v>
      </c>
      <c r="P740" s="9">
        <v>1.2927</v>
      </c>
      <c r="Q740" s="9">
        <v>19.688099999999999</v>
      </c>
      <c r="R740" s="9"/>
      <c r="S740" s="11"/>
    </row>
    <row r="741" spans="1:19" ht="15" customHeight="1">
      <c r="A741" s="13">
        <v>63735</v>
      </c>
      <c r="B741" s="8">
        <f>CHOOSE( CONTROL!$C$33, 22.4111, 22.4096) * CHOOSE(CONTROL!$C$16, $D$10, 100%, $F$10)</f>
        <v>22.411100000000001</v>
      </c>
      <c r="C741" s="8">
        <f>CHOOSE( CONTROL!$C$33, 22.4191, 22.4176) * CHOOSE(CONTROL!$C$16, $D$10, 100%, $F$10)</f>
        <v>22.4191</v>
      </c>
      <c r="D741" s="8">
        <f>CHOOSE( CONTROL!$C$33, 22.4415, 22.4399) * CHOOSE( CONTROL!$C$16, $D$10, 100%, $F$10)</f>
        <v>22.441500000000001</v>
      </c>
      <c r="E741" s="12">
        <f>CHOOSE( CONTROL!$C$33, 22.4322, 22.4306) * CHOOSE( CONTROL!$C$16, $D$10, 100%, $F$10)</f>
        <v>22.432200000000002</v>
      </c>
      <c r="F741" s="4">
        <f>CHOOSE( CONTROL!$C$33, 23.188, 23.1865) * CHOOSE(CONTROL!$C$16, $D$10, 100%, $F$10)</f>
        <v>23.187999999999999</v>
      </c>
      <c r="G741" s="8">
        <f>CHOOSE( CONTROL!$C$33, 22.1596, 22.158) * CHOOSE( CONTROL!$C$16, $D$10, 100%, $F$10)</f>
        <v>22.159600000000001</v>
      </c>
      <c r="H741" s="4">
        <f>CHOOSE( CONTROL!$C$33, 23.1384, 23.1368) * CHOOSE(CONTROL!$C$16, $D$10, 100%, $F$10)</f>
        <v>23.138400000000001</v>
      </c>
      <c r="I741" s="8">
        <f>CHOOSE( CONTROL!$C$33, 21.8424, 21.8409) * CHOOSE(CONTROL!$C$16, $D$10, 100%, $F$10)</f>
        <v>21.842400000000001</v>
      </c>
      <c r="J741" s="4">
        <f>CHOOSE( CONTROL!$C$33, 21.7153, 21.7138) * CHOOSE(CONTROL!$C$16, $D$10, 100%, $F$10)</f>
        <v>21.715299999999999</v>
      </c>
      <c r="K741" s="4"/>
      <c r="L741" s="9">
        <v>29.7257</v>
      </c>
      <c r="M741" s="9">
        <v>11.6745</v>
      </c>
      <c r="N741" s="9">
        <v>4.7850000000000001</v>
      </c>
      <c r="O741" s="9">
        <v>0.36199999999999999</v>
      </c>
      <c r="P741" s="9">
        <v>1.2509999999999999</v>
      </c>
      <c r="Q741" s="9">
        <v>19.053000000000001</v>
      </c>
      <c r="R741" s="9"/>
      <c r="S741" s="11"/>
    </row>
    <row r="742" spans="1:19" ht="15" customHeight="1">
      <c r="A742" s="13">
        <v>63766</v>
      </c>
      <c r="B742" s="8">
        <f>CHOOSE( CONTROL!$C$33, 23.3761, 23.3745) * CHOOSE(CONTROL!$C$16, $D$10, 100%, $F$10)</f>
        <v>23.376100000000001</v>
      </c>
      <c r="C742" s="8">
        <f>CHOOSE( CONTROL!$C$33, 23.3841, 23.3825) * CHOOSE(CONTROL!$C$16, $D$10, 100%, $F$10)</f>
        <v>23.3841</v>
      </c>
      <c r="D742" s="8">
        <f>CHOOSE( CONTROL!$C$33, 23.4067, 23.4051) * CHOOSE( CONTROL!$C$16, $D$10, 100%, $F$10)</f>
        <v>23.406700000000001</v>
      </c>
      <c r="E742" s="12">
        <f>CHOOSE( CONTROL!$C$33, 23.3973, 23.3957) * CHOOSE( CONTROL!$C$16, $D$10, 100%, $F$10)</f>
        <v>23.397300000000001</v>
      </c>
      <c r="F742" s="4">
        <f>CHOOSE( CONTROL!$C$33, 24.153, 24.1514) * CHOOSE(CONTROL!$C$16, $D$10, 100%, $F$10)</f>
        <v>24.152999999999999</v>
      </c>
      <c r="G742" s="8">
        <f>CHOOSE( CONTROL!$C$33, 23.1112, 23.1097) * CHOOSE( CONTROL!$C$16, $D$10, 100%, $F$10)</f>
        <v>23.1112</v>
      </c>
      <c r="H742" s="4">
        <f>CHOOSE( CONTROL!$C$33, 24.0899, 24.0883) * CHOOSE(CONTROL!$C$16, $D$10, 100%, $F$10)</f>
        <v>24.0899</v>
      </c>
      <c r="I742" s="8">
        <f>CHOOSE( CONTROL!$C$33, 22.778, 22.7765) * CHOOSE(CONTROL!$C$16, $D$10, 100%, $F$10)</f>
        <v>22.777999999999999</v>
      </c>
      <c r="J742" s="4">
        <f>CHOOSE( CONTROL!$C$33, 22.6496, 22.6481) * CHOOSE(CONTROL!$C$16, $D$10, 100%, $F$10)</f>
        <v>22.6496</v>
      </c>
      <c r="K742" s="4"/>
      <c r="L742" s="9">
        <v>30.7165</v>
      </c>
      <c r="M742" s="9">
        <v>12.063700000000001</v>
      </c>
      <c r="N742" s="9">
        <v>4.9444999999999997</v>
      </c>
      <c r="O742" s="9">
        <v>0.37409999999999999</v>
      </c>
      <c r="P742" s="9">
        <v>1.2927</v>
      </c>
      <c r="Q742" s="9">
        <v>19.688099999999999</v>
      </c>
      <c r="R742" s="9"/>
      <c r="S742" s="11"/>
    </row>
    <row r="743" spans="1:19" ht="15" customHeight="1">
      <c r="A743" s="13">
        <v>63797</v>
      </c>
      <c r="B743" s="8">
        <f>CHOOSE( CONTROL!$C$33, 21.5706, 21.569) * CHOOSE(CONTROL!$C$16, $D$10, 100%, $F$10)</f>
        <v>21.570599999999999</v>
      </c>
      <c r="C743" s="8">
        <f>CHOOSE( CONTROL!$C$33, 21.5786, 21.577) * CHOOSE(CONTROL!$C$16, $D$10, 100%, $F$10)</f>
        <v>21.578600000000002</v>
      </c>
      <c r="D743" s="8">
        <f>CHOOSE( CONTROL!$C$33, 21.6012, 21.5997) * CHOOSE( CONTROL!$C$16, $D$10, 100%, $F$10)</f>
        <v>21.601199999999999</v>
      </c>
      <c r="E743" s="12">
        <f>CHOOSE( CONTROL!$C$33, 21.5918, 21.5903) * CHOOSE( CONTROL!$C$16, $D$10, 100%, $F$10)</f>
        <v>21.591799999999999</v>
      </c>
      <c r="F743" s="4">
        <f>CHOOSE( CONTROL!$C$33, 22.3475, 22.3459) * CHOOSE(CONTROL!$C$16, $D$10, 100%, $F$10)</f>
        <v>22.3475</v>
      </c>
      <c r="G743" s="8">
        <f>CHOOSE( CONTROL!$C$33, 21.331, 21.3294) * CHOOSE( CONTROL!$C$16, $D$10, 100%, $F$10)</f>
        <v>21.331</v>
      </c>
      <c r="H743" s="4">
        <f>CHOOSE( CONTROL!$C$33, 22.3096, 22.308) * CHOOSE(CONTROL!$C$16, $D$10, 100%, $F$10)</f>
        <v>22.3096</v>
      </c>
      <c r="I743" s="8">
        <f>CHOOSE( CONTROL!$C$33, 21.0291, 21.0275) * CHOOSE(CONTROL!$C$16, $D$10, 100%, $F$10)</f>
        <v>21.0291</v>
      </c>
      <c r="J743" s="4">
        <f>CHOOSE( CONTROL!$C$33, 20.9014, 20.8998) * CHOOSE(CONTROL!$C$16, $D$10, 100%, $F$10)</f>
        <v>20.901399999999999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1.2927</v>
      </c>
      <c r="Q743" s="9">
        <v>19.688099999999999</v>
      </c>
      <c r="R743" s="9"/>
      <c r="S743" s="11"/>
    </row>
    <row r="744" spans="1:19" ht="15" customHeight="1">
      <c r="A744" s="13">
        <v>63827</v>
      </c>
      <c r="B744" s="8">
        <f>CHOOSE( CONTROL!$C$33, 21.1184, 21.1169) * CHOOSE(CONTROL!$C$16, $D$10, 100%, $F$10)</f>
        <v>21.118400000000001</v>
      </c>
      <c r="C744" s="8">
        <f>CHOOSE( CONTROL!$C$33, 21.1264, 21.1249) * CHOOSE(CONTROL!$C$16, $D$10, 100%, $F$10)</f>
        <v>21.1264</v>
      </c>
      <c r="D744" s="8">
        <f>CHOOSE( CONTROL!$C$33, 21.149, 21.1474) * CHOOSE( CONTROL!$C$16, $D$10, 100%, $F$10)</f>
        <v>21.149000000000001</v>
      </c>
      <c r="E744" s="12">
        <f>CHOOSE( CONTROL!$C$33, 21.1396, 21.138) * CHOOSE( CONTROL!$C$16, $D$10, 100%, $F$10)</f>
        <v>21.139600000000002</v>
      </c>
      <c r="F744" s="4">
        <f>CHOOSE( CONTROL!$C$33, 21.8954, 21.8938) * CHOOSE(CONTROL!$C$16, $D$10, 100%, $F$10)</f>
        <v>21.895399999999999</v>
      </c>
      <c r="G744" s="8">
        <f>CHOOSE( CONTROL!$C$33, 20.885, 20.8835) * CHOOSE( CONTROL!$C$16, $D$10, 100%, $F$10)</f>
        <v>20.885000000000002</v>
      </c>
      <c r="H744" s="4">
        <f>CHOOSE( CONTROL!$C$33, 21.8637, 21.8622) * CHOOSE(CONTROL!$C$16, $D$10, 100%, $F$10)</f>
        <v>21.863700000000001</v>
      </c>
      <c r="I744" s="8">
        <f>CHOOSE( CONTROL!$C$33, 20.5906, 20.5891) * CHOOSE(CONTROL!$C$16, $D$10, 100%, $F$10)</f>
        <v>20.590599999999998</v>
      </c>
      <c r="J744" s="4">
        <f>CHOOSE( CONTROL!$C$33, 20.4636, 20.4621) * CHOOSE(CONTROL!$C$16, $D$10, 100%, $F$10)</f>
        <v>20.4636</v>
      </c>
      <c r="K744" s="4"/>
      <c r="L744" s="9">
        <v>29.7257</v>
      </c>
      <c r="M744" s="9">
        <v>11.6745</v>
      </c>
      <c r="N744" s="9">
        <v>4.7850000000000001</v>
      </c>
      <c r="O744" s="9">
        <v>0.36199999999999999</v>
      </c>
      <c r="P744" s="9">
        <v>1.2509999999999999</v>
      </c>
      <c r="Q744" s="9">
        <v>19.053000000000001</v>
      </c>
      <c r="R744" s="9"/>
      <c r="S744" s="11"/>
    </row>
    <row r="745" spans="1:19" ht="15" customHeight="1">
      <c r="A745" s="13">
        <v>63858</v>
      </c>
      <c r="B745" s="8">
        <f>CHOOSE( CONTROL!$C$33, 22.055, 22.0539) * CHOOSE(CONTROL!$C$16, $D$10, 100%, $F$10)</f>
        <v>22.055</v>
      </c>
      <c r="C745" s="8">
        <f>CHOOSE( CONTROL!$C$33, 22.0604, 22.0593) * CHOOSE(CONTROL!$C$16, $D$10, 100%, $F$10)</f>
        <v>22.060400000000001</v>
      </c>
      <c r="D745" s="8">
        <f>CHOOSE( CONTROL!$C$33, 22.0891, 22.088) * CHOOSE( CONTROL!$C$16, $D$10, 100%, $F$10)</f>
        <v>22.089099999999998</v>
      </c>
      <c r="E745" s="12">
        <f>CHOOSE( CONTROL!$C$33, 22.0791, 22.078) * CHOOSE( CONTROL!$C$16, $D$10, 100%, $F$10)</f>
        <v>22.0791</v>
      </c>
      <c r="F745" s="4">
        <f>CHOOSE( CONTROL!$C$33, 22.8337, 22.8325) * CHOOSE(CONTROL!$C$16, $D$10, 100%, $F$10)</f>
        <v>22.8337</v>
      </c>
      <c r="G745" s="8">
        <f>CHOOSE( CONTROL!$C$33, 21.8104, 21.8093) * CHOOSE( CONTROL!$C$16, $D$10, 100%, $F$10)</f>
        <v>21.810400000000001</v>
      </c>
      <c r="H745" s="4">
        <f>CHOOSE( CONTROL!$C$33, 22.789, 22.7878) * CHOOSE(CONTROL!$C$16, $D$10, 100%, $F$10)</f>
        <v>22.789000000000001</v>
      </c>
      <c r="I745" s="8">
        <f>CHOOSE( CONTROL!$C$33, 21.5002, 21.4991) * CHOOSE(CONTROL!$C$16, $D$10, 100%, $F$10)</f>
        <v>21.5002</v>
      </c>
      <c r="J745" s="4">
        <f>CHOOSE( CONTROL!$C$33, 21.3721, 21.3711) * CHOOSE(CONTROL!$C$16, $D$10, 100%, $F$10)</f>
        <v>21.3721</v>
      </c>
      <c r="K745" s="4"/>
      <c r="L745" s="9">
        <v>31.095300000000002</v>
      </c>
      <c r="M745" s="9">
        <v>12.063700000000001</v>
      </c>
      <c r="N745" s="9">
        <v>4.9444999999999997</v>
      </c>
      <c r="O745" s="9">
        <v>0.37409999999999999</v>
      </c>
      <c r="P745" s="9">
        <v>1.2927</v>
      </c>
      <c r="Q745" s="9">
        <v>19.688099999999999</v>
      </c>
      <c r="R745" s="9"/>
      <c r="S745" s="11"/>
    </row>
    <row r="746" spans="1:19" ht="15" customHeight="1">
      <c r="A746" s="13">
        <v>63888</v>
      </c>
      <c r="B746" s="8">
        <f>CHOOSE( CONTROL!$C$33, 23.7874, 23.7862) * CHOOSE(CONTROL!$C$16, $D$10, 100%, $F$10)</f>
        <v>23.787400000000002</v>
      </c>
      <c r="C746" s="8">
        <f>CHOOSE( CONTROL!$C$33, 23.7925, 23.7913) * CHOOSE(CONTROL!$C$16, $D$10, 100%, $F$10)</f>
        <v>23.7925</v>
      </c>
      <c r="D746" s="8">
        <f>CHOOSE( CONTROL!$C$33, 23.7721, 23.771) * CHOOSE( CONTROL!$C$16, $D$10, 100%, $F$10)</f>
        <v>23.772099999999998</v>
      </c>
      <c r="E746" s="12">
        <f>CHOOSE( CONTROL!$C$33, 23.779, 23.7779) * CHOOSE( CONTROL!$C$16, $D$10, 100%, $F$10)</f>
        <v>23.779</v>
      </c>
      <c r="F746" s="4">
        <f>CHOOSE( CONTROL!$C$33, 24.4502, 24.4491) * CHOOSE(CONTROL!$C$16, $D$10, 100%, $F$10)</f>
        <v>24.450199999999999</v>
      </c>
      <c r="G746" s="8">
        <f>CHOOSE( CONTROL!$C$33, 23.4915, 23.4904) * CHOOSE( CONTROL!$C$16, $D$10, 100%, $F$10)</f>
        <v>23.491499999999998</v>
      </c>
      <c r="H746" s="4">
        <f>CHOOSE( CONTROL!$C$33, 24.383, 24.3819) * CHOOSE(CONTROL!$C$16, $D$10, 100%, $F$10)</f>
        <v>24.382999999999999</v>
      </c>
      <c r="I746" s="8">
        <f>CHOOSE( CONTROL!$C$33, 23.2267, 23.2256) * CHOOSE(CONTROL!$C$16, $D$10, 100%, $F$10)</f>
        <v>23.226700000000001</v>
      </c>
      <c r="J746" s="4">
        <f>CHOOSE( CONTROL!$C$33, 23.05, 23.0489) * CHOOSE(CONTROL!$C$16, $D$10, 100%, $F$10)</f>
        <v>23.05</v>
      </c>
      <c r="K746" s="4"/>
      <c r="L746" s="9">
        <v>28.360600000000002</v>
      </c>
      <c r="M746" s="9">
        <v>11.6745</v>
      </c>
      <c r="N746" s="9">
        <v>4.7850000000000001</v>
      </c>
      <c r="O746" s="9">
        <v>0.36199999999999999</v>
      </c>
      <c r="P746" s="9">
        <v>1.2509999999999999</v>
      </c>
      <c r="Q746" s="9">
        <v>19.053000000000001</v>
      </c>
      <c r="R746" s="9"/>
      <c r="S746" s="11"/>
    </row>
    <row r="747" spans="1:19" ht="15" customHeight="1">
      <c r="A747" s="13">
        <v>63919</v>
      </c>
      <c r="B747" s="8">
        <f>CHOOSE( CONTROL!$C$33, 23.7441, 23.743) * CHOOSE(CONTROL!$C$16, $D$10, 100%, $F$10)</f>
        <v>23.7441</v>
      </c>
      <c r="C747" s="8">
        <f>CHOOSE( CONTROL!$C$33, 23.7492, 23.7481) * CHOOSE(CONTROL!$C$16, $D$10, 100%, $F$10)</f>
        <v>23.749199999999998</v>
      </c>
      <c r="D747" s="8">
        <f>CHOOSE( CONTROL!$C$33, 23.7303, 23.7292) * CHOOSE( CONTROL!$C$16, $D$10, 100%, $F$10)</f>
        <v>23.7303</v>
      </c>
      <c r="E747" s="12">
        <f>CHOOSE( CONTROL!$C$33, 23.7367, 23.7356) * CHOOSE( CONTROL!$C$16, $D$10, 100%, $F$10)</f>
        <v>23.736699999999999</v>
      </c>
      <c r="F747" s="4">
        <f>CHOOSE( CONTROL!$C$33, 24.4069, 24.4058) * CHOOSE(CONTROL!$C$16, $D$10, 100%, $F$10)</f>
        <v>24.4069</v>
      </c>
      <c r="G747" s="8">
        <f>CHOOSE( CONTROL!$C$33, 23.4498, 23.4487) * CHOOSE( CONTROL!$C$16, $D$10, 100%, $F$10)</f>
        <v>23.4498</v>
      </c>
      <c r="H747" s="4">
        <f>CHOOSE( CONTROL!$C$33, 24.3403, 24.3392) * CHOOSE(CONTROL!$C$16, $D$10, 100%, $F$10)</f>
        <v>24.340299999999999</v>
      </c>
      <c r="I747" s="8">
        <f>CHOOSE( CONTROL!$C$33, 23.1892, 23.1882) * CHOOSE(CONTROL!$C$16, $D$10, 100%, $F$10)</f>
        <v>23.1892</v>
      </c>
      <c r="J747" s="4">
        <f>CHOOSE( CONTROL!$C$33, 23.008, 23.007) * CHOOSE(CONTROL!$C$16, $D$10, 100%, $F$10)</f>
        <v>23.007999999999999</v>
      </c>
      <c r="K747" s="4"/>
      <c r="L747" s="9">
        <v>29.306000000000001</v>
      </c>
      <c r="M747" s="9">
        <v>12.063700000000001</v>
      </c>
      <c r="N747" s="9">
        <v>4.9444999999999997</v>
      </c>
      <c r="O747" s="9">
        <v>0.37409999999999999</v>
      </c>
      <c r="P747" s="9">
        <v>1.2927</v>
      </c>
      <c r="Q747" s="9">
        <v>19.688099999999999</v>
      </c>
      <c r="R747" s="9"/>
      <c r="S747" s="11"/>
    </row>
    <row r="748" spans="1:19" ht="15" customHeight="1">
      <c r="A748" s="13">
        <v>63950</v>
      </c>
      <c r="B748" s="8">
        <f>CHOOSE( CONTROL!$C$33, 24.4449, 24.4438) * CHOOSE(CONTROL!$C$16, $D$10, 100%, $F$10)</f>
        <v>24.444900000000001</v>
      </c>
      <c r="C748" s="8">
        <f>CHOOSE( CONTROL!$C$33, 24.45, 24.4489) * CHOOSE(CONTROL!$C$16, $D$10, 100%, $F$10)</f>
        <v>24.45</v>
      </c>
      <c r="D748" s="8">
        <f>CHOOSE( CONTROL!$C$33, 24.4424, 24.4413) * CHOOSE( CONTROL!$C$16, $D$10, 100%, $F$10)</f>
        <v>24.442399999999999</v>
      </c>
      <c r="E748" s="12">
        <f>CHOOSE( CONTROL!$C$33, 24.4446, 24.4435) * CHOOSE( CONTROL!$C$16, $D$10, 100%, $F$10)</f>
        <v>24.444600000000001</v>
      </c>
      <c r="F748" s="4">
        <f>CHOOSE( CONTROL!$C$33, 25.1078, 25.1067) * CHOOSE(CONTROL!$C$16, $D$10, 100%, $F$10)</f>
        <v>25.107800000000001</v>
      </c>
      <c r="G748" s="8">
        <f>CHOOSE( CONTROL!$C$33, 24.1467, 24.1456) * CHOOSE( CONTROL!$C$16, $D$10, 100%, $F$10)</f>
        <v>24.146699999999999</v>
      </c>
      <c r="H748" s="4">
        <f>CHOOSE( CONTROL!$C$33, 25.0314, 25.0302) * CHOOSE(CONTROL!$C$16, $D$10, 100%, $F$10)</f>
        <v>25.031400000000001</v>
      </c>
      <c r="I748" s="8">
        <f>CHOOSE( CONTROL!$C$33, 23.8595, 23.8584) * CHOOSE(CONTROL!$C$16, $D$10, 100%, $F$10)</f>
        <v>23.859500000000001</v>
      </c>
      <c r="J748" s="4">
        <f>CHOOSE( CONTROL!$C$33, 23.6867, 23.6856) * CHOOSE(CONTROL!$C$16, $D$10, 100%, $F$10)</f>
        <v>23.686699999999998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" customHeight="1">
      <c r="A749" s="13">
        <v>63978</v>
      </c>
      <c r="B749" s="8">
        <f>CHOOSE( CONTROL!$C$33, 22.8636, 22.8624) * CHOOSE(CONTROL!$C$16, $D$10, 100%, $F$10)</f>
        <v>22.863600000000002</v>
      </c>
      <c r="C749" s="8">
        <f>CHOOSE( CONTROL!$C$33, 22.8687, 22.8675) * CHOOSE(CONTROL!$C$16, $D$10, 100%, $F$10)</f>
        <v>22.8687</v>
      </c>
      <c r="D749" s="8">
        <f>CHOOSE( CONTROL!$C$33, 22.8608, 22.8597) * CHOOSE( CONTROL!$C$16, $D$10, 100%, $F$10)</f>
        <v>22.860800000000001</v>
      </c>
      <c r="E749" s="12">
        <f>CHOOSE( CONTROL!$C$33, 22.8631, 22.862) * CHOOSE( CONTROL!$C$16, $D$10, 100%, $F$10)</f>
        <v>22.863099999999999</v>
      </c>
      <c r="F749" s="4">
        <f>CHOOSE( CONTROL!$C$33, 23.5264, 23.5253) * CHOOSE(CONTROL!$C$16, $D$10, 100%, $F$10)</f>
        <v>23.526399999999999</v>
      </c>
      <c r="G749" s="8">
        <f>CHOOSE( CONTROL!$C$33, 22.5873, 22.5862) * CHOOSE( CONTROL!$C$16, $D$10, 100%, $F$10)</f>
        <v>22.587299999999999</v>
      </c>
      <c r="H749" s="4">
        <f>CHOOSE( CONTROL!$C$33, 23.4721, 23.4709) * CHOOSE(CONTROL!$C$16, $D$10, 100%, $F$10)</f>
        <v>23.472100000000001</v>
      </c>
      <c r="I749" s="8">
        <f>CHOOSE( CONTROL!$C$33, 22.3269, 22.3258) * CHOOSE(CONTROL!$C$16, $D$10, 100%, $F$10)</f>
        <v>22.326899999999998</v>
      </c>
      <c r="J749" s="4">
        <f>CHOOSE( CONTROL!$C$33, 22.1554, 22.1544) * CHOOSE(CONTROL!$C$16, $D$10, 100%, $F$10)</f>
        <v>22.1554</v>
      </c>
      <c r="K749" s="4"/>
      <c r="L749" s="9">
        <v>26.469899999999999</v>
      </c>
      <c r="M749" s="9">
        <v>10.8962</v>
      </c>
      <c r="N749" s="9">
        <v>4.4660000000000002</v>
      </c>
      <c r="O749" s="9">
        <v>0.33789999999999998</v>
      </c>
      <c r="P749" s="9">
        <v>1.1676</v>
      </c>
      <c r="Q749" s="9">
        <v>17.782800000000002</v>
      </c>
      <c r="R749" s="9"/>
      <c r="S749" s="11"/>
    </row>
    <row r="750" spans="1:19" ht="15" customHeight="1">
      <c r="A750" s="13">
        <v>64009</v>
      </c>
      <c r="B750" s="8">
        <f>CHOOSE( CONTROL!$C$33, 22.3765, 22.3754) * CHOOSE(CONTROL!$C$16, $D$10, 100%, $F$10)</f>
        <v>22.3765</v>
      </c>
      <c r="C750" s="8">
        <f>CHOOSE( CONTROL!$C$33, 22.3816, 22.3805) * CHOOSE(CONTROL!$C$16, $D$10, 100%, $F$10)</f>
        <v>22.381599999999999</v>
      </c>
      <c r="D750" s="8">
        <f>CHOOSE( CONTROL!$C$33, 22.3731, 22.3719) * CHOOSE( CONTROL!$C$16, $D$10, 100%, $F$10)</f>
        <v>22.373100000000001</v>
      </c>
      <c r="E750" s="12">
        <f>CHOOSE( CONTROL!$C$33, 22.3757, 22.3745) * CHOOSE( CONTROL!$C$16, $D$10, 100%, $F$10)</f>
        <v>22.375699999999998</v>
      </c>
      <c r="F750" s="4">
        <f>CHOOSE( CONTROL!$C$33, 23.0394, 23.0383) * CHOOSE(CONTROL!$C$16, $D$10, 100%, $F$10)</f>
        <v>23.039400000000001</v>
      </c>
      <c r="G750" s="8">
        <f>CHOOSE( CONTROL!$C$33, 22.1065, 22.1054) * CHOOSE( CONTROL!$C$16, $D$10, 100%, $F$10)</f>
        <v>22.1065</v>
      </c>
      <c r="H750" s="4">
        <f>CHOOSE( CONTROL!$C$33, 22.9918, 22.9907) * CHOOSE(CONTROL!$C$16, $D$10, 100%, $F$10)</f>
        <v>22.991800000000001</v>
      </c>
      <c r="I750" s="8">
        <f>CHOOSE( CONTROL!$C$33, 21.8528, 21.8517) * CHOOSE(CONTROL!$C$16, $D$10, 100%, $F$10)</f>
        <v>21.852799999999998</v>
      </c>
      <c r="J750" s="4">
        <f>CHOOSE( CONTROL!$C$33, 21.6838, 21.6827) * CHOOSE(CONTROL!$C$16, $D$10, 100%, $F$10)</f>
        <v>21.683800000000002</v>
      </c>
      <c r="K750" s="4"/>
      <c r="L750" s="9">
        <v>29.306000000000001</v>
      </c>
      <c r="M750" s="9">
        <v>12.063700000000001</v>
      </c>
      <c r="N750" s="9">
        <v>4.9444999999999997</v>
      </c>
      <c r="O750" s="9">
        <v>0.37409999999999999</v>
      </c>
      <c r="P750" s="9">
        <v>1.2927</v>
      </c>
      <c r="Q750" s="9">
        <v>19.688099999999999</v>
      </c>
      <c r="R750" s="9"/>
      <c r="S750" s="11"/>
    </row>
    <row r="751" spans="1:19" ht="15" customHeight="1">
      <c r="A751" s="13">
        <v>64039</v>
      </c>
      <c r="B751" s="8">
        <f>CHOOSE( CONTROL!$C$33, 22.7176, 22.7165) * CHOOSE(CONTROL!$C$16, $D$10, 100%, $F$10)</f>
        <v>22.717600000000001</v>
      </c>
      <c r="C751" s="8">
        <f>CHOOSE( CONTROL!$C$33, 22.7221, 22.721) * CHOOSE(CONTROL!$C$16, $D$10, 100%, $F$10)</f>
        <v>22.722100000000001</v>
      </c>
      <c r="D751" s="8">
        <f>CHOOSE( CONTROL!$C$33, 22.751, 22.7499) * CHOOSE( CONTROL!$C$16, $D$10, 100%, $F$10)</f>
        <v>22.751000000000001</v>
      </c>
      <c r="E751" s="12">
        <f>CHOOSE( CONTROL!$C$33, 22.7409, 22.7398) * CHOOSE( CONTROL!$C$16, $D$10, 100%, $F$10)</f>
        <v>22.7409</v>
      </c>
      <c r="F751" s="4">
        <f>CHOOSE( CONTROL!$C$33, 23.4959, 23.4948) * CHOOSE(CONTROL!$C$16, $D$10, 100%, $F$10)</f>
        <v>23.495899999999999</v>
      </c>
      <c r="G751" s="8">
        <f>CHOOSE( CONTROL!$C$33, 22.4631, 22.462) * CHOOSE( CONTROL!$C$16, $D$10, 100%, $F$10)</f>
        <v>22.463100000000001</v>
      </c>
      <c r="H751" s="4">
        <f>CHOOSE( CONTROL!$C$33, 23.442, 23.4408) * CHOOSE(CONTROL!$C$16, $D$10, 100%, $F$10)</f>
        <v>23.442</v>
      </c>
      <c r="I751" s="8">
        <f>CHOOSE( CONTROL!$C$33, 22.1405, 22.1394) * CHOOSE(CONTROL!$C$16, $D$10, 100%, $F$10)</f>
        <v>22.140499999999999</v>
      </c>
      <c r="J751" s="4">
        <f>CHOOSE( CONTROL!$C$33, 22.0134, 22.0123) * CHOOSE(CONTROL!$C$16, $D$10, 100%, $F$10)</f>
        <v>22.013400000000001</v>
      </c>
      <c r="K751" s="4"/>
      <c r="L751" s="9">
        <v>30.092199999999998</v>
      </c>
      <c r="M751" s="9">
        <v>11.6745</v>
      </c>
      <c r="N751" s="9">
        <v>4.7850000000000001</v>
      </c>
      <c r="O751" s="9">
        <v>0.36199999999999999</v>
      </c>
      <c r="P751" s="9">
        <v>1.2509999999999999</v>
      </c>
      <c r="Q751" s="9">
        <v>19.053000000000001</v>
      </c>
      <c r="R751" s="9"/>
      <c r="S751" s="11"/>
    </row>
    <row r="752" spans="1:19" ht="15" customHeight="1">
      <c r="A752" s="13">
        <v>64070</v>
      </c>
      <c r="B752" s="8">
        <f>CHOOSE( CONTROL!$C$33, 23.3252, 23.3236) * CHOOSE(CONTROL!$C$16, $D$10, 100%, $F$10)</f>
        <v>23.325199999999999</v>
      </c>
      <c r="C752" s="8">
        <f>CHOOSE( CONTROL!$C$33, 23.3332, 23.3316) * CHOOSE(CONTROL!$C$16, $D$10, 100%, $F$10)</f>
        <v>23.333200000000001</v>
      </c>
      <c r="D752" s="8">
        <f>CHOOSE( CONTROL!$C$33, 23.3554, 23.3538) * CHOOSE( CONTROL!$C$16, $D$10, 100%, $F$10)</f>
        <v>23.355399999999999</v>
      </c>
      <c r="E752" s="12">
        <f>CHOOSE( CONTROL!$C$33, 23.3461, 23.3445) * CHOOSE( CONTROL!$C$16, $D$10, 100%, $F$10)</f>
        <v>23.3461</v>
      </c>
      <c r="F752" s="4">
        <f>CHOOSE( CONTROL!$C$33, 24.1021, 24.1005) * CHOOSE(CONTROL!$C$16, $D$10, 100%, $F$10)</f>
        <v>24.1021</v>
      </c>
      <c r="G752" s="8">
        <f>CHOOSE( CONTROL!$C$33, 23.0607, 23.0592) * CHOOSE( CONTROL!$C$16, $D$10, 100%, $F$10)</f>
        <v>23.060700000000001</v>
      </c>
      <c r="H752" s="4">
        <f>CHOOSE( CONTROL!$C$33, 24.0397, 24.0381) * CHOOSE(CONTROL!$C$16, $D$10, 100%, $F$10)</f>
        <v>24.0397</v>
      </c>
      <c r="I752" s="8">
        <f>CHOOSE( CONTROL!$C$33, 22.7274, 22.7258) * CHOOSE(CONTROL!$C$16, $D$10, 100%, $F$10)</f>
        <v>22.727399999999999</v>
      </c>
      <c r="J752" s="4">
        <f>CHOOSE( CONTROL!$C$33, 22.6004, 22.5988) * CHOOSE(CONTROL!$C$16, $D$10, 100%, $F$10)</f>
        <v>22.6004</v>
      </c>
      <c r="K752" s="4"/>
      <c r="L752" s="9">
        <v>30.7165</v>
      </c>
      <c r="M752" s="9">
        <v>12.063700000000001</v>
      </c>
      <c r="N752" s="9">
        <v>4.9444999999999997</v>
      </c>
      <c r="O752" s="9">
        <v>0.37409999999999999</v>
      </c>
      <c r="P752" s="9">
        <v>1.2927</v>
      </c>
      <c r="Q752" s="9">
        <v>19.688099999999999</v>
      </c>
      <c r="R752" s="9"/>
      <c r="S752" s="11"/>
    </row>
    <row r="753" spans="1:19" ht="15" customHeight="1">
      <c r="A753" s="13">
        <v>64100</v>
      </c>
      <c r="B753" s="8">
        <f>CHOOSE( CONTROL!$C$33, 22.9499, 22.9484) * CHOOSE(CONTROL!$C$16, $D$10, 100%, $F$10)</f>
        <v>22.9499</v>
      </c>
      <c r="C753" s="8">
        <f>CHOOSE( CONTROL!$C$33, 22.9579, 22.9564) * CHOOSE(CONTROL!$C$16, $D$10, 100%, $F$10)</f>
        <v>22.957899999999999</v>
      </c>
      <c r="D753" s="8">
        <f>CHOOSE( CONTROL!$C$33, 22.9803, 22.9788) * CHOOSE( CONTROL!$C$16, $D$10, 100%, $F$10)</f>
        <v>22.9803</v>
      </c>
      <c r="E753" s="12">
        <f>CHOOSE( CONTROL!$C$33, 22.971, 22.9695) * CHOOSE( CONTROL!$C$16, $D$10, 100%, $F$10)</f>
        <v>22.971</v>
      </c>
      <c r="F753" s="4">
        <f>CHOOSE( CONTROL!$C$33, 23.7269, 23.7253) * CHOOSE(CONTROL!$C$16, $D$10, 100%, $F$10)</f>
        <v>23.726900000000001</v>
      </c>
      <c r="G753" s="8">
        <f>CHOOSE( CONTROL!$C$33, 22.6909, 22.6893) * CHOOSE( CONTROL!$C$16, $D$10, 100%, $F$10)</f>
        <v>22.690899999999999</v>
      </c>
      <c r="H753" s="4">
        <f>CHOOSE( CONTROL!$C$33, 23.6697, 23.6681) * CHOOSE(CONTROL!$C$16, $D$10, 100%, $F$10)</f>
        <v>23.669699999999999</v>
      </c>
      <c r="I753" s="8">
        <f>CHOOSE( CONTROL!$C$33, 22.3644, 22.3629) * CHOOSE(CONTROL!$C$16, $D$10, 100%, $F$10)</f>
        <v>22.3644</v>
      </c>
      <c r="J753" s="4">
        <f>CHOOSE( CONTROL!$C$33, 22.237, 22.2355) * CHOOSE(CONTROL!$C$16, $D$10, 100%, $F$10)</f>
        <v>22.236999999999998</v>
      </c>
      <c r="K753" s="4"/>
      <c r="L753" s="9">
        <v>29.7257</v>
      </c>
      <c r="M753" s="9">
        <v>11.6745</v>
      </c>
      <c r="N753" s="9">
        <v>4.7850000000000001</v>
      </c>
      <c r="O753" s="9">
        <v>0.36199999999999999</v>
      </c>
      <c r="P753" s="9">
        <v>1.2509999999999999</v>
      </c>
      <c r="Q753" s="9">
        <v>19.053000000000001</v>
      </c>
      <c r="R753" s="9"/>
      <c r="S753" s="11"/>
    </row>
    <row r="754" spans="1:19" ht="15" customHeight="1">
      <c r="A754" s="13">
        <v>64131</v>
      </c>
      <c r="B754" s="8">
        <f>CHOOSE( CONTROL!$C$33, 23.9381, 23.9365) * CHOOSE(CONTROL!$C$16, $D$10, 100%, $F$10)</f>
        <v>23.938099999999999</v>
      </c>
      <c r="C754" s="8">
        <f>CHOOSE( CONTROL!$C$33, 23.9461, 23.9445) * CHOOSE(CONTROL!$C$16, $D$10, 100%, $F$10)</f>
        <v>23.946100000000001</v>
      </c>
      <c r="D754" s="8">
        <f>CHOOSE( CONTROL!$C$33, 23.9687, 23.9671) * CHOOSE( CONTROL!$C$16, $D$10, 100%, $F$10)</f>
        <v>23.968699999999998</v>
      </c>
      <c r="E754" s="12">
        <f>CHOOSE( CONTROL!$C$33, 23.9593, 23.9577) * CHOOSE( CONTROL!$C$16, $D$10, 100%, $F$10)</f>
        <v>23.959299999999999</v>
      </c>
      <c r="F754" s="4">
        <f>CHOOSE( CONTROL!$C$33, 24.715, 24.7134) * CHOOSE(CONTROL!$C$16, $D$10, 100%, $F$10)</f>
        <v>24.715</v>
      </c>
      <c r="G754" s="8">
        <f>CHOOSE( CONTROL!$C$33, 23.6654, 23.6638) * CHOOSE( CONTROL!$C$16, $D$10, 100%, $F$10)</f>
        <v>23.665400000000002</v>
      </c>
      <c r="H754" s="4">
        <f>CHOOSE( CONTROL!$C$33, 24.644, 24.6425) * CHOOSE(CONTROL!$C$16, $D$10, 100%, $F$10)</f>
        <v>24.643999999999998</v>
      </c>
      <c r="I754" s="8">
        <f>CHOOSE( CONTROL!$C$33, 23.3225, 23.321) * CHOOSE(CONTROL!$C$16, $D$10, 100%, $F$10)</f>
        <v>23.322500000000002</v>
      </c>
      <c r="J754" s="4">
        <f>CHOOSE( CONTROL!$C$33, 23.1938, 23.1923) * CHOOSE(CONTROL!$C$16, $D$10, 100%, $F$10)</f>
        <v>23.1938</v>
      </c>
      <c r="K754" s="4"/>
      <c r="L754" s="9">
        <v>30.7165</v>
      </c>
      <c r="M754" s="9">
        <v>12.063700000000001</v>
      </c>
      <c r="N754" s="9">
        <v>4.9444999999999997</v>
      </c>
      <c r="O754" s="9">
        <v>0.37409999999999999</v>
      </c>
      <c r="P754" s="9">
        <v>1.2927</v>
      </c>
      <c r="Q754" s="9">
        <v>19.688099999999999</v>
      </c>
      <c r="R754" s="9"/>
      <c r="S754" s="11"/>
    </row>
    <row r="755" spans="1:19" ht="15" customHeight="1">
      <c r="A755" s="13">
        <v>64162</v>
      </c>
      <c r="B755" s="8">
        <f>CHOOSE( CONTROL!$C$33, 22.0892, 22.0876) * CHOOSE(CONTROL!$C$16, $D$10, 100%, $F$10)</f>
        <v>22.089200000000002</v>
      </c>
      <c r="C755" s="8">
        <f>CHOOSE( CONTROL!$C$33, 22.0972, 22.0956) * CHOOSE(CONTROL!$C$16, $D$10, 100%, $F$10)</f>
        <v>22.097200000000001</v>
      </c>
      <c r="D755" s="8">
        <f>CHOOSE( CONTROL!$C$33, 22.1198, 22.1183) * CHOOSE( CONTROL!$C$16, $D$10, 100%, $F$10)</f>
        <v>22.119800000000001</v>
      </c>
      <c r="E755" s="12">
        <f>CHOOSE( CONTROL!$C$33, 22.1104, 22.1089) * CHOOSE( CONTROL!$C$16, $D$10, 100%, $F$10)</f>
        <v>22.110399999999998</v>
      </c>
      <c r="F755" s="4">
        <f>CHOOSE( CONTROL!$C$33, 22.8661, 22.8645) * CHOOSE(CONTROL!$C$16, $D$10, 100%, $F$10)</f>
        <v>22.866099999999999</v>
      </c>
      <c r="G755" s="8">
        <f>CHOOSE( CONTROL!$C$33, 21.8423, 21.8408) * CHOOSE( CONTROL!$C$16, $D$10, 100%, $F$10)</f>
        <v>21.842300000000002</v>
      </c>
      <c r="H755" s="4">
        <f>CHOOSE( CONTROL!$C$33, 22.8209, 22.8194) * CHOOSE(CONTROL!$C$16, $D$10, 100%, $F$10)</f>
        <v>22.820900000000002</v>
      </c>
      <c r="I755" s="8">
        <f>CHOOSE( CONTROL!$C$33, 21.5315, 21.53) * CHOOSE(CONTROL!$C$16, $D$10, 100%, $F$10)</f>
        <v>21.531500000000001</v>
      </c>
      <c r="J755" s="4">
        <f>CHOOSE( CONTROL!$C$33, 21.4035, 21.402) * CHOOSE(CONTROL!$C$16, $D$10, 100%, $F$10)</f>
        <v>21.403500000000001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1.2927</v>
      </c>
      <c r="Q755" s="9">
        <v>19.688099999999999</v>
      </c>
      <c r="R755" s="9"/>
      <c r="S755" s="11"/>
    </row>
    <row r="756" spans="1:19" ht="15" customHeight="1">
      <c r="A756" s="13">
        <v>64192</v>
      </c>
      <c r="B756" s="8">
        <f>CHOOSE( CONTROL!$C$33, 21.6262, 21.6246) * CHOOSE(CONTROL!$C$16, $D$10, 100%, $F$10)</f>
        <v>21.626200000000001</v>
      </c>
      <c r="C756" s="8">
        <f>CHOOSE( CONTROL!$C$33, 21.6342, 21.6326) * CHOOSE(CONTROL!$C$16, $D$10, 100%, $F$10)</f>
        <v>21.6342</v>
      </c>
      <c r="D756" s="8">
        <f>CHOOSE( CONTROL!$C$33, 21.6567, 21.6552) * CHOOSE( CONTROL!$C$16, $D$10, 100%, $F$10)</f>
        <v>21.656700000000001</v>
      </c>
      <c r="E756" s="12">
        <f>CHOOSE( CONTROL!$C$33, 21.6473, 21.6458) * CHOOSE( CONTROL!$C$16, $D$10, 100%, $F$10)</f>
        <v>21.647300000000001</v>
      </c>
      <c r="F756" s="4">
        <f>CHOOSE( CONTROL!$C$33, 22.4031, 22.4015) * CHOOSE(CONTROL!$C$16, $D$10, 100%, $F$10)</f>
        <v>22.403099999999998</v>
      </c>
      <c r="G756" s="8">
        <f>CHOOSE( CONTROL!$C$33, 21.3857, 21.3842) * CHOOSE( CONTROL!$C$16, $D$10, 100%, $F$10)</f>
        <v>21.3857</v>
      </c>
      <c r="H756" s="4">
        <f>CHOOSE( CONTROL!$C$33, 22.3644, 22.3629) * CHOOSE(CONTROL!$C$16, $D$10, 100%, $F$10)</f>
        <v>22.3644</v>
      </c>
      <c r="I756" s="8">
        <f>CHOOSE( CONTROL!$C$33, 21.0825, 21.081) * CHOOSE(CONTROL!$C$16, $D$10, 100%, $F$10)</f>
        <v>21.0825</v>
      </c>
      <c r="J756" s="4">
        <f>CHOOSE( CONTROL!$C$33, 20.9552, 20.9537) * CHOOSE(CONTROL!$C$16, $D$10, 100%, $F$10)</f>
        <v>20.955200000000001</v>
      </c>
      <c r="K756" s="4"/>
      <c r="L756" s="9">
        <v>29.7257</v>
      </c>
      <c r="M756" s="9">
        <v>11.6745</v>
      </c>
      <c r="N756" s="9">
        <v>4.7850000000000001</v>
      </c>
      <c r="O756" s="9">
        <v>0.36199999999999999</v>
      </c>
      <c r="P756" s="9">
        <v>1.2509999999999999</v>
      </c>
      <c r="Q756" s="9">
        <v>19.053000000000001</v>
      </c>
      <c r="R756" s="9"/>
      <c r="S756" s="11"/>
    </row>
    <row r="757" spans="1:19" ht="15" customHeight="1">
      <c r="A757" s="13">
        <v>64223</v>
      </c>
      <c r="B757" s="8">
        <f>CHOOSE( CONTROL!$C$33, 22.5853, 22.5842) * CHOOSE(CONTROL!$C$16, $D$10, 100%, $F$10)</f>
        <v>22.5853</v>
      </c>
      <c r="C757" s="8">
        <f>CHOOSE( CONTROL!$C$33, 22.5907, 22.5896) * CHOOSE(CONTROL!$C$16, $D$10, 100%, $F$10)</f>
        <v>22.590699999999998</v>
      </c>
      <c r="D757" s="8">
        <f>CHOOSE( CONTROL!$C$33, 22.6195, 22.6183) * CHOOSE( CONTROL!$C$16, $D$10, 100%, $F$10)</f>
        <v>22.619499999999999</v>
      </c>
      <c r="E757" s="12">
        <f>CHOOSE( CONTROL!$C$33, 22.6094, 22.6083) * CHOOSE( CONTROL!$C$16, $D$10, 100%, $F$10)</f>
        <v>22.609400000000001</v>
      </c>
      <c r="F757" s="4">
        <f>CHOOSE( CONTROL!$C$33, 23.364, 23.3628) * CHOOSE(CONTROL!$C$16, $D$10, 100%, $F$10)</f>
        <v>23.364000000000001</v>
      </c>
      <c r="G757" s="8">
        <f>CHOOSE( CONTROL!$C$33, 22.3333, 22.3322) * CHOOSE( CONTROL!$C$16, $D$10, 100%, $F$10)</f>
        <v>22.333300000000001</v>
      </c>
      <c r="H757" s="4">
        <f>CHOOSE( CONTROL!$C$33, 23.3119, 23.3108) * CHOOSE(CONTROL!$C$16, $D$10, 100%, $F$10)</f>
        <v>23.311900000000001</v>
      </c>
      <c r="I757" s="8">
        <f>CHOOSE( CONTROL!$C$33, 22.014, 22.0129) * CHOOSE(CONTROL!$C$16, $D$10, 100%, $F$10)</f>
        <v>22.013999999999999</v>
      </c>
      <c r="J757" s="4">
        <f>CHOOSE( CONTROL!$C$33, 21.8856, 21.8845) * CHOOSE(CONTROL!$C$16, $D$10, 100%, $F$10)</f>
        <v>21.8856</v>
      </c>
      <c r="K757" s="4"/>
      <c r="L757" s="9">
        <v>31.095300000000002</v>
      </c>
      <c r="M757" s="9">
        <v>12.063700000000001</v>
      </c>
      <c r="N757" s="9">
        <v>4.9444999999999997</v>
      </c>
      <c r="O757" s="9">
        <v>0.37409999999999999</v>
      </c>
      <c r="P757" s="9">
        <v>1.2927</v>
      </c>
      <c r="Q757" s="9">
        <v>19.688099999999999</v>
      </c>
      <c r="R757" s="9"/>
      <c r="S757" s="11"/>
    </row>
    <row r="758" spans="1:19" ht="15" customHeight="1">
      <c r="A758" s="13">
        <v>64253</v>
      </c>
      <c r="B758" s="8">
        <f>CHOOSE( CONTROL!$C$33, 24.3593, 24.3582) * CHOOSE(CONTROL!$C$16, $D$10, 100%, $F$10)</f>
        <v>24.359300000000001</v>
      </c>
      <c r="C758" s="8">
        <f>CHOOSE( CONTROL!$C$33, 24.3644, 24.3633) * CHOOSE(CONTROL!$C$16, $D$10, 100%, $F$10)</f>
        <v>24.3644</v>
      </c>
      <c r="D758" s="8">
        <f>CHOOSE( CONTROL!$C$33, 24.3441, 24.343) * CHOOSE( CONTROL!$C$16, $D$10, 100%, $F$10)</f>
        <v>24.344100000000001</v>
      </c>
      <c r="E758" s="12">
        <f>CHOOSE( CONTROL!$C$33, 24.351, 24.3499) * CHOOSE( CONTROL!$C$16, $D$10, 100%, $F$10)</f>
        <v>24.350999999999999</v>
      </c>
      <c r="F758" s="4">
        <f>CHOOSE( CONTROL!$C$33, 25.0222, 25.0211) * CHOOSE(CONTROL!$C$16, $D$10, 100%, $F$10)</f>
        <v>25.022200000000002</v>
      </c>
      <c r="G758" s="8">
        <f>CHOOSE( CONTROL!$C$33, 24.0554, 24.0543) * CHOOSE( CONTROL!$C$16, $D$10, 100%, $F$10)</f>
        <v>24.055399999999999</v>
      </c>
      <c r="H758" s="4">
        <f>CHOOSE( CONTROL!$C$33, 24.9469, 24.9458) * CHOOSE(CONTROL!$C$16, $D$10, 100%, $F$10)</f>
        <v>24.946899999999999</v>
      </c>
      <c r="I758" s="8">
        <f>CHOOSE( CONTROL!$C$33, 23.7807, 23.7797) * CHOOSE(CONTROL!$C$16, $D$10, 100%, $F$10)</f>
        <v>23.7807</v>
      </c>
      <c r="J758" s="4">
        <f>CHOOSE( CONTROL!$C$33, 23.6038, 23.6027) * CHOOSE(CONTROL!$C$16, $D$10, 100%, $F$10)</f>
        <v>23.6038</v>
      </c>
      <c r="K758" s="4"/>
      <c r="L758" s="9">
        <v>28.360600000000002</v>
      </c>
      <c r="M758" s="9">
        <v>11.6745</v>
      </c>
      <c r="N758" s="9">
        <v>4.7850000000000001</v>
      </c>
      <c r="O758" s="9">
        <v>0.36199999999999999</v>
      </c>
      <c r="P758" s="9">
        <v>1.2509999999999999</v>
      </c>
      <c r="Q758" s="9">
        <v>19.053000000000001</v>
      </c>
      <c r="R758" s="9"/>
      <c r="S758" s="11"/>
    </row>
    <row r="759" spans="1:19" ht="15" customHeight="1">
      <c r="A759" s="13">
        <v>64284</v>
      </c>
      <c r="B759" s="8">
        <f>CHOOSE( CONTROL!$C$33, 24.315, 24.3139) * CHOOSE(CONTROL!$C$16, $D$10, 100%, $F$10)</f>
        <v>24.315000000000001</v>
      </c>
      <c r="C759" s="8">
        <f>CHOOSE( CONTROL!$C$33, 24.3201, 24.319) * CHOOSE(CONTROL!$C$16, $D$10, 100%, $F$10)</f>
        <v>24.3201</v>
      </c>
      <c r="D759" s="8">
        <f>CHOOSE( CONTROL!$C$33, 24.3012, 24.3001) * CHOOSE( CONTROL!$C$16, $D$10, 100%, $F$10)</f>
        <v>24.301200000000001</v>
      </c>
      <c r="E759" s="12">
        <f>CHOOSE( CONTROL!$C$33, 24.3076, 24.3065) * CHOOSE( CONTROL!$C$16, $D$10, 100%, $F$10)</f>
        <v>24.307600000000001</v>
      </c>
      <c r="F759" s="4">
        <f>CHOOSE( CONTROL!$C$33, 24.9778, 24.9767) * CHOOSE(CONTROL!$C$16, $D$10, 100%, $F$10)</f>
        <v>24.977799999999998</v>
      </c>
      <c r="G759" s="8">
        <f>CHOOSE( CONTROL!$C$33, 24.0128, 24.0116) * CHOOSE( CONTROL!$C$16, $D$10, 100%, $F$10)</f>
        <v>24.012799999999999</v>
      </c>
      <c r="H759" s="4">
        <f>CHOOSE( CONTROL!$C$33, 24.9032, 24.9021) * CHOOSE(CONTROL!$C$16, $D$10, 100%, $F$10)</f>
        <v>24.903199999999998</v>
      </c>
      <c r="I759" s="8">
        <f>CHOOSE( CONTROL!$C$33, 23.7423, 23.7412) * CHOOSE(CONTROL!$C$16, $D$10, 100%, $F$10)</f>
        <v>23.7423</v>
      </c>
      <c r="J759" s="4">
        <f>CHOOSE( CONTROL!$C$33, 23.5608, 23.5598) * CHOOSE(CONTROL!$C$16, $D$10, 100%, $F$10)</f>
        <v>23.5608</v>
      </c>
      <c r="K759" s="4"/>
      <c r="L759" s="9">
        <v>29.306000000000001</v>
      </c>
      <c r="M759" s="9">
        <v>12.063700000000001</v>
      </c>
      <c r="N759" s="9">
        <v>4.9444999999999997</v>
      </c>
      <c r="O759" s="9">
        <v>0.37409999999999999</v>
      </c>
      <c r="P759" s="9">
        <v>1.2927</v>
      </c>
      <c r="Q759" s="9">
        <v>19.688099999999999</v>
      </c>
      <c r="R759" s="9"/>
      <c r="S759" s="11"/>
    </row>
    <row r="760" spans="1:19" ht="15" customHeight="1">
      <c r="A760" s="13">
        <v>64315</v>
      </c>
      <c r="B760" s="8">
        <f>CHOOSE( CONTROL!$C$33, 25.0327, 25.0315) * CHOOSE(CONTROL!$C$16, $D$10, 100%, $F$10)</f>
        <v>25.032699999999998</v>
      </c>
      <c r="C760" s="8">
        <f>CHOOSE( CONTROL!$C$33, 25.0378, 25.0366) * CHOOSE(CONTROL!$C$16, $D$10, 100%, $F$10)</f>
        <v>25.037800000000001</v>
      </c>
      <c r="D760" s="8">
        <f>CHOOSE( CONTROL!$C$33, 25.0301, 25.029) * CHOOSE( CONTROL!$C$16, $D$10, 100%, $F$10)</f>
        <v>25.030100000000001</v>
      </c>
      <c r="E760" s="12">
        <f>CHOOSE( CONTROL!$C$33, 25.0324, 25.0312) * CHOOSE( CONTROL!$C$16, $D$10, 100%, $F$10)</f>
        <v>25.032399999999999</v>
      </c>
      <c r="F760" s="4">
        <f>CHOOSE( CONTROL!$C$33, 25.6955, 25.6944) * CHOOSE(CONTROL!$C$16, $D$10, 100%, $F$10)</f>
        <v>25.695499999999999</v>
      </c>
      <c r="G760" s="8">
        <f>CHOOSE( CONTROL!$C$33, 24.7263, 24.7252) * CHOOSE( CONTROL!$C$16, $D$10, 100%, $F$10)</f>
        <v>24.726299999999998</v>
      </c>
      <c r="H760" s="4">
        <f>CHOOSE( CONTROL!$C$33, 25.6109, 25.6098) * CHOOSE(CONTROL!$C$16, $D$10, 100%, $F$10)</f>
        <v>25.610900000000001</v>
      </c>
      <c r="I760" s="8">
        <f>CHOOSE( CONTROL!$C$33, 24.4289, 24.4278) * CHOOSE(CONTROL!$C$16, $D$10, 100%, $F$10)</f>
        <v>24.428899999999999</v>
      </c>
      <c r="J760" s="4">
        <f>CHOOSE( CONTROL!$C$33, 24.2558, 24.2547) * CHOOSE(CONTROL!$C$16, $D$10, 100%, $F$10)</f>
        <v>24.255800000000001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" customHeight="1">
      <c r="A761" s="13">
        <v>64344</v>
      </c>
      <c r="B761" s="8">
        <f>CHOOSE( CONTROL!$C$33, 23.4133, 23.4122) * CHOOSE(CONTROL!$C$16, $D$10, 100%, $F$10)</f>
        <v>23.4133</v>
      </c>
      <c r="C761" s="8">
        <f>CHOOSE( CONTROL!$C$33, 23.4184, 23.4173) * CHOOSE(CONTROL!$C$16, $D$10, 100%, $F$10)</f>
        <v>23.418399999999998</v>
      </c>
      <c r="D761" s="8">
        <f>CHOOSE( CONTROL!$C$33, 23.4106, 23.4095) * CHOOSE( CONTROL!$C$16, $D$10, 100%, $F$10)</f>
        <v>23.410599999999999</v>
      </c>
      <c r="E761" s="12">
        <f>CHOOSE( CONTROL!$C$33, 23.4129, 23.4118) * CHOOSE( CONTROL!$C$16, $D$10, 100%, $F$10)</f>
        <v>23.4129</v>
      </c>
      <c r="F761" s="4">
        <f>CHOOSE( CONTROL!$C$33, 24.0762, 24.075) * CHOOSE(CONTROL!$C$16, $D$10, 100%, $F$10)</f>
        <v>24.0762</v>
      </c>
      <c r="G761" s="8">
        <f>CHOOSE( CONTROL!$C$33, 23.1294, 23.1283) * CHOOSE( CONTROL!$C$16, $D$10, 100%, $F$10)</f>
        <v>23.1294</v>
      </c>
      <c r="H761" s="4">
        <f>CHOOSE( CONTROL!$C$33, 24.0141, 24.013) * CHOOSE(CONTROL!$C$16, $D$10, 100%, $F$10)</f>
        <v>24.014099999999999</v>
      </c>
      <c r="I761" s="8">
        <f>CHOOSE( CONTROL!$C$33, 22.8595, 22.8584) * CHOOSE(CONTROL!$C$16, $D$10, 100%, $F$10)</f>
        <v>22.859500000000001</v>
      </c>
      <c r="J761" s="4">
        <f>CHOOSE( CONTROL!$C$33, 22.6878, 22.6867) * CHOOSE(CONTROL!$C$16, $D$10, 100%, $F$10)</f>
        <v>22.687799999999999</v>
      </c>
      <c r="K761" s="4"/>
      <c r="L761" s="9">
        <v>27.415299999999998</v>
      </c>
      <c r="M761" s="9">
        <v>11.285299999999999</v>
      </c>
      <c r="N761" s="9">
        <v>4.6254999999999997</v>
      </c>
      <c r="O761" s="9">
        <v>0.34989999999999999</v>
      </c>
      <c r="P761" s="9">
        <v>1.2093</v>
      </c>
      <c r="Q761" s="9">
        <v>18.417899999999999</v>
      </c>
      <c r="R761" s="9"/>
      <c r="S761" s="11"/>
    </row>
    <row r="762" spans="1:19" ht="15" customHeight="1">
      <c r="A762" s="13">
        <v>64375</v>
      </c>
      <c r="B762" s="8">
        <f>CHOOSE( CONTROL!$C$33, 22.9145, 22.9134) * CHOOSE(CONTROL!$C$16, $D$10, 100%, $F$10)</f>
        <v>22.9145</v>
      </c>
      <c r="C762" s="8">
        <f>CHOOSE( CONTROL!$C$33, 22.9196, 22.9185) * CHOOSE(CONTROL!$C$16, $D$10, 100%, $F$10)</f>
        <v>22.919599999999999</v>
      </c>
      <c r="D762" s="8">
        <f>CHOOSE( CONTROL!$C$33, 22.9111, 22.91) * CHOOSE( CONTROL!$C$16, $D$10, 100%, $F$10)</f>
        <v>22.911100000000001</v>
      </c>
      <c r="E762" s="12">
        <f>CHOOSE( CONTROL!$C$33, 22.9137, 22.9126) * CHOOSE( CONTROL!$C$16, $D$10, 100%, $F$10)</f>
        <v>22.913699999999999</v>
      </c>
      <c r="F762" s="4">
        <f>CHOOSE( CONTROL!$C$33, 23.5774, 23.5763) * CHOOSE(CONTROL!$C$16, $D$10, 100%, $F$10)</f>
        <v>23.577400000000001</v>
      </c>
      <c r="G762" s="8">
        <f>CHOOSE( CONTROL!$C$33, 22.6371, 22.6359) * CHOOSE( CONTROL!$C$16, $D$10, 100%, $F$10)</f>
        <v>22.6371</v>
      </c>
      <c r="H762" s="4">
        <f>CHOOSE( CONTROL!$C$33, 23.5223, 23.5212) * CHOOSE(CONTROL!$C$16, $D$10, 100%, $F$10)</f>
        <v>23.522300000000001</v>
      </c>
      <c r="I762" s="8">
        <f>CHOOSE( CONTROL!$C$33, 22.374, 22.3729) * CHOOSE(CONTROL!$C$16, $D$10, 100%, $F$10)</f>
        <v>22.373999999999999</v>
      </c>
      <c r="J762" s="4">
        <f>CHOOSE( CONTROL!$C$33, 22.2048, 22.2037) * CHOOSE(CONTROL!$C$16, $D$10, 100%, $F$10)</f>
        <v>22.204799999999999</v>
      </c>
      <c r="K762" s="4"/>
      <c r="L762" s="9">
        <v>29.306000000000001</v>
      </c>
      <c r="M762" s="9">
        <v>12.063700000000001</v>
      </c>
      <c r="N762" s="9">
        <v>4.9444999999999997</v>
      </c>
      <c r="O762" s="9">
        <v>0.37409999999999999</v>
      </c>
      <c r="P762" s="9">
        <v>1.2927</v>
      </c>
      <c r="Q762" s="9">
        <v>19.688099999999999</v>
      </c>
      <c r="R762" s="9"/>
      <c r="S762" s="11"/>
    </row>
    <row r="763" spans="1:19" ht="15" customHeight="1">
      <c r="A763" s="13">
        <v>64405</v>
      </c>
      <c r="B763" s="8">
        <f>CHOOSE( CONTROL!$C$33, 23.2638, 23.2627) * CHOOSE(CONTROL!$C$16, $D$10, 100%, $F$10)</f>
        <v>23.2638</v>
      </c>
      <c r="C763" s="8">
        <f>CHOOSE( CONTROL!$C$33, 23.2684, 23.2672) * CHOOSE(CONTROL!$C$16, $D$10, 100%, $F$10)</f>
        <v>23.2684</v>
      </c>
      <c r="D763" s="8">
        <f>CHOOSE( CONTROL!$C$33, 23.2972, 23.2961) * CHOOSE( CONTROL!$C$16, $D$10, 100%, $F$10)</f>
        <v>23.2972</v>
      </c>
      <c r="E763" s="12">
        <f>CHOOSE( CONTROL!$C$33, 23.2872, 23.286) * CHOOSE( CONTROL!$C$16, $D$10, 100%, $F$10)</f>
        <v>23.287199999999999</v>
      </c>
      <c r="F763" s="4">
        <f>CHOOSE( CONTROL!$C$33, 24.0421, 24.041) * CHOOSE(CONTROL!$C$16, $D$10, 100%, $F$10)</f>
        <v>24.042100000000001</v>
      </c>
      <c r="G763" s="8">
        <f>CHOOSE( CONTROL!$C$33, 23.0017, 23.0005) * CHOOSE( CONTROL!$C$16, $D$10, 100%, $F$10)</f>
        <v>23.0017</v>
      </c>
      <c r="H763" s="4">
        <f>CHOOSE( CONTROL!$C$33, 23.9805, 23.9794) * CHOOSE(CONTROL!$C$16, $D$10, 100%, $F$10)</f>
        <v>23.980499999999999</v>
      </c>
      <c r="I763" s="8">
        <f>CHOOSE( CONTROL!$C$33, 22.6696, 22.6686) * CHOOSE(CONTROL!$C$16, $D$10, 100%, $F$10)</f>
        <v>22.669599999999999</v>
      </c>
      <c r="J763" s="4">
        <f>CHOOSE( CONTROL!$C$33, 22.5423, 22.5412) * CHOOSE(CONTROL!$C$16, $D$10, 100%, $F$10)</f>
        <v>22.542300000000001</v>
      </c>
      <c r="K763" s="4"/>
      <c r="L763" s="9">
        <v>30.092199999999998</v>
      </c>
      <c r="M763" s="9">
        <v>11.6745</v>
      </c>
      <c r="N763" s="9">
        <v>4.7850000000000001</v>
      </c>
      <c r="O763" s="9">
        <v>0.36199999999999999</v>
      </c>
      <c r="P763" s="9">
        <v>1.2509999999999999</v>
      </c>
      <c r="Q763" s="9">
        <v>19.053000000000001</v>
      </c>
      <c r="R763" s="9"/>
      <c r="S763" s="11"/>
    </row>
    <row r="764" spans="1:19" ht="15" customHeight="1">
      <c r="A764" s="13">
        <v>64436</v>
      </c>
      <c r="B764" s="8">
        <f>CHOOSE( CONTROL!$C$33, 23.8859, 23.8844) * CHOOSE(CONTROL!$C$16, $D$10, 100%, $F$10)</f>
        <v>23.885899999999999</v>
      </c>
      <c r="C764" s="8">
        <f>CHOOSE( CONTROL!$C$33, 23.8939, 23.8924) * CHOOSE(CONTROL!$C$16, $D$10, 100%, $F$10)</f>
        <v>23.893899999999999</v>
      </c>
      <c r="D764" s="8">
        <f>CHOOSE( CONTROL!$C$33, 23.9162, 23.9146) * CHOOSE( CONTROL!$C$16, $D$10, 100%, $F$10)</f>
        <v>23.9162</v>
      </c>
      <c r="E764" s="12">
        <f>CHOOSE( CONTROL!$C$33, 23.9069, 23.9053) * CHOOSE( CONTROL!$C$16, $D$10, 100%, $F$10)</f>
        <v>23.9069</v>
      </c>
      <c r="F764" s="4">
        <f>CHOOSE( CONTROL!$C$33, 24.6629, 24.6613) * CHOOSE(CONTROL!$C$16, $D$10, 100%, $F$10)</f>
        <v>24.6629</v>
      </c>
      <c r="G764" s="8">
        <f>CHOOSE( CONTROL!$C$33, 23.6137, 23.6121) * CHOOSE( CONTROL!$C$16, $D$10, 100%, $F$10)</f>
        <v>23.613700000000001</v>
      </c>
      <c r="H764" s="4">
        <f>CHOOSE( CONTROL!$C$33, 24.5926, 24.5911) * CHOOSE(CONTROL!$C$16, $D$10, 100%, $F$10)</f>
        <v>24.592600000000001</v>
      </c>
      <c r="I764" s="8">
        <f>CHOOSE( CONTROL!$C$33, 23.2706, 23.2691) * CHOOSE(CONTROL!$C$16, $D$10, 100%, $F$10)</f>
        <v>23.270600000000002</v>
      </c>
      <c r="J764" s="4">
        <f>CHOOSE( CONTROL!$C$33, 23.1433, 23.1418) * CHOOSE(CONTROL!$C$16, $D$10, 100%, $F$10)</f>
        <v>23.1433</v>
      </c>
      <c r="K764" s="4"/>
      <c r="L764" s="9">
        <v>30.7165</v>
      </c>
      <c r="M764" s="9">
        <v>12.063700000000001</v>
      </c>
      <c r="N764" s="9">
        <v>4.9444999999999997</v>
      </c>
      <c r="O764" s="9">
        <v>0.37409999999999999</v>
      </c>
      <c r="P764" s="9">
        <v>1.2927</v>
      </c>
      <c r="Q764" s="9">
        <v>19.688099999999999</v>
      </c>
      <c r="R764" s="9"/>
      <c r="S764" s="11"/>
    </row>
    <row r="765" spans="1:19" ht="15" customHeight="1">
      <c r="A765" s="13">
        <v>64466</v>
      </c>
      <c r="B765" s="8">
        <f>CHOOSE( CONTROL!$C$33, 23.5017, 23.5001) * CHOOSE(CONTROL!$C$16, $D$10, 100%, $F$10)</f>
        <v>23.5017</v>
      </c>
      <c r="C765" s="8">
        <f>CHOOSE( CONTROL!$C$33, 23.5097, 23.5081) * CHOOSE(CONTROL!$C$16, $D$10, 100%, $F$10)</f>
        <v>23.509699999999999</v>
      </c>
      <c r="D765" s="8">
        <f>CHOOSE( CONTROL!$C$33, 23.5321, 23.5305) * CHOOSE( CONTROL!$C$16, $D$10, 100%, $F$10)</f>
        <v>23.5321</v>
      </c>
      <c r="E765" s="12">
        <f>CHOOSE( CONTROL!$C$33, 23.5228, 23.5212) * CHOOSE( CONTROL!$C$16, $D$10, 100%, $F$10)</f>
        <v>23.5228</v>
      </c>
      <c r="F765" s="4">
        <f>CHOOSE( CONTROL!$C$33, 24.2786, 24.277) * CHOOSE(CONTROL!$C$16, $D$10, 100%, $F$10)</f>
        <v>24.278600000000001</v>
      </c>
      <c r="G765" s="8">
        <f>CHOOSE( CONTROL!$C$33, 23.2349, 23.2334) * CHOOSE( CONTROL!$C$16, $D$10, 100%, $F$10)</f>
        <v>23.2349</v>
      </c>
      <c r="H765" s="4">
        <f>CHOOSE( CONTROL!$C$33, 24.2137, 24.2122) * CHOOSE(CONTROL!$C$16, $D$10, 100%, $F$10)</f>
        <v>24.213699999999999</v>
      </c>
      <c r="I765" s="8">
        <f>CHOOSE( CONTROL!$C$33, 22.8989, 22.8974) * CHOOSE(CONTROL!$C$16, $D$10, 100%, $F$10)</f>
        <v>22.898900000000001</v>
      </c>
      <c r="J765" s="4">
        <f>CHOOSE( CONTROL!$C$33, 22.7713, 22.7698) * CHOOSE(CONTROL!$C$16, $D$10, 100%, $F$10)</f>
        <v>22.7713</v>
      </c>
      <c r="K765" s="4"/>
      <c r="L765" s="9">
        <v>29.7257</v>
      </c>
      <c r="M765" s="9">
        <v>11.6745</v>
      </c>
      <c r="N765" s="9">
        <v>4.7850000000000001</v>
      </c>
      <c r="O765" s="9">
        <v>0.36199999999999999</v>
      </c>
      <c r="P765" s="9">
        <v>1.2509999999999999</v>
      </c>
      <c r="Q765" s="9">
        <v>19.053000000000001</v>
      </c>
      <c r="R765" s="9"/>
      <c r="S765" s="11"/>
    </row>
    <row r="766" spans="1:19" ht="15" customHeight="1">
      <c r="A766" s="13">
        <v>64497</v>
      </c>
      <c r="B766" s="8">
        <f>CHOOSE( CONTROL!$C$33, 24.5135, 24.512) * CHOOSE(CONTROL!$C$16, $D$10, 100%, $F$10)</f>
        <v>24.513500000000001</v>
      </c>
      <c r="C766" s="8">
        <f>CHOOSE( CONTROL!$C$33, 24.5215, 24.52) * CHOOSE(CONTROL!$C$16, $D$10, 100%, $F$10)</f>
        <v>24.5215</v>
      </c>
      <c r="D766" s="8">
        <f>CHOOSE( CONTROL!$C$33, 24.5442, 24.5426) * CHOOSE( CONTROL!$C$16, $D$10, 100%, $F$10)</f>
        <v>24.5442</v>
      </c>
      <c r="E766" s="12">
        <f>CHOOSE( CONTROL!$C$33, 24.5348, 24.5332) * CHOOSE( CONTROL!$C$16, $D$10, 100%, $F$10)</f>
        <v>24.534800000000001</v>
      </c>
      <c r="F766" s="4">
        <f>CHOOSE( CONTROL!$C$33, 25.2905, 25.2889) * CHOOSE(CONTROL!$C$16, $D$10, 100%, $F$10)</f>
        <v>25.290500000000002</v>
      </c>
      <c r="G766" s="8">
        <f>CHOOSE( CONTROL!$C$33, 24.2328, 24.2313) * CHOOSE( CONTROL!$C$16, $D$10, 100%, $F$10)</f>
        <v>24.232800000000001</v>
      </c>
      <c r="H766" s="4">
        <f>CHOOSE( CONTROL!$C$33, 25.2115, 25.2099) * CHOOSE(CONTROL!$C$16, $D$10, 100%, $F$10)</f>
        <v>25.211500000000001</v>
      </c>
      <c r="I766" s="8">
        <f>CHOOSE( CONTROL!$C$33, 23.88, 23.8785) * CHOOSE(CONTROL!$C$16, $D$10, 100%, $F$10)</f>
        <v>23.88</v>
      </c>
      <c r="J766" s="4">
        <f>CHOOSE( CONTROL!$C$33, 23.7511, 23.7495) * CHOOSE(CONTROL!$C$16, $D$10, 100%, $F$10)</f>
        <v>23.751100000000001</v>
      </c>
      <c r="K766" s="4"/>
      <c r="L766" s="9">
        <v>30.7165</v>
      </c>
      <c r="M766" s="9">
        <v>12.063700000000001</v>
      </c>
      <c r="N766" s="9">
        <v>4.9444999999999997</v>
      </c>
      <c r="O766" s="9">
        <v>0.37409999999999999</v>
      </c>
      <c r="P766" s="9">
        <v>1.2927</v>
      </c>
      <c r="Q766" s="9">
        <v>19.688099999999999</v>
      </c>
      <c r="R766" s="9"/>
      <c r="S766" s="11"/>
    </row>
    <row r="767" spans="1:19" ht="15" customHeight="1">
      <c r="A767" s="13">
        <v>64528</v>
      </c>
      <c r="B767" s="8">
        <f>CHOOSE( CONTROL!$C$33, 22.6202, 22.6187) * CHOOSE(CONTROL!$C$16, $D$10, 100%, $F$10)</f>
        <v>22.620200000000001</v>
      </c>
      <c r="C767" s="8">
        <f>CHOOSE( CONTROL!$C$33, 22.6282, 22.6267) * CHOOSE(CONTROL!$C$16, $D$10, 100%, $F$10)</f>
        <v>22.6282</v>
      </c>
      <c r="D767" s="8">
        <f>CHOOSE( CONTROL!$C$33, 22.6509, 22.6493) * CHOOSE( CONTROL!$C$16, $D$10, 100%, $F$10)</f>
        <v>22.6509</v>
      </c>
      <c r="E767" s="12">
        <f>CHOOSE( CONTROL!$C$33, 22.6415, 22.6399) * CHOOSE( CONTROL!$C$16, $D$10, 100%, $F$10)</f>
        <v>22.641500000000001</v>
      </c>
      <c r="F767" s="4">
        <f>CHOOSE( CONTROL!$C$33, 23.3972, 23.3956) * CHOOSE(CONTROL!$C$16, $D$10, 100%, $F$10)</f>
        <v>23.397200000000002</v>
      </c>
      <c r="G767" s="8">
        <f>CHOOSE( CONTROL!$C$33, 22.366, 22.3644) * CHOOSE( CONTROL!$C$16, $D$10, 100%, $F$10)</f>
        <v>22.366</v>
      </c>
      <c r="H767" s="4">
        <f>CHOOSE( CONTROL!$C$33, 23.3446, 23.343) * CHOOSE(CONTROL!$C$16, $D$10, 100%, $F$10)</f>
        <v>23.3446</v>
      </c>
      <c r="I767" s="8">
        <f>CHOOSE( CONTROL!$C$33, 22.046, 22.0444) * CHOOSE(CONTROL!$C$16, $D$10, 100%, $F$10)</f>
        <v>22.045999999999999</v>
      </c>
      <c r="J767" s="4">
        <f>CHOOSE( CONTROL!$C$33, 21.9178, 21.9163) * CHOOSE(CONTROL!$C$16, $D$10, 100%, $F$10)</f>
        <v>21.9178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1.2927</v>
      </c>
      <c r="Q767" s="9">
        <v>19.688099999999999</v>
      </c>
      <c r="R767" s="9"/>
      <c r="S767" s="11"/>
    </row>
    <row r="768" spans="1:19" ht="15" customHeight="1">
      <c r="A768" s="13">
        <v>64558</v>
      </c>
      <c r="B768" s="8">
        <f>CHOOSE( CONTROL!$C$33, 22.1461, 22.1446) * CHOOSE(CONTROL!$C$16, $D$10, 100%, $F$10)</f>
        <v>22.146100000000001</v>
      </c>
      <c r="C768" s="8">
        <f>CHOOSE( CONTROL!$C$33, 22.1541, 22.1526) * CHOOSE(CONTROL!$C$16, $D$10, 100%, $F$10)</f>
        <v>22.1541</v>
      </c>
      <c r="D768" s="8">
        <f>CHOOSE( CONTROL!$C$33, 22.1767, 22.1751) * CHOOSE( CONTROL!$C$16, $D$10, 100%, $F$10)</f>
        <v>22.1767</v>
      </c>
      <c r="E768" s="12">
        <f>CHOOSE( CONTROL!$C$33, 22.1673, 22.1657) * CHOOSE( CONTROL!$C$16, $D$10, 100%, $F$10)</f>
        <v>22.167300000000001</v>
      </c>
      <c r="F768" s="4">
        <f>CHOOSE( CONTROL!$C$33, 22.9231, 22.9215) * CHOOSE(CONTROL!$C$16, $D$10, 100%, $F$10)</f>
        <v>22.923100000000002</v>
      </c>
      <c r="G768" s="8">
        <f>CHOOSE( CONTROL!$C$33, 21.8984, 21.8968) * CHOOSE( CONTROL!$C$16, $D$10, 100%, $F$10)</f>
        <v>21.898399999999999</v>
      </c>
      <c r="H768" s="4">
        <f>CHOOSE( CONTROL!$C$33, 22.8771, 22.8755) * CHOOSE(CONTROL!$C$16, $D$10, 100%, $F$10)</f>
        <v>22.877099999999999</v>
      </c>
      <c r="I768" s="8">
        <f>CHOOSE( CONTROL!$C$33, 21.5862, 21.5847) * CHOOSE(CONTROL!$C$16, $D$10, 100%, $F$10)</f>
        <v>21.586200000000002</v>
      </c>
      <c r="J768" s="4">
        <f>CHOOSE( CONTROL!$C$33, 21.4587, 21.4572) * CHOOSE(CONTROL!$C$16, $D$10, 100%, $F$10)</f>
        <v>21.4587</v>
      </c>
      <c r="K768" s="4"/>
      <c r="L768" s="9">
        <v>29.7257</v>
      </c>
      <c r="M768" s="9">
        <v>11.6745</v>
      </c>
      <c r="N768" s="9">
        <v>4.7850000000000001</v>
      </c>
      <c r="O768" s="9">
        <v>0.36199999999999999</v>
      </c>
      <c r="P768" s="9">
        <v>1.2509999999999999</v>
      </c>
      <c r="Q768" s="9">
        <v>19.053000000000001</v>
      </c>
      <c r="R768" s="9"/>
      <c r="S768" s="11"/>
    </row>
    <row r="769" spans="1:19" ht="15" customHeight="1">
      <c r="A769" s="13">
        <v>64589</v>
      </c>
      <c r="B769" s="8">
        <f>CHOOSE( CONTROL!$C$33, 23.1284, 23.1272) * CHOOSE(CONTROL!$C$16, $D$10, 100%, $F$10)</f>
        <v>23.128399999999999</v>
      </c>
      <c r="C769" s="8">
        <f>CHOOSE( CONTROL!$C$33, 23.1337, 23.1326) * CHOOSE(CONTROL!$C$16, $D$10, 100%, $F$10)</f>
        <v>23.133700000000001</v>
      </c>
      <c r="D769" s="8">
        <f>CHOOSE( CONTROL!$C$33, 23.1625, 23.1614) * CHOOSE( CONTROL!$C$16, $D$10, 100%, $F$10)</f>
        <v>23.162500000000001</v>
      </c>
      <c r="E769" s="12">
        <f>CHOOSE( CONTROL!$C$33, 23.1524, 23.1513) * CHOOSE( CONTROL!$C$16, $D$10, 100%, $F$10)</f>
        <v>23.1524</v>
      </c>
      <c r="F769" s="4">
        <f>CHOOSE( CONTROL!$C$33, 23.907, 23.9059) * CHOOSE(CONTROL!$C$16, $D$10, 100%, $F$10)</f>
        <v>23.907</v>
      </c>
      <c r="G769" s="8">
        <f>CHOOSE( CONTROL!$C$33, 22.8687, 22.8676) * CHOOSE( CONTROL!$C$16, $D$10, 100%, $F$10)</f>
        <v>22.8687</v>
      </c>
      <c r="H769" s="4">
        <f>CHOOSE( CONTROL!$C$33, 23.8473, 23.8462) * CHOOSE(CONTROL!$C$16, $D$10, 100%, $F$10)</f>
        <v>23.847300000000001</v>
      </c>
      <c r="I769" s="8">
        <f>CHOOSE( CONTROL!$C$33, 22.54, 22.539) * CHOOSE(CONTROL!$C$16, $D$10, 100%, $F$10)</f>
        <v>22.54</v>
      </c>
      <c r="J769" s="4">
        <f>CHOOSE( CONTROL!$C$33, 22.4115, 22.4104) * CHOOSE(CONTROL!$C$16, $D$10, 100%, $F$10)</f>
        <v>22.4115</v>
      </c>
      <c r="K769" s="4"/>
      <c r="L769" s="9">
        <v>31.095300000000002</v>
      </c>
      <c r="M769" s="9">
        <v>12.063700000000001</v>
      </c>
      <c r="N769" s="9">
        <v>4.9444999999999997</v>
      </c>
      <c r="O769" s="9">
        <v>0.37409999999999999</v>
      </c>
      <c r="P769" s="9">
        <v>1.2927</v>
      </c>
      <c r="Q769" s="9">
        <v>19.688099999999999</v>
      </c>
      <c r="R769" s="9"/>
      <c r="S769" s="11"/>
    </row>
    <row r="770" spans="1:19" ht="15" customHeight="1">
      <c r="A770" s="13">
        <v>64619</v>
      </c>
      <c r="B770" s="8">
        <f>CHOOSE( CONTROL!$C$33, 24.945, 24.9439) * CHOOSE(CONTROL!$C$16, $D$10, 100%, $F$10)</f>
        <v>24.945</v>
      </c>
      <c r="C770" s="8">
        <f>CHOOSE( CONTROL!$C$33, 24.9501, 24.949) * CHOOSE(CONTROL!$C$16, $D$10, 100%, $F$10)</f>
        <v>24.950099999999999</v>
      </c>
      <c r="D770" s="8">
        <f>CHOOSE( CONTROL!$C$33, 24.9298, 24.9286) * CHOOSE( CONTROL!$C$16, $D$10, 100%, $F$10)</f>
        <v>24.9298</v>
      </c>
      <c r="E770" s="12">
        <f>CHOOSE( CONTROL!$C$33, 24.9367, 24.9355) * CHOOSE( CONTROL!$C$16, $D$10, 100%, $F$10)</f>
        <v>24.936699999999998</v>
      </c>
      <c r="F770" s="4">
        <f>CHOOSE( CONTROL!$C$33, 25.6079, 25.6067) * CHOOSE(CONTROL!$C$16, $D$10, 100%, $F$10)</f>
        <v>25.607900000000001</v>
      </c>
      <c r="G770" s="8">
        <f>CHOOSE( CONTROL!$C$33, 24.6329, 24.6318) * CHOOSE( CONTROL!$C$16, $D$10, 100%, $F$10)</f>
        <v>24.632899999999999</v>
      </c>
      <c r="H770" s="4">
        <f>CHOOSE( CONTROL!$C$33, 25.5244, 25.5233) * CHOOSE(CONTROL!$C$16, $D$10, 100%, $F$10)</f>
        <v>25.5244</v>
      </c>
      <c r="I770" s="8">
        <f>CHOOSE( CONTROL!$C$33, 24.3481, 24.3471) * CHOOSE(CONTROL!$C$16, $D$10, 100%, $F$10)</f>
        <v>24.348099999999999</v>
      </c>
      <c r="J770" s="4">
        <f>CHOOSE( CONTROL!$C$33, 24.1709, 24.1698) * CHOOSE(CONTROL!$C$16, $D$10, 100%, $F$10)</f>
        <v>24.1709</v>
      </c>
      <c r="K770" s="4"/>
      <c r="L770" s="9">
        <v>28.360600000000002</v>
      </c>
      <c r="M770" s="9">
        <v>11.6745</v>
      </c>
      <c r="N770" s="9">
        <v>4.7850000000000001</v>
      </c>
      <c r="O770" s="9">
        <v>0.36199999999999999</v>
      </c>
      <c r="P770" s="9">
        <v>1.2509999999999999</v>
      </c>
      <c r="Q770" s="9">
        <v>19.053000000000001</v>
      </c>
      <c r="R770" s="9"/>
      <c r="S770" s="11"/>
    </row>
    <row r="771" spans="1:19" ht="15" customHeight="1">
      <c r="A771" s="13">
        <v>64650</v>
      </c>
      <c r="B771" s="8">
        <f>CHOOSE( CONTROL!$C$33, 24.8996, 24.8985) * CHOOSE(CONTROL!$C$16, $D$10, 100%, $F$10)</f>
        <v>24.8996</v>
      </c>
      <c r="C771" s="8">
        <f>CHOOSE( CONTROL!$C$33, 24.9047, 24.9036) * CHOOSE(CONTROL!$C$16, $D$10, 100%, $F$10)</f>
        <v>24.904699999999998</v>
      </c>
      <c r="D771" s="8">
        <f>CHOOSE( CONTROL!$C$33, 24.8858, 24.8847) * CHOOSE( CONTROL!$C$16, $D$10, 100%, $F$10)</f>
        <v>24.8858</v>
      </c>
      <c r="E771" s="12">
        <f>CHOOSE( CONTROL!$C$33, 24.8922, 24.8911) * CHOOSE( CONTROL!$C$16, $D$10, 100%, $F$10)</f>
        <v>24.892199999999999</v>
      </c>
      <c r="F771" s="4">
        <f>CHOOSE( CONTROL!$C$33, 25.5625, 25.5613) * CHOOSE(CONTROL!$C$16, $D$10, 100%, $F$10)</f>
        <v>25.5625</v>
      </c>
      <c r="G771" s="8">
        <f>CHOOSE( CONTROL!$C$33, 24.5892, 24.5881) * CHOOSE( CONTROL!$C$16, $D$10, 100%, $F$10)</f>
        <v>24.589200000000002</v>
      </c>
      <c r="H771" s="4">
        <f>CHOOSE( CONTROL!$C$33, 25.4797, 25.4786) * CHOOSE(CONTROL!$C$16, $D$10, 100%, $F$10)</f>
        <v>25.479700000000001</v>
      </c>
      <c r="I771" s="8">
        <f>CHOOSE( CONTROL!$C$33, 24.3087, 24.3076) * CHOOSE(CONTROL!$C$16, $D$10, 100%, $F$10)</f>
        <v>24.308700000000002</v>
      </c>
      <c r="J771" s="4">
        <f>CHOOSE( CONTROL!$C$33, 24.1269, 24.1258) * CHOOSE(CONTROL!$C$16, $D$10, 100%, $F$10)</f>
        <v>24.126899999999999</v>
      </c>
      <c r="K771" s="4"/>
      <c r="L771" s="9">
        <v>29.306000000000001</v>
      </c>
      <c r="M771" s="9">
        <v>12.063700000000001</v>
      </c>
      <c r="N771" s="9">
        <v>4.9444999999999997</v>
      </c>
      <c r="O771" s="9">
        <v>0.37409999999999999</v>
      </c>
      <c r="P771" s="9">
        <v>1.2927</v>
      </c>
      <c r="Q771" s="9">
        <v>19.688099999999999</v>
      </c>
      <c r="R771" s="9"/>
      <c r="S771" s="11"/>
    </row>
    <row r="772" spans="1:19" ht="15" customHeight="1">
      <c r="A772" s="13">
        <v>64681</v>
      </c>
      <c r="B772" s="8">
        <f>CHOOSE( CONTROL!$C$33, 25.6345, 25.6334) * CHOOSE(CONTROL!$C$16, $D$10, 100%, $F$10)</f>
        <v>25.634499999999999</v>
      </c>
      <c r="C772" s="8">
        <f>CHOOSE( CONTROL!$C$33, 25.6396, 25.6385) * CHOOSE(CONTROL!$C$16, $D$10, 100%, $F$10)</f>
        <v>25.639600000000002</v>
      </c>
      <c r="D772" s="8">
        <f>CHOOSE( CONTROL!$C$33, 25.632, 25.6309) * CHOOSE( CONTROL!$C$16, $D$10, 100%, $F$10)</f>
        <v>25.632000000000001</v>
      </c>
      <c r="E772" s="12">
        <f>CHOOSE( CONTROL!$C$33, 25.6342, 25.6331) * CHOOSE( CONTROL!$C$16, $D$10, 100%, $F$10)</f>
        <v>25.6342</v>
      </c>
      <c r="F772" s="4">
        <f>CHOOSE( CONTROL!$C$33, 26.2974, 26.2963) * CHOOSE(CONTROL!$C$16, $D$10, 100%, $F$10)</f>
        <v>26.2974</v>
      </c>
      <c r="G772" s="8">
        <f>CHOOSE( CONTROL!$C$33, 25.3197, 25.3186) * CHOOSE( CONTROL!$C$16, $D$10, 100%, $F$10)</f>
        <v>25.319700000000001</v>
      </c>
      <c r="H772" s="4">
        <f>CHOOSE( CONTROL!$C$33, 26.2044, 26.2032) * CHOOSE(CONTROL!$C$16, $D$10, 100%, $F$10)</f>
        <v>26.2044</v>
      </c>
      <c r="I772" s="8">
        <f>CHOOSE( CONTROL!$C$33, 25.0119, 25.0108) * CHOOSE(CONTROL!$C$16, $D$10, 100%, $F$10)</f>
        <v>25.011900000000001</v>
      </c>
      <c r="J772" s="4">
        <f>CHOOSE( CONTROL!$C$33, 24.8386, 24.8375) * CHOOSE(CONTROL!$C$16, $D$10, 100%, $F$10)</f>
        <v>24.8386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" customHeight="1">
      <c r="A773" s="13">
        <v>64709</v>
      </c>
      <c r="B773" s="8">
        <f>CHOOSE( CONTROL!$C$33, 23.9763, 23.9751) * CHOOSE(CONTROL!$C$16, $D$10, 100%, $F$10)</f>
        <v>23.976299999999998</v>
      </c>
      <c r="C773" s="8">
        <f>CHOOSE( CONTROL!$C$33, 23.9813, 23.9802) * CHOOSE(CONTROL!$C$16, $D$10, 100%, $F$10)</f>
        <v>23.981300000000001</v>
      </c>
      <c r="D773" s="8">
        <f>CHOOSE( CONTROL!$C$33, 23.9735, 23.9724) * CHOOSE( CONTROL!$C$16, $D$10, 100%, $F$10)</f>
        <v>23.973500000000001</v>
      </c>
      <c r="E773" s="12">
        <f>CHOOSE( CONTROL!$C$33, 23.9758, 23.9747) * CHOOSE( CONTROL!$C$16, $D$10, 100%, $F$10)</f>
        <v>23.9758</v>
      </c>
      <c r="F773" s="4">
        <f>CHOOSE( CONTROL!$C$33, 24.6391, 24.638) * CHOOSE(CONTROL!$C$16, $D$10, 100%, $F$10)</f>
        <v>24.639099999999999</v>
      </c>
      <c r="G773" s="8">
        <f>CHOOSE( CONTROL!$C$33, 23.6845, 23.6834) * CHOOSE( CONTROL!$C$16, $D$10, 100%, $F$10)</f>
        <v>23.6845</v>
      </c>
      <c r="H773" s="4">
        <f>CHOOSE( CONTROL!$C$33, 24.5692, 24.5681) * CHOOSE(CONTROL!$C$16, $D$10, 100%, $F$10)</f>
        <v>24.569199999999999</v>
      </c>
      <c r="I773" s="8">
        <f>CHOOSE( CONTROL!$C$33, 23.4048, 23.4038) * CHOOSE(CONTROL!$C$16, $D$10, 100%, $F$10)</f>
        <v>23.404800000000002</v>
      </c>
      <c r="J773" s="4">
        <f>CHOOSE( CONTROL!$C$33, 23.2329, 23.2318) * CHOOSE(CONTROL!$C$16, $D$10, 100%, $F$10)</f>
        <v>23.232900000000001</v>
      </c>
      <c r="K773" s="4"/>
      <c r="L773" s="9">
        <v>26.469899999999999</v>
      </c>
      <c r="M773" s="9">
        <v>10.8962</v>
      </c>
      <c r="N773" s="9">
        <v>4.4660000000000002</v>
      </c>
      <c r="O773" s="9">
        <v>0.33789999999999998</v>
      </c>
      <c r="P773" s="9">
        <v>1.1676</v>
      </c>
      <c r="Q773" s="9">
        <v>17.782800000000002</v>
      </c>
      <c r="R773" s="9"/>
      <c r="S773" s="11"/>
    </row>
    <row r="774" spans="1:19" ht="15" customHeight="1">
      <c r="A774" s="13">
        <v>64740</v>
      </c>
      <c r="B774" s="8">
        <f>CHOOSE( CONTROL!$C$33, 23.4655, 23.4644) * CHOOSE(CONTROL!$C$16, $D$10, 100%, $F$10)</f>
        <v>23.465499999999999</v>
      </c>
      <c r="C774" s="8">
        <f>CHOOSE( CONTROL!$C$33, 23.4706, 23.4695) * CHOOSE(CONTROL!$C$16, $D$10, 100%, $F$10)</f>
        <v>23.470600000000001</v>
      </c>
      <c r="D774" s="8">
        <f>CHOOSE( CONTROL!$C$33, 23.4621, 23.4609) * CHOOSE( CONTROL!$C$16, $D$10, 100%, $F$10)</f>
        <v>23.4621</v>
      </c>
      <c r="E774" s="12">
        <f>CHOOSE( CONTROL!$C$33, 23.4647, 23.4635) * CHOOSE( CONTROL!$C$16, $D$10, 100%, $F$10)</f>
        <v>23.464700000000001</v>
      </c>
      <c r="F774" s="4">
        <f>CHOOSE( CONTROL!$C$33, 24.1284, 24.1273) * CHOOSE(CONTROL!$C$16, $D$10, 100%, $F$10)</f>
        <v>24.128399999999999</v>
      </c>
      <c r="G774" s="8">
        <f>CHOOSE( CONTROL!$C$33, 23.1803, 23.1792) * CHOOSE( CONTROL!$C$16, $D$10, 100%, $F$10)</f>
        <v>23.180299999999999</v>
      </c>
      <c r="H774" s="4">
        <f>CHOOSE( CONTROL!$C$33, 24.0656, 24.0645) * CHOOSE(CONTROL!$C$16, $D$10, 100%, $F$10)</f>
        <v>24.0656</v>
      </c>
      <c r="I774" s="8">
        <f>CHOOSE( CONTROL!$C$33, 22.9078, 22.9067) * CHOOSE(CONTROL!$C$16, $D$10, 100%, $F$10)</f>
        <v>22.907800000000002</v>
      </c>
      <c r="J774" s="4">
        <f>CHOOSE( CONTROL!$C$33, 22.7383, 22.7372) * CHOOSE(CONTROL!$C$16, $D$10, 100%, $F$10)</f>
        <v>22.738299999999999</v>
      </c>
      <c r="K774" s="4"/>
      <c r="L774" s="9">
        <v>29.306000000000001</v>
      </c>
      <c r="M774" s="9">
        <v>12.063700000000001</v>
      </c>
      <c r="N774" s="9">
        <v>4.9444999999999997</v>
      </c>
      <c r="O774" s="9">
        <v>0.37409999999999999</v>
      </c>
      <c r="P774" s="9">
        <v>1.2927</v>
      </c>
      <c r="Q774" s="9">
        <v>19.688099999999999</v>
      </c>
      <c r="R774" s="9"/>
      <c r="S774" s="11"/>
    </row>
    <row r="775" spans="1:19" ht="15" customHeight="1">
      <c r="A775" s="13">
        <v>64770</v>
      </c>
      <c r="B775" s="8">
        <f>CHOOSE( CONTROL!$C$33, 23.8232, 23.822) * CHOOSE(CONTROL!$C$16, $D$10, 100%, $F$10)</f>
        <v>23.8232</v>
      </c>
      <c r="C775" s="8">
        <f>CHOOSE( CONTROL!$C$33, 23.8277, 23.8266) * CHOOSE(CONTROL!$C$16, $D$10, 100%, $F$10)</f>
        <v>23.8277</v>
      </c>
      <c r="D775" s="8">
        <f>CHOOSE( CONTROL!$C$33, 23.8566, 23.8554) * CHOOSE( CONTROL!$C$16, $D$10, 100%, $F$10)</f>
        <v>23.8566</v>
      </c>
      <c r="E775" s="12">
        <f>CHOOSE( CONTROL!$C$33, 23.8465, 23.8454) * CHOOSE( CONTROL!$C$16, $D$10, 100%, $F$10)</f>
        <v>23.846499999999999</v>
      </c>
      <c r="F775" s="4">
        <f>CHOOSE( CONTROL!$C$33, 24.6015, 24.6003) * CHOOSE(CONTROL!$C$16, $D$10, 100%, $F$10)</f>
        <v>24.601500000000001</v>
      </c>
      <c r="G775" s="8">
        <f>CHOOSE( CONTROL!$C$33, 23.5532, 23.5521) * CHOOSE( CONTROL!$C$16, $D$10, 100%, $F$10)</f>
        <v>23.5532</v>
      </c>
      <c r="H775" s="4">
        <f>CHOOSE( CONTROL!$C$33, 24.5321, 24.531) * CHOOSE(CONTROL!$C$16, $D$10, 100%, $F$10)</f>
        <v>24.5321</v>
      </c>
      <c r="I775" s="8">
        <f>CHOOSE( CONTROL!$C$33, 23.2115, 23.2104) * CHOOSE(CONTROL!$C$16, $D$10, 100%, $F$10)</f>
        <v>23.211500000000001</v>
      </c>
      <c r="J775" s="4">
        <f>CHOOSE( CONTROL!$C$33, 23.0839, 23.0828) * CHOOSE(CONTROL!$C$16, $D$10, 100%, $F$10)</f>
        <v>23.0839</v>
      </c>
      <c r="K775" s="4"/>
      <c r="L775" s="9">
        <v>30.092199999999998</v>
      </c>
      <c r="M775" s="9">
        <v>11.6745</v>
      </c>
      <c r="N775" s="9">
        <v>4.7850000000000001</v>
      </c>
      <c r="O775" s="9">
        <v>0.36199999999999999</v>
      </c>
      <c r="P775" s="9">
        <v>1.2509999999999999</v>
      </c>
      <c r="Q775" s="9">
        <v>19.053000000000001</v>
      </c>
      <c r="R775" s="9"/>
      <c r="S775" s="11"/>
    </row>
    <row r="776" spans="1:19" ht="15" customHeight="1">
      <c r="A776" s="13">
        <v>64801</v>
      </c>
      <c r="B776" s="8">
        <f>CHOOSE( CONTROL!$C$33, 24.4602, 24.4586) * CHOOSE(CONTROL!$C$16, $D$10, 100%, $F$10)</f>
        <v>24.4602</v>
      </c>
      <c r="C776" s="8">
        <f>CHOOSE( CONTROL!$C$33, 24.4682, 24.4666) * CHOOSE(CONTROL!$C$16, $D$10, 100%, $F$10)</f>
        <v>24.4682</v>
      </c>
      <c r="D776" s="8">
        <f>CHOOSE( CONTROL!$C$33, 24.4904, 24.4888) * CHOOSE( CONTROL!$C$16, $D$10, 100%, $F$10)</f>
        <v>24.490400000000001</v>
      </c>
      <c r="E776" s="12">
        <f>CHOOSE( CONTROL!$C$33, 24.4811, 24.4795) * CHOOSE( CONTROL!$C$16, $D$10, 100%, $F$10)</f>
        <v>24.481100000000001</v>
      </c>
      <c r="F776" s="4">
        <f>CHOOSE( CONTROL!$C$33, 25.2371, 25.2355) * CHOOSE(CONTROL!$C$16, $D$10, 100%, $F$10)</f>
        <v>25.237100000000002</v>
      </c>
      <c r="G776" s="8">
        <f>CHOOSE( CONTROL!$C$33, 24.1799, 24.1784) * CHOOSE( CONTROL!$C$16, $D$10, 100%, $F$10)</f>
        <v>24.1799</v>
      </c>
      <c r="H776" s="4">
        <f>CHOOSE( CONTROL!$C$33, 25.1589, 25.1573) * CHOOSE(CONTROL!$C$16, $D$10, 100%, $F$10)</f>
        <v>25.158899999999999</v>
      </c>
      <c r="I776" s="8">
        <f>CHOOSE( CONTROL!$C$33, 23.8269, 23.8254) * CHOOSE(CONTROL!$C$16, $D$10, 100%, $F$10)</f>
        <v>23.826899999999998</v>
      </c>
      <c r="J776" s="4">
        <f>CHOOSE( CONTROL!$C$33, 23.6994, 23.6979) * CHOOSE(CONTROL!$C$16, $D$10, 100%, $F$10)</f>
        <v>23.699400000000001</v>
      </c>
      <c r="K776" s="4"/>
      <c r="L776" s="9">
        <v>30.7165</v>
      </c>
      <c r="M776" s="9">
        <v>12.063700000000001</v>
      </c>
      <c r="N776" s="9">
        <v>4.9444999999999997</v>
      </c>
      <c r="O776" s="9">
        <v>0.37409999999999999</v>
      </c>
      <c r="P776" s="9">
        <v>1.2927</v>
      </c>
      <c r="Q776" s="9">
        <v>19.688099999999999</v>
      </c>
      <c r="R776" s="9"/>
      <c r="S776" s="11"/>
    </row>
    <row r="777" spans="1:19" ht="15" customHeight="1">
      <c r="A777" s="13">
        <v>64831</v>
      </c>
      <c r="B777" s="8">
        <f>CHOOSE( CONTROL!$C$33, 24.0667, 24.0651) * CHOOSE(CONTROL!$C$16, $D$10, 100%, $F$10)</f>
        <v>24.066700000000001</v>
      </c>
      <c r="C777" s="8">
        <f>CHOOSE( CONTROL!$C$33, 24.0747, 24.0731) * CHOOSE(CONTROL!$C$16, $D$10, 100%, $F$10)</f>
        <v>24.0747</v>
      </c>
      <c r="D777" s="8">
        <f>CHOOSE( CONTROL!$C$33, 24.0971, 24.0955) * CHOOSE( CONTROL!$C$16, $D$10, 100%, $F$10)</f>
        <v>24.097100000000001</v>
      </c>
      <c r="E777" s="12">
        <f>CHOOSE( CONTROL!$C$33, 24.0878, 24.0862) * CHOOSE( CONTROL!$C$16, $D$10, 100%, $F$10)</f>
        <v>24.087800000000001</v>
      </c>
      <c r="F777" s="4">
        <f>CHOOSE( CONTROL!$C$33, 24.8436, 24.842) * CHOOSE(CONTROL!$C$16, $D$10, 100%, $F$10)</f>
        <v>24.843599999999999</v>
      </c>
      <c r="G777" s="8">
        <f>CHOOSE( CONTROL!$C$33, 23.792, 23.7905) * CHOOSE( CONTROL!$C$16, $D$10, 100%, $F$10)</f>
        <v>23.792000000000002</v>
      </c>
      <c r="H777" s="4">
        <f>CHOOSE( CONTROL!$C$33, 24.7709, 24.7693) * CHOOSE(CONTROL!$C$16, $D$10, 100%, $F$10)</f>
        <v>24.770900000000001</v>
      </c>
      <c r="I777" s="8">
        <f>CHOOSE( CONTROL!$C$33, 23.4463, 23.4448) * CHOOSE(CONTROL!$C$16, $D$10, 100%, $F$10)</f>
        <v>23.446300000000001</v>
      </c>
      <c r="J777" s="4">
        <f>CHOOSE( CONTROL!$C$33, 23.3184, 23.3169) * CHOOSE(CONTROL!$C$16, $D$10, 100%, $F$10)</f>
        <v>23.3184</v>
      </c>
      <c r="K777" s="4"/>
      <c r="L777" s="9">
        <v>29.7257</v>
      </c>
      <c r="M777" s="9">
        <v>11.6745</v>
      </c>
      <c r="N777" s="9">
        <v>4.7850000000000001</v>
      </c>
      <c r="O777" s="9">
        <v>0.36199999999999999</v>
      </c>
      <c r="P777" s="9">
        <v>1.2509999999999999</v>
      </c>
      <c r="Q777" s="9">
        <v>19.053000000000001</v>
      </c>
      <c r="R777" s="9"/>
      <c r="S777" s="11"/>
    </row>
    <row r="778" spans="1:19" ht="15" customHeight="1">
      <c r="A778" s="13">
        <v>64862</v>
      </c>
      <c r="B778" s="8">
        <f>CHOOSE( CONTROL!$C$33, 25.1029, 25.1013) * CHOOSE(CONTROL!$C$16, $D$10, 100%, $F$10)</f>
        <v>25.102900000000002</v>
      </c>
      <c r="C778" s="8">
        <f>CHOOSE( CONTROL!$C$33, 25.1109, 25.1093) * CHOOSE(CONTROL!$C$16, $D$10, 100%, $F$10)</f>
        <v>25.110900000000001</v>
      </c>
      <c r="D778" s="8">
        <f>CHOOSE( CONTROL!$C$33, 25.1335, 25.1319) * CHOOSE( CONTROL!$C$16, $D$10, 100%, $F$10)</f>
        <v>25.133500000000002</v>
      </c>
      <c r="E778" s="12">
        <f>CHOOSE( CONTROL!$C$33, 25.1241, 25.1225) * CHOOSE( CONTROL!$C$16, $D$10, 100%, $F$10)</f>
        <v>25.124099999999999</v>
      </c>
      <c r="F778" s="4">
        <f>CHOOSE( CONTROL!$C$33, 25.8798, 25.8782) * CHOOSE(CONTROL!$C$16, $D$10, 100%, $F$10)</f>
        <v>25.879799999999999</v>
      </c>
      <c r="G778" s="8">
        <f>CHOOSE( CONTROL!$C$33, 24.8139, 24.8124) * CHOOSE( CONTROL!$C$16, $D$10, 100%, $F$10)</f>
        <v>24.8139</v>
      </c>
      <c r="H778" s="4">
        <f>CHOOSE( CONTROL!$C$33, 25.7926, 25.791) * CHOOSE(CONTROL!$C$16, $D$10, 100%, $F$10)</f>
        <v>25.7926</v>
      </c>
      <c r="I778" s="8">
        <f>CHOOSE( CONTROL!$C$33, 24.4509, 24.4494) * CHOOSE(CONTROL!$C$16, $D$10, 100%, $F$10)</f>
        <v>24.450900000000001</v>
      </c>
      <c r="J778" s="4">
        <f>CHOOSE( CONTROL!$C$33, 24.3217, 24.3202) * CHOOSE(CONTROL!$C$16, $D$10, 100%, $F$10)</f>
        <v>24.3217</v>
      </c>
      <c r="K778" s="4"/>
      <c r="L778" s="9">
        <v>30.7165</v>
      </c>
      <c r="M778" s="9">
        <v>12.063700000000001</v>
      </c>
      <c r="N778" s="9">
        <v>4.9444999999999997</v>
      </c>
      <c r="O778" s="9">
        <v>0.37409999999999999</v>
      </c>
      <c r="P778" s="9">
        <v>1.2927</v>
      </c>
      <c r="Q778" s="9">
        <v>19.688099999999999</v>
      </c>
      <c r="R778" s="9"/>
      <c r="S778" s="11"/>
    </row>
    <row r="779" spans="1:19" ht="15" customHeight="1">
      <c r="A779" s="13">
        <v>64893</v>
      </c>
      <c r="B779" s="8">
        <f>CHOOSE( CONTROL!$C$33, 23.1641, 23.1625) * CHOOSE(CONTROL!$C$16, $D$10, 100%, $F$10)</f>
        <v>23.164100000000001</v>
      </c>
      <c r="C779" s="8">
        <f>CHOOSE( CONTROL!$C$33, 23.1721, 23.1705) * CHOOSE(CONTROL!$C$16, $D$10, 100%, $F$10)</f>
        <v>23.1721</v>
      </c>
      <c r="D779" s="8">
        <f>CHOOSE( CONTROL!$C$33, 23.1947, 23.1932) * CHOOSE( CONTROL!$C$16, $D$10, 100%, $F$10)</f>
        <v>23.194700000000001</v>
      </c>
      <c r="E779" s="12">
        <f>CHOOSE( CONTROL!$C$33, 23.1853, 23.1838) * CHOOSE( CONTROL!$C$16, $D$10, 100%, $F$10)</f>
        <v>23.185300000000002</v>
      </c>
      <c r="F779" s="4">
        <f>CHOOSE( CONTROL!$C$33, 23.941, 23.9394) * CHOOSE(CONTROL!$C$16, $D$10, 100%, $F$10)</f>
        <v>23.940999999999999</v>
      </c>
      <c r="G779" s="8">
        <f>CHOOSE( CONTROL!$C$33, 22.9022, 22.9007) * CHOOSE( CONTROL!$C$16, $D$10, 100%, $F$10)</f>
        <v>22.902200000000001</v>
      </c>
      <c r="H779" s="4">
        <f>CHOOSE( CONTROL!$C$33, 23.8808, 23.8793) * CHOOSE(CONTROL!$C$16, $D$10, 100%, $F$10)</f>
        <v>23.880800000000001</v>
      </c>
      <c r="I779" s="8">
        <f>CHOOSE( CONTROL!$C$33, 22.5728, 22.5713) * CHOOSE(CONTROL!$C$16, $D$10, 100%, $F$10)</f>
        <v>22.572800000000001</v>
      </c>
      <c r="J779" s="4">
        <f>CHOOSE( CONTROL!$C$33, 22.4444, 22.4428) * CHOOSE(CONTROL!$C$16, $D$10, 100%, $F$10)</f>
        <v>22.444400000000002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1.2927</v>
      </c>
      <c r="Q779" s="9">
        <v>19.688099999999999</v>
      </c>
      <c r="R779" s="9"/>
      <c r="S779" s="11"/>
    </row>
    <row r="780" spans="1:19" ht="15" customHeight="1">
      <c r="A780" s="13">
        <v>64923</v>
      </c>
      <c r="B780" s="8">
        <f>CHOOSE( CONTROL!$C$33, 22.6786, 22.677) * CHOOSE(CONTROL!$C$16, $D$10, 100%, $F$10)</f>
        <v>22.678599999999999</v>
      </c>
      <c r="C780" s="8">
        <f>CHOOSE( CONTROL!$C$33, 22.6866, 22.685) * CHOOSE(CONTROL!$C$16, $D$10, 100%, $F$10)</f>
        <v>22.686599999999999</v>
      </c>
      <c r="D780" s="8">
        <f>CHOOSE( CONTROL!$C$33, 22.7091, 22.7075) * CHOOSE( CONTROL!$C$16, $D$10, 100%, $F$10)</f>
        <v>22.709099999999999</v>
      </c>
      <c r="E780" s="12">
        <f>CHOOSE( CONTROL!$C$33, 22.6997, 22.6981) * CHOOSE( CONTROL!$C$16, $D$10, 100%, $F$10)</f>
        <v>22.6997</v>
      </c>
      <c r="F780" s="4">
        <f>CHOOSE( CONTROL!$C$33, 23.4555, 23.4539) * CHOOSE(CONTROL!$C$16, $D$10, 100%, $F$10)</f>
        <v>23.455500000000001</v>
      </c>
      <c r="G780" s="8">
        <f>CHOOSE( CONTROL!$C$33, 22.4234, 22.4219) * CHOOSE( CONTROL!$C$16, $D$10, 100%, $F$10)</f>
        <v>22.423400000000001</v>
      </c>
      <c r="H780" s="4">
        <f>CHOOSE( CONTROL!$C$33, 23.4021, 23.4006) * CHOOSE(CONTROL!$C$16, $D$10, 100%, $F$10)</f>
        <v>23.402100000000001</v>
      </c>
      <c r="I780" s="8">
        <f>CHOOSE( CONTROL!$C$33, 22.102, 22.1005) * CHOOSE(CONTROL!$C$16, $D$10, 100%, $F$10)</f>
        <v>22.102</v>
      </c>
      <c r="J780" s="4">
        <f>CHOOSE( CONTROL!$C$33, 21.9743, 21.9727) * CHOOSE(CONTROL!$C$16, $D$10, 100%, $F$10)</f>
        <v>21.974299999999999</v>
      </c>
      <c r="K780" s="4"/>
      <c r="L780" s="9">
        <v>29.7257</v>
      </c>
      <c r="M780" s="9">
        <v>11.6745</v>
      </c>
      <c r="N780" s="9">
        <v>4.7850000000000001</v>
      </c>
      <c r="O780" s="9">
        <v>0.36199999999999999</v>
      </c>
      <c r="P780" s="9">
        <v>1.2509999999999999</v>
      </c>
      <c r="Q780" s="9">
        <v>19.053000000000001</v>
      </c>
      <c r="R780" s="9"/>
      <c r="S780" s="11"/>
    </row>
    <row r="781" spans="1:19" ht="15" customHeight="1">
      <c r="A781" s="13">
        <v>64954</v>
      </c>
      <c r="B781" s="8">
        <f>CHOOSE( CONTROL!$C$33, 23.6845, 23.6833) * CHOOSE(CONTROL!$C$16, $D$10, 100%, $F$10)</f>
        <v>23.6845</v>
      </c>
      <c r="C781" s="8">
        <f>CHOOSE( CONTROL!$C$33, 23.6898, 23.6887) * CHOOSE(CONTROL!$C$16, $D$10, 100%, $F$10)</f>
        <v>23.689800000000002</v>
      </c>
      <c r="D781" s="8">
        <f>CHOOSE( CONTROL!$C$33, 23.7186, 23.7175) * CHOOSE( CONTROL!$C$16, $D$10, 100%, $F$10)</f>
        <v>23.718599999999999</v>
      </c>
      <c r="E781" s="12">
        <f>CHOOSE( CONTROL!$C$33, 23.7085, 23.7074) * CHOOSE( CONTROL!$C$16, $D$10, 100%, $F$10)</f>
        <v>23.708500000000001</v>
      </c>
      <c r="F781" s="4">
        <f>CHOOSE( CONTROL!$C$33, 24.4631, 24.462) * CHOOSE(CONTROL!$C$16, $D$10, 100%, $F$10)</f>
        <v>24.463100000000001</v>
      </c>
      <c r="G781" s="8">
        <f>CHOOSE( CONTROL!$C$33, 23.4171, 23.416) * CHOOSE( CONTROL!$C$16, $D$10, 100%, $F$10)</f>
        <v>23.417100000000001</v>
      </c>
      <c r="H781" s="4">
        <f>CHOOSE( CONTROL!$C$33, 24.3957, 24.3946) * CHOOSE(CONTROL!$C$16, $D$10, 100%, $F$10)</f>
        <v>24.395700000000001</v>
      </c>
      <c r="I781" s="8">
        <f>CHOOSE( CONTROL!$C$33, 23.0788, 23.0777) * CHOOSE(CONTROL!$C$16, $D$10, 100%, $F$10)</f>
        <v>23.078800000000001</v>
      </c>
      <c r="J781" s="4">
        <f>CHOOSE( CONTROL!$C$33, 22.9499, 22.9488) * CHOOSE(CONTROL!$C$16, $D$10, 100%, $F$10)</f>
        <v>22.9499</v>
      </c>
      <c r="K781" s="4"/>
      <c r="L781" s="9">
        <v>31.095300000000002</v>
      </c>
      <c r="M781" s="9">
        <v>12.063700000000001</v>
      </c>
      <c r="N781" s="9">
        <v>4.9444999999999997</v>
      </c>
      <c r="O781" s="9">
        <v>0.37409999999999999</v>
      </c>
      <c r="P781" s="9">
        <v>1.2927</v>
      </c>
      <c r="Q781" s="9">
        <v>19.688099999999999</v>
      </c>
      <c r="R781" s="9"/>
      <c r="S781" s="11"/>
    </row>
    <row r="782" spans="1:19" ht="15" customHeight="1">
      <c r="A782" s="13">
        <v>64984</v>
      </c>
      <c r="B782" s="8">
        <f>CHOOSE( CONTROL!$C$33, 25.5447, 25.5436) * CHOOSE(CONTROL!$C$16, $D$10, 100%, $F$10)</f>
        <v>25.544699999999999</v>
      </c>
      <c r="C782" s="8">
        <f>CHOOSE( CONTROL!$C$33, 25.5498, 25.5487) * CHOOSE(CONTROL!$C$16, $D$10, 100%, $F$10)</f>
        <v>25.549800000000001</v>
      </c>
      <c r="D782" s="8">
        <f>CHOOSE( CONTROL!$C$33, 25.5295, 25.5284) * CHOOSE( CONTROL!$C$16, $D$10, 100%, $F$10)</f>
        <v>25.529499999999999</v>
      </c>
      <c r="E782" s="12">
        <f>CHOOSE( CONTROL!$C$33, 25.5364, 25.5353) * CHOOSE( CONTROL!$C$16, $D$10, 100%, $F$10)</f>
        <v>25.5364</v>
      </c>
      <c r="F782" s="4">
        <f>CHOOSE( CONTROL!$C$33, 26.2076, 26.2065) * CHOOSE(CONTROL!$C$16, $D$10, 100%, $F$10)</f>
        <v>26.207599999999999</v>
      </c>
      <c r="G782" s="8">
        <f>CHOOSE( CONTROL!$C$33, 25.2243, 25.2232) * CHOOSE( CONTROL!$C$16, $D$10, 100%, $F$10)</f>
        <v>25.224299999999999</v>
      </c>
      <c r="H782" s="4">
        <f>CHOOSE( CONTROL!$C$33, 26.1158, 26.1147) * CHOOSE(CONTROL!$C$16, $D$10, 100%, $F$10)</f>
        <v>26.1158</v>
      </c>
      <c r="I782" s="8">
        <f>CHOOSE( CONTROL!$C$33, 24.9292, 24.9281) * CHOOSE(CONTROL!$C$16, $D$10, 100%, $F$10)</f>
        <v>24.929200000000002</v>
      </c>
      <c r="J782" s="4">
        <f>CHOOSE( CONTROL!$C$33, 24.7516, 24.7505) * CHOOSE(CONTROL!$C$16, $D$10, 100%, $F$10)</f>
        <v>24.7516</v>
      </c>
      <c r="K782" s="4"/>
      <c r="L782" s="9">
        <v>28.360600000000002</v>
      </c>
      <c r="M782" s="9">
        <v>11.6745</v>
      </c>
      <c r="N782" s="9">
        <v>4.7850000000000001</v>
      </c>
      <c r="O782" s="9">
        <v>0.36199999999999999</v>
      </c>
      <c r="P782" s="9">
        <v>1.2509999999999999</v>
      </c>
      <c r="Q782" s="9">
        <v>19.053000000000001</v>
      </c>
      <c r="R782" s="9"/>
      <c r="S782" s="11"/>
    </row>
    <row r="783" spans="1:19" ht="15" customHeight="1">
      <c r="A783" s="13">
        <v>65015</v>
      </c>
      <c r="B783" s="8">
        <f>CHOOSE( CONTROL!$C$33, 25.4982, 25.4971) * CHOOSE(CONTROL!$C$16, $D$10, 100%, $F$10)</f>
        <v>25.498200000000001</v>
      </c>
      <c r="C783" s="8">
        <f>CHOOSE( CONTROL!$C$33, 25.5033, 25.5022) * CHOOSE(CONTROL!$C$16, $D$10, 100%, $F$10)</f>
        <v>25.503299999999999</v>
      </c>
      <c r="D783" s="8">
        <f>CHOOSE( CONTROL!$C$33, 25.4845, 25.4834) * CHOOSE( CONTROL!$C$16, $D$10, 100%, $F$10)</f>
        <v>25.484500000000001</v>
      </c>
      <c r="E783" s="12">
        <f>CHOOSE( CONTROL!$C$33, 25.4908, 25.4897) * CHOOSE( CONTROL!$C$16, $D$10, 100%, $F$10)</f>
        <v>25.4908</v>
      </c>
      <c r="F783" s="4">
        <f>CHOOSE( CONTROL!$C$33, 26.1611, 26.16) * CHOOSE(CONTROL!$C$16, $D$10, 100%, $F$10)</f>
        <v>26.161100000000001</v>
      </c>
      <c r="G783" s="8">
        <f>CHOOSE( CONTROL!$C$33, 25.1795, 25.1784) * CHOOSE( CONTROL!$C$16, $D$10, 100%, $F$10)</f>
        <v>25.179500000000001</v>
      </c>
      <c r="H783" s="4">
        <f>CHOOSE( CONTROL!$C$33, 26.07, 26.0689) * CHOOSE(CONTROL!$C$16, $D$10, 100%, $F$10)</f>
        <v>26.07</v>
      </c>
      <c r="I783" s="8">
        <f>CHOOSE( CONTROL!$C$33, 24.8887, 24.8876) * CHOOSE(CONTROL!$C$16, $D$10, 100%, $F$10)</f>
        <v>24.8887</v>
      </c>
      <c r="J783" s="4">
        <f>CHOOSE( CONTROL!$C$33, 24.7066, 24.7055) * CHOOSE(CONTROL!$C$16, $D$10, 100%, $F$10)</f>
        <v>24.706600000000002</v>
      </c>
      <c r="K783" s="4"/>
      <c r="L783" s="9">
        <v>29.306000000000001</v>
      </c>
      <c r="M783" s="9">
        <v>12.063700000000001</v>
      </c>
      <c r="N783" s="9">
        <v>4.9444999999999997</v>
      </c>
      <c r="O783" s="9">
        <v>0.37409999999999999</v>
      </c>
      <c r="P783" s="9">
        <v>1.2927</v>
      </c>
      <c r="Q783" s="9">
        <v>19.688099999999999</v>
      </c>
      <c r="R783" s="9"/>
      <c r="S783" s="11"/>
    </row>
    <row r="784" spans="1:19" ht="15" customHeight="1">
      <c r="A784" s="13">
        <v>65046</v>
      </c>
      <c r="B784" s="8">
        <f>CHOOSE( CONTROL!$C$33, 26.2508, 26.2497) * CHOOSE(CONTROL!$C$16, $D$10, 100%, $F$10)</f>
        <v>26.250800000000002</v>
      </c>
      <c r="C784" s="8">
        <f>CHOOSE( CONTROL!$C$33, 26.2559, 26.2548) * CHOOSE(CONTROL!$C$16, $D$10, 100%, $F$10)</f>
        <v>26.2559</v>
      </c>
      <c r="D784" s="8">
        <f>CHOOSE( CONTROL!$C$33, 26.2483, 26.2472) * CHOOSE( CONTROL!$C$16, $D$10, 100%, $F$10)</f>
        <v>26.2483</v>
      </c>
      <c r="E784" s="12">
        <f>CHOOSE( CONTROL!$C$33, 26.2505, 26.2494) * CHOOSE( CONTROL!$C$16, $D$10, 100%, $F$10)</f>
        <v>26.250499999999999</v>
      </c>
      <c r="F784" s="4">
        <f>CHOOSE( CONTROL!$C$33, 26.9137, 26.9126) * CHOOSE(CONTROL!$C$16, $D$10, 100%, $F$10)</f>
        <v>26.913699999999999</v>
      </c>
      <c r="G784" s="8">
        <f>CHOOSE( CONTROL!$C$33, 25.9275, 25.9264) * CHOOSE( CONTROL!$C$16, $D$10, 100%, $F$10)</f>
        <v>25.927499999999998</v>
      </c>
      <c r="H784" s="4">
        <f>CHOOSE( CONTROL!$C$33, 26.8121, 26.811) * CHOOSE(CONTROL!$C$16, $D$10, 100%, $F$10)</f>
        <v>26.812100000000001</v>
      </c>
      <c r="I784" s="8">
        <f>CHOOSE( CONTROL!$C$33, 25.609, 25.6079) * CHOOSE(CONTROL!$C$16, $D$10, 100%, $F$10)</f>
        <v>25.609000000000002</v>
      </c>
      <c r="J784" s="4">
        <f>CHOOSE( CONTROL!$C$33, 25.4353, 25.4343) * CHOOSE(CONTROL!$C$16, $D$10, 100%, $F$10)</f>
        <v>25.435300000000002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" customHeight="1">
      <c r="A785" s="13">
        <v>65074</v>
      </c>
      <c r="B785" s="8">
        <f>CHOOSE( CONTROL!$C$33, 24.5527, 24.5516) * CHOOSE(CONTROL!$C$16, $D$10, 100%, $F$10)</f>
        <v>24.552700000000002</v>
      </c>
      <c r="C785" s="8">
        <f>CHOOSE( CONTROL!$C$33, 24.5578, 24.5567) * CHOOSE(CONTROL!$C$16, $D$10, 100%, $F$10)</f>
        <v>24.5578</v>
      </c>
      <c r="D785" s="8">
        <f>CHOOSE( CONTROL!$C$33, 24.55, 24.5489) * CHOOSE( CONTROL!$C$16, $D$10, 100%, $F$10)</f>
        <v>24.55</v>
      </c>
      <c r="E785" s="12">
        <f>CHOOSE( CONTROL!$C$33, 24.5523, 24.5512) * CHOOSE( CONTROL!$C$16, $D$10, 100%, $F$10)</f>
        <v>24.552299999999999</v>
      </c>
      <c r="F785" s="4">
        <f>CHOOSE( CONTROL!$C$33, 25.2156, 25.2145) * CHOOSE(CONTROL!$C$16, $D$10, 100%, $F$10)</f>
        <v>25.215599999999998</v>
      </c>
      <c r="G785" s="8">
        <f>CHOOSE( CONTROL!$C$33, 24.2529, 24.2518) * CHOOSE( CONTROL!$C$16, $D$10, 100%, $F$10)</f>
        <v>24.2529</v>
      </c>
      <c r="H785" s="4">
        <f>CHOOSE( CONTROL!$C$33, 25.1377, 25.1365) * CHOOSE(CONTROL!$C$16, $D$10, 100%, $F$10)</f>
        <v>25.137699999999999</v>
      </c>
      <c r="I785" s="8">
        <f>CHOOSE( CONTROL!$C$33, 23.9633, 23.9622) * CHOOSE(CONTROL!$C$16, $D$10, 100%, $F$10)</f>
        <v>23.9633</v>
      </c>
      <c r="J785" s="4">
        <f>CHOOSE( CONTROL!$C$33, 23.7911, 23.79) * CHOOSE(CONTROL!$C$16, $D$10, 100%, $F$10)</f>
        <v>23.7911</v>
      </c>
      <c r="K785" s="4"/>
      <c r="L785" s="9">
        <v>26.469899999999999</v>
      </c>
      <c r="M785" s="9">
        <v>10.8962</v>
      </c>
      <c r="N785" s="9">
        <v>4.4660000000000002</v>
      </c>
      <c r="O785" s="9">
        <v>0.33789999999999998</v>
      </c>
      <c r="P785" s="9">
        <v>1.1676</v>
      </c>
      <c r="Q785" s="9">
        <v>17.782800000000002</v>
      </c>
      <c r="R785" s="9"/>
      <c r="S785" s="11"/>
    </row>
    <row r="786" spans="1:19" ht="15" customHeight="1">
      <c r="A786" s="13">
        <v>65105</v>
      </c>
      <c r="B786" s="8">
        <f>CHOOSE( CONTROL!$C$33, 24.0297, 24.0286) * CHOOSE(CONTROL!$C$16, $D$10, 100%, $F$10)</f>
        <v>24.029699999999998</v>
      </c>
      <c r="C786" s="8">
        <f>CHOOSE( CONTROL!$C$33, 24.0348, 24.0337) * CHOOSE(CONTROL!$C$16, $D$10, 100%, $F$10)</f>
        <v>24.034800000000001</v>
      </c>
      <c r="D786" s="8">
        <f>CHOOSE( CONTROL!$C$33, 24.0263, 24.0251) * CHOOSE( CONTROL!$C$16, $D$10, 100%, $F$10)</f>
        <v>24.026299999999999</v>
      </c>
      <c r="E786" s="12">
        <f>CHOOSE( CONTROL!$C$33, 24.0289, 24.0277) * CHOOSE( CONTROL!$C$16, $D$10, 100%, $F$10)</f>
        <v>24.0289</v>
      </c>
      <c r="F786" s="4">
        <f>CHOOSE( CONTROL!$C$33, 24.6926, 24.6915) * CHOOSE(CONTROL!$C$16, $D$10, 100%, $F$10)</f>
        <v>24.692599999999999</v>
      </c>
      <c r="G786" s="8">
        <f>CHOOSE( CONTROL!$C$33, 23.7367, 23.7356) * CHOOSE( CONTROL!$C$16, $D$10, 100%, $F$10)</f>
        <v>23.736699999999999</v>
      </c>
      <c r="H786" s="4">
        <f>CHOOSE( CONTROL!$C$33, 24.6219, 24.6208) * CHOOSE(CONTROL!$C$16, $D$10, 100%, $F$10)</f>
        <v>24.6219</v>
      </c>
      <c r="I786" s="8">
        <f>CHOOSE( CONTROL!$C$33, 23.4544, 23.4533) * CHOOSE(CONTROL!$C$16, $D$10, 100%, $F$10)</f>
        <v>23.4544</v>
      </c>
      <c r="J786" s="4">
        <f>CHOOSE( CONTROL!$C$33, 23.2846, 23.2835) * CHOOSE(CONTROL!$C$16, $D$10, 100%, $F$10)</f>
        <v>23.284600000000001</v>
      </c>
      <c r="K786" s="4"/>
      <c r="L786" s="9">
        <v>29.306000000000001</v>
      </c>
      <c r="M786" s="9">
        <v>12.063700000000001</v>
      </c>
      <c r="N786" s="9">
        <v>4.9444999999999997</v>
      </c>
      <c r="O786" s="9">
        <v>0.37409999999999999</v>
      </c>
      <c r="P786" s="9">
        <v>1.2927</v>
      </c>
      <c r="Q786" s="9">
        <v>19.688099999999999</v>
      </c>
      <c r="R786" s="9"/>
      <c r="S786" s="11"/>
    </row>
    <row r="787" spans="1:19" ht="15" customHeight="1">
      <c r="A787" s="13">
        <v>65135</v>
      </c>
      <c r="B787" s="8">
        <f>CHOOSE( CONTROL!$C$33, 24.3959, 24.3948) * CHOOSE(CONTROL!$C$16, $D$10, 100%, $F$10)</f>
        <v>24.395900000000001</v>
      </c>
      <c r="C787" s="8">
        <f>CHOOSE( CONTROL!$C$33, 24.4005, 24.3994) * CHOOSE(CONTROL!$C$16, $D$10, 100%, $F$10)</f>
        <v>24.400500000000001</v>
      </c>
      <c r="D787" s="8">
        <f>CHOOSE( CONTROL!$C$33, 24.4293, 24.4282) * CHOOSE( CONTROL!$C$16, $D$10, 100%, $F$10)</f>
        <v>24.429300000000001</v>
      </c>
      <c r="E787" s="12">
        <f>CHOOSE( CONTROL!$C$33, 24.4193, 24.4182) * CHOOSE( CONTROL!$C$16, $D$10, 100%, $F$10)</f>
        <v>24.4193</v>
      </c>
      <c r="F787" s="4">
        <f>CHOOSE( CONTROL!$C$33, 25.1742, 25.1731) * CHOOSE(CONTROL!$C$16, $D$10, 100%, $F$10)</f>
        <v>25.174199999999999</v>
      </c>
      <c r="G787" s="8">
        <f>CHOOSE( CONTROL!$C$33, 24.118, 24.1169) * CHOOSE( CONTROL!$C$16, $D$10, 100%, $F$10)</f>
        <v>24.117999999999999</v>
      </c>
      <c r="H787" s="4">
        <f>CHOOSE( CONTROL!$C$33, 25.0969, 25.0958) * CHOOSE(CONTROL!$C$16, $D$10, 100%, $F$10)</f>
        <v>25.096900000000002</v>
      </c>
      <c r="I787" s="8">
        <f>CHOOSE( CONTROL!$C$33, 23.7664, 23.7653) * CHOOSE(CONTROL!$C$16, $D$10, 100%, $F$10)</f>
        <v>23.766400000000001</v>
      </c>
      <c r="J787" s="4">
        <f>CHOOSE( CONTROL!$C$33, 23.6385, 23.6374) * CHOOSE(CONTROL!$C$16, $D$10, 100%, $F$10)</f>
        <v>23.638500000000001</v>
      </c>
      <c r="K787" s="4"/>
      <c r="L787" s="9">
        <v>30.092199999999998</v>
      </c>
      <c r="M787" s="9">
        <v>11.6745</v>
      </c>
      <c r="N787" s="9">
        <v>4.7850000000000001</v>
      </c>
      <c r="O787" s="9">
        <v>0.36199999999999999</v>
      </c>
      <c r="P787" s="9">
        <v>1.2509999999999999</v>
      </c>
      <c r="Q787" s="9">
        <v>19.053000000000001</v>
      </c>
      <c r="R787" s="9"/>
      <c r="S787" s="11"/>
    </row>
    <row r="788" spans="1:19" ht="15" customHeight="1">
      <c r="A788" s="13">
        <v>65166</v>
      </c>
      <c r="B788" s="8">
        <f>CHOOSE( CONTROL!$C$33, 25.0482, 25.0466) * CHOOSE(CONTROL!$C$16, $D$10, 100%, $F$10)</f>
        <v>25.048200000000001</v>
      </c>
      <c r="C788" s="8">
        <f>CHOOSE( CONTROL!$C$33, 25.0562, 25.0546) * CHOOSE(CONTROL!$C$16, $D$10, 100%, $F$10)</f>
        <v>25.0562</v>
      </c>
      <c r="D788" s="8">
        <f>CHOOSE( CONTROL!$C$33, 25.0784, 25.0769) * CHOOSE( CONTROL!$C$16, $D$10, 100%, $F$10)</f>
        <v>25.078399999999998</v>
      </c>
      <c r="E788" s="12">
        <f>CHOOSE( CONTROL!$C$33, 25.0691, 25.0676) * CHOOSE( CONTROL!$C$16, $D$10, 100%, $F$10)</f>
        <v>25.069099999999999</v>
      </c>
      <c r="F788" s="4">
        <f>CHOOSE( CONTROL!$C$33, 25.8251, 25.8236) * CHOOSE(CONTROL!$C$16, $D$10, 100%, $F$10)</f>
        <v>25.825099999999999</v>
      </c>
      <c r="G788" s="8">
        <f>CHOOSE( CONTROL!$C$33, 24.7597, 24.7582) * CHOOSE( CONTROL!$C$16, $D$10, 100%, $F$10)</f>
        <v>24.759699999999999</v>
      </c>
      <c r="H788" s="4">
        <f>CHOOSE( CONTROL!$C$33, 25.7387, 25.7371) * CHOOSE(CONTROL!$C$16, $D$10, 100%, $F$10)</f>
        <v>25.738700000000001</v>
      </c>
      <c r="I788" s="8">
        <f>CHOOSE( CONTROL!$C$33, 24.3966, 24.3951) * CHOOSE(CONTROL!$C$16, $D$10, 100%, $F$10)</f>
        <v>24.396599999999999</v>
      </c>
      <c r="J788" s="4">
        <f>CHOOSE( CONTROL!$C$33, 24.2688, 24.2673) * CHOOSE(CONTROL!$C$16, $D$10, 100%, $F$10)</f>
        <v>24.268799999999999</v>
      </c>
      <c r="K788" s="4"/>
      <c r="L788" s="9">
        <v>30.7165</v>
      </c>
      <c r="M788" s="9">
        <v>12.063700000000001</v>
      </c>
      <c r="N788" s="9">
        <v>4.9444999999999997</v>
      </c>
      <c r="O788" s="9">
        <v>0.37409999999999999</v>
      </c>
      <c r="P788" s="9">
        <v>1.2927</v>
      </c>
      <c r="Q788" s="9">
        <v>19.688099999999999</v>
      </c>
      <c r="R788" s="9"/>
      <c r="S788" s="11"/>
    </row>
    <row r="789" spans="1:19" ht="15" customHeight="1">
      <c r="A789" s="13">
        <v>65196</v>
      </c>
      <c r="B789" s="8">
        <f>CHOOSE( CONTROL!$C$33, 24.6453, 24.6437) * CHOOSE(CONTROL!$C$16, $D$10, 100%, $F$10)</f>
        <v>24.645299999999999</v>
      </c>
      <c r="C789" s="8">
        <f>CHOOSE( CONTROL!$C$33, 24.6533, 24.6517) * CHOOSE(CONTROL!$C$16, $D$10, 100%, $F$10)</f>
        <v>24.653300000000002</v>
      </c>
      <c r="D789" s="8">
        <f>CHOOSE( CONTROL!$C$33, 24.6757, 24.6741) * CHOOSE( CONTROL!$C$16, $D$10, 100%, $F$10)</f>
        <v>24.675699999999999</v>
      </c>
      <c r="E789" s="12">
        <f>CHOOSE( CONTROL!$C$33, 24.6664, 24.6648) * CHOOSE( CONTROL!$C$16, $D$10, 100%, $F$10)</f>
        <v>24.666399999999999</v>
      </c>
      <c r="F789" s="4">
        <f>CHOOSE( CONTROL!$C$33, 25.4222, 25.4206) * CHOOSE(CONTROL!$C$16, $D$10, 100%, $F$10)</f>
        <v>25.4222</v>
      </c>
      <c r="G789" s="8">
        <f>CHOOSE( CONTROL!$C$33, 24.3626, 24.361) * CHOOSE( CONTROL!$C$16, $D$10, 100%, $F$10)</f>
        <v>24.3626</v>
      </c>
      <c r="H789" s="4">
        <f>CHOOSE( CONTROL!$C$33, 25.3414, 25.3398) * CHOOSE(CONTROL!$C$16, $D$10, 100%, $F$10)</f>
        <v>25.3414</v>
      </c>
      <c r="I789" s="8">
        <f>CHOOSE( CONTROL!$C$33, 24.0068, 24.0053) * CHOOSE(CONTROL!$C$16, $D$10, 100%, $F$10)</f>
        <v>24.006799999999998</v>
      </c>
      <c r="J789" s="4">
        <f>CHOOSE( CONTROL!$C$33, 23.8786, 23.8771) * CHOOSE(CONTROL!$C$16, $D$10, 100%, $F$10)</f>
        <v>23.878599999999999</v>
      </c>
      <c r="K789" s="4"/>
      <c r="L789" s="9">
        <v>29.7257</v>
      </c>
      <c r="M789" s="9">
        <v>11.6745</v>
      </c>
      <c r="N789" s="9">
        <v>4.7850000000000001</v>
      </c>
      <c r="O789" s="9">
        <v>0.36199999999999999</v>
      </c>
      <c r="P789" s="9">
        <v>1.2509999999999999</v>
      </c>
      <c r="Q789" s="9">
        <v>19.053000000000001</v>
      </c>
      <c r="R789" s="9"/>
      <c r="S789" s="11"/>
    </row>
    <row r="790" spans="1:19" ht="15" customHeight="1">
      <c r="A790" s="13">
        <v>65227</v>
      </c>
      <c r="B790" s="8">
        <f>CHOOSE( CONTROL!$C$33, 25.7064, 25.7048) * CHOOSE(CONTROL!$C$16, $D$10, 100%, $F$10)</f>
        <v>25.706399999999999</v>
      </c>
      <c r="C790" s="8">
        <f>CHOOSE( CONTROL!$C$33, 25.7144, 25.7128) * CHOOSE(CONTROL!$C$16, $D$10, 100%, $F$10)</f>
        <v>25.714400000000001</v>
      </c>
      <c r="D790" s="8">
        <f>CHOOSE( CONTROL!$C$33, 25.737, 25.7354) * CHOOSE( CONTROL!$C$16, $D$10, 100%, $F$10)</f>
        <v>25.736999999999998</v>
      </c>
      <c r="E790" s="12">
        <f>CHOOSE( CONTROL!$C$33, 25.7276, 25.726) * CHOOSE( CONTROL!$C$16, $D$10, 100%, $F$10)</f>
        <v>25.727599999999999</v>
      </c>
      <c r="F790" s="4">
        <f>CHOOSE( CONTROL!$C$33, 26.4833, 26.4817) * CHOOSE(CONTROL!$C$16, $D$10, 100%, $F$10)</f>
        <v>26.4833</v>
      </c>
      <c r="G790" s="8">
        <f>CHOOSE( CONTROL!$C$33, 25.409, 25.4075) * CHOOSE( CONTROL!$C$16, $D$10, 100%, $F$10)</f>
        <v>25.408999999999999</v>
      </c>
      <c r="H790" s="4">
        <f>CHOOSE( CONTROL!$C$33, 26.3876, 26.3861) * CHOOSE(CONTROL!$C$16, $D$10, 100%, $F$10)</f>
        <v>26.387599999999999</v>
      </c>
      <c r="I790" s="8">
        <f>CHOOSE( CONTROL!$C$33, 25.0356, 25.0341) * CHOOSE(CONTROL!$C$16, $D$10, 100%, $F$10)</f>
        <v>25.035599999999999</v>
      </c>
      <c r="J790" s="4">
        <f>CHOOSE( CONTROL!$C$33, 24.9061, 24.9045) * CHOOSE(CONTROL!$C$16, $D$10, 100%, $F$10)</f>
        <v>24.906099999999999</v>
      </c>
      <c r="K790" s="4"/>
      <c r="L790" s="9">
        <v>30.7165</v>
      </c>
      <c r="M790" s="9">
        <v>12.063700000000001</v>
      </c>
      <c r="N790" s="9">
        <v>4.9444999999999997</v>
      </c>
      <c r="O790" s="9">
        <v>0.37409999999999999</v>
      </c>
      <c r="P790" s="9">
        <v>1.2927</v>
      </c>
      <c r="Q790" s="9">
        <v>19.688099999999999</v>
      </c>
      <c r="R790" s="9"/>
      <c r="S790" s="11"/>
    </row>
    <row r="791" spans="1:19" ht="15" customHeight="1">
      <c r="A791" s="13">
        <v>65258</v>
      </c>
      <c r="B791" s="8">
        <f>CHOOSE( CONTROL!$C$33, 23.721, 23.7194) * CHOOSE(CONTROL!$C$16, $D$10, 100%, $F$10)</f>
        <v>23.721</v>
      </c>
      <c r="C791" s="8">
        <f>CHOOSE( CONTROL!$C$33, 23.729, 23.7274) * CHOOSE(CONTROL!$C$16, $D$10, 100%, $F$10)</f>
        <v>23.728999999999999</v>
      </c>
      <c r="D791" s="8">
        <f>CHOOSE( CONTROL!$C$33, 23.7516, 23.7501) * CHOOSE( CONTROL!$C$16, $D$10, 100%, $F$10)</f>
        <v>23.7516</v>
      </c>
      <c r="E791" s="12">
        <f>CHOOSE( CONTROL!$C$33, 23.7422, 23.7407) * CHOOSE( CONTROL!$C$16, $D$10, 100%, $F$10)</f>
        <v>23.7422</v>
      </c>
      <c r="F791" s="4">
        <f>CHOOSE( CONTROL!$C$33, 24.4979, 24.4963) * CHOOSE(CONTROL!$C$16, $D$10, 100%, $F$10)</f>
        <v>24.497900000000001</v>
      </c>
      <c r="G791" s="8">
        <f>CHOOSE( CONTROL!$C$33, 23.4514, 23.4498) * CHOOSE( CONTROL!$C$16, $D$10, 100%, $F$10)</f>
        <v>23.4514</v>
      </c>
      <c r="H791" s="4">
        <f>CHOOSE( CONTROL!$C$33, 24.43, 24.4284) * CHOOSE(CONTROL!$C$16, $D$10, 100%, $F$10)</f>
        <v>24.43</v>
      </c>
      <c r="I791" s="8">
        <f>CHOOSE( CONTROL!$C$33, 23.1123, 23.1108) * CHOOSE(CONTROL!$C$16, $D$10, 100%, $F$10)</f>
        <v>23.112300000000001</v>
      </c>
      <c r="J791" s="4">
        <f>CHOOSE( CONTROL!$C$33, 22.9836, 22.9821) * CHOOSE(CONTROL!$C$16, $D$10, 100%, $F$10)</f>
        <v>22.983599999999999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1.2927</v>
      </c>
      <c r="Q791" s="9">
        <v>19.688099999999999</v>
      </c>
      <c r="R791" s="9"/>
      <c r="S791" s="11"/>
    </row>
    <row r="792" spans="1:19" ht="15" customHeight="1">
      <c r="A792" s="13">
        <v>65288</v>
      </c>
      <c r="B792" s="8">
        <f>CHOOSE( CONTROL!$C$33, 23.2238, 23.2222) * CHOOSE(CONTROL!$C$16, $D$10, 100%, $F$10)</f>
        <v>23.223800000000001</v>
      </c>
      <c r="C792" s="8">
        <f>CHOOSE( CONTROL!$C$33, 23.2318, 23.2302) * CHOOSE(CONTROL!$C$16, $D$10, 100%, $F$10)</f>
        <v>23.2318</v>
      </c>
      <c r="D792" s="8">
        <f>CHOOSE( CONTROL!$C$33, 23.2544, 23.2528) * CHOOSE( CONTROL!$C$16, $D$10, 100%, $F$10)</f>
        <v>23.2544</v>
      </c>
      <c r="E792" s="12">
        <f>CHOOSE( CONTROL!$C$33, 23.245, 23.2434) * CHOOSE( CONTROL!$C$16, $D$10, 100%, $F$10)</f>
        <v>23.245000000000001</v>
      </c>
      <c r="F792" s="4">
        <f>CHOOSE( CONTROL!$C$33, 24.0007, 23.9992) * CHOOSE(CONTROL!$C$16, $D$10, 100%, $F$10)</f>
        <v>24.000699999999998</v>
      </c>
      <c r="G792" s="8">
        <f>CHOOSE( CONTROL!$C$33, 22.961, 22.9595) * CHOOSE( CONTROL!$C$16, $D$10, 100%, $F$10)</f>
        <v>22.960999999999999</v>
      </c>
      <c r="H792" s="4">
        <f>CHOOSE( CONTROL!$C$33, 23.9397, 23.9382) * CHOOSE(CONTROL!$C$16, $D$10, 100%, $F$10)</f>
        <v>23.939699999999998</v>
      </c>
      <c r="I792" s="8">
        <f>CHOOSE( CONTROL!$C$33, 22.6303, 22.6287) * CHOOSE(CONTROL!$C$16, $D$10, 100%, $F$10)</f>
        <v>22.630299999999998</v>
      </c>
      <c r="J792" s="4">
        <f>CHOOSE( CONTROL!$C$33, 22.5022, 22.5007) * CHOOSE(CONTROL!$C$16, $D$10, 100%, $F$10)</f>
        <v>22.502199999999998</v>
      </c>
      <c r="K792" s="4"/>
      <c r="L792" s="9">
        <v>29.7257</v>
      </c>
      <c r="M792" s="9">
        <v>11.6745</v>
      </c>
      <c r="N792" s="9">
        <v>4.7850000000000001</v>
      </c>
      <c r="O792" s="9">
        <v>0.36199999999999999</v>
      </c>
      <c r="P792" s="9">
        <v>1.2509999999999999</v>
      </c>
      <c r="Q792" s="9">
        <v>19.053000000000001</v>
      </c>
      <c r="R792" s="9"/>
      <c r="S792" s="11"/>
    </row>
    <row r="793" spans="1:19" ht="15" customHeight="1">
      <c r="A793" s="13">
        <v>65319</v>
      </c>
      <c r="B793" s="8">
        <f>CHOOSE( CONTROL!$C$33, 24.2539, 24.2528) * CHOOSE(CONTROL!$C$16, $D$10, 100%, $F$10)</f>
        <v>24.253900000000002</v>
      </c>
      <c r="C793" s="8">
        <f>CHOOSE( CONTROL!$C$33, 24.2593, 24.2581) * CHOOSE(CONTROL!$C$16, $D$10, 100%, $F$10)</f>
        <v>24.2593</v>
      </c>
      <c r="D793" s="8">
        <f>CHOOSE( CONTROL!$C$33, 24.288, 24.2869) * CHOOSE( CONTROL!$C$16, $D$10, 100%, $F$10)</f>
        <v>24.288</v>
      </c>
      <c r="E793" s="12">
        <f>CHOOSE( CONTROL!$C$33, 24.278, 24.2768) * CHOOSE( CONTROL!$C$16, $D$10, 100%, $F$10)</f>
        <v>24.277999999999999</v>
      </c>
      <c r="F793" s="4">
        <f>CHOOSE( CONTROL!$C$33, 25.0326, 25.0314) * CHOOSE(CONTROL!$C$16, $D$10, 100%, $F$10)</f>
        <v>25.032599999999999</v>
      </c>
      <c r="G793" s="8">
        <f>CHOOSE( CONTROL!$C$33, 23.9786, 23.9775) * CHOOSE( CONTROL!$C$16, $D$10, 100%, $F$10)</f>
        <v>23.9786</v>
      </c>
      <c r="H793" s="4">
        <f>CHOOSE( CONTROL!$C$33, 24.9572, 24.9561) * CHOOSE(CONTROL!$C$16, $D$10, 100%, $F$10)</f>
        <v>24.9572</v>
      </c>
      <c r="I793" s="8">
        <f>CHOOSE( CONTROL!$C$33, 23.6305, 23.6294) * CHOOSE(CONTROL!$C$16, $D$10, 100%, $F$10)</f>
        <v>23.630500000000001</v>
      </c>
      <c r="J793" s="4">
        <f>CHOOSE( CONTROL!$C$33, 23.5013, 23.5002) * CHOOSE(CONTROL!$C$16, $D$10, 100%, $F$10)</f>
        <v>23.501300000000001</v>
      </c>
      <c r="K793" s="4"/>
      <c r="L793" s="9">
        <v>31.095300000000002</v>
      </c>
      <c r="M793" s="9">
        <v>12.063700000000001</v>
      </c>
      <c r="N793" s="9">
        <v>4.9444999999999997</v>
      </c>
      <c r="O793" s="9">
        <v>0.37409999999999999</v>
      </c>
      <c r="P793" s="9">
        <v>1.2927</v>
      </c>
      <c r="Q793" s="9">
        <v>19.688099999999999</v>
      </c>
      <c r="R793" s="9"/>
      <c r="S793" s="11"/>
    </row>
    <row r="794" spans="1:19" ht="15" customHeight="1">
      <c r="A794" s="13">
        <v>65349</v>
      </c>
      <c r="B794" s="8">
        <f>CHOOSE( CONTROL!$C$33, 26.1589, 26.1578) * CHOOSE(CONTROL!$C$16, $D$10, 100%, $F$10)</f>
        <v>26.158899999999999</v>
      </c>
      <c r="C794" s="8">
        <f>CHOOSE( CONTROL!$C$33, 26.164, 26.1629) * CHOOSE(CONTROL!$C$16, $D$10, 100%, $F$10)</f>
        <v>26.164000000000001</v>
      </c>
      <c r="D794" s="8">
        <f>CHOOSE( CONTROL!$C$33, 26.1437, 26.1425) * CHOOSE( CONTROL!$C$16, $D$10, 100%, $F$10)</f>
        <v>26.143699999999999</v>
      </c>
      <c r="E794" s="12">
        <f>CHOOSE( CONTROL!$C$33, 26.1506, 26.1494) * CHOOSE( CONTROL!$C$16, $D$10, 100%, $F$10)</f>
        <v>26.150600000000001</v>
      </c>
      <c r="F794" s="4">
        <f>CHOOSE( CONTROL!$C$33, 26.8218, 26.8206) * CHOOSE(CONTROL!$C$16, $D$10, 100%, $F$10)</f>
        <v>26.8218</v>
      </c>
      <c r="G794" s="8">
        <f>CHOOSE( CONTROL!$C$33, 25.8299, 25.8288) * CHOOSE( CONTROL!$C$16, $D$10, 100%, $F$10)</f>
        <v>25.829899999999999</v>
      </c>
      <c r="H794" s="4">
        <f>CHOOSE( CONTROL!$C$33, 26.7214, 26.7203) * CHOOSE(CONTROL!$C$16, $D$10, 100%, $F$10)</f>
        <v>26.721399999999999</v>
      </c>
      <c r="I794" s="8">
        <f>CHOOSE( CONTROL!$C$33, 25.5242, 25.5231) * CHOOSE(CONTROL!$C$16, $D$10, 100%, $F$10)</f>
        <v>25.5242</v>
      </c>
      <c r="J794" s="4">
        <f>CHOOSE( CONTROL!$C$33, 25.3463, 25.3452) * CHOOSE(CONTROL!$C$16, $D$10, 100%, $F$10)</f>
        <v>25.346299999999999</v>
      </c>
      <c r="K794" s="4"/>
      <c r="L794" s="9">
        <v>28.360600000000002</v>
      </c>
      <c r="M794" s="9">
        <v>11.6745</v>
      </c>
      <c r="N794" s="9">
        <v>4.7850000000000001</v>
      </c>
      <c r="O794" s="9">
        <v>0.36199999999999999</v>
      </c>
      <c r="P794" s="9">
        <v>1.2509999999999999</v>
      </c>
      <c r="Q794" s="9">
        <v>19.053000000000001</v>
      </c>
      <c r="R794" s="9"/>
      <c r="S794" s="11"/>
    </row>
    <row r="795" spans="1:19" ht="15" customHeight="1">
      <c r="A795" s="13">
        <v>65380</v>
      </c>
      <c r="B795" s="8">
        <f>CHOOSE( CONTROL!$C$33, 26.1113, 26.1102) * CHOOSE(CONTROL!$C$16, $D$10, 100%, $F$10)</f>
        <v>26.1113</v>
      </c>
      <c r="C795" s="8">
        <f>CHOOSE( CONTROL!$C$33, 26.1164, 26.1153) * CHOOSE(CONTROL!$C$16, $D$10, 100%, $F$10)</f>
        <v>26.116399999999999</v>
      </c>
      <c r="D795" s="8">
        <f>CHOOSE( CONTROL!$C$33, 26.0975, 26.0964) * CHOOSE( CONTROL!$C$16, $D$10, 100%, $F$10)</f>
        <v>26.0975</v>
      </c>
      <c r="E795" s="12">
        <f>CHOOSE( CONTROL!$C$33, 26.1039, 26.1028) * CHOOSE( CONTROL!$C$16, $D$10, 100%, $F$10)</f>
        <v>26.103899999999999</v>
      </c>
      <c r="F795" s="4">
        <f>CHOOSE( CONTROL!$C$33, 26.7742, 26.773) * CHOOSE(CONTROL!$C$16, $D$10, 100%, $F$10)</f>
        <v>26.7742</v>
      </c>
      <c r="G795" s="8">
        <f>CHOOSE( CONTROL!$C$33, 25.784, 25.7829) * CHOOSE( CONTROL!$C$16, $D$10, 100%, $F$10)</f>
        <v>25.783999999999999</v>
      </c>
      <c r="H795" s="4">
        <f>CHOOSE( CONTROL!$C$33, 26.6745, 26.6734) * CHOOSE(CONTROL!$C$16, $D$10, 100%, $F$10)</f>
        <v>26.674499999999998</v>
      </c>
      <c r="I795" s="8">
        <f>CHOOSE( CONTROL!$C$33, 25.4826, 25.4815) * CHOOSE(CONTROL!$C$16, $D$10, 100%, $F$10)</f>
        <v>25.482600000000001</v>
      </c>
      <c r="J795" s="4">
        <f>CHOOSE( CONTROL!$C$33, 25.3002, 25.2991) * CHOOSE(CONTROL!$C$16, $D$10, 100%, $F$10)</f>
        <v>25.3002</v>
      </c>
      <c r="K795" s="4"/>
      <c r="L795" s="9">
        <v>29.306000000000001</v>
      </c>
      <c r="M795" s="9">
        <v>12.063700000000001</v>
      </c>
      <c r="N795" s="9">
        <v>4.9444999999999997</v>
      </c>
      <c r="O795" s="9">
        <v>0.37409999999999999</v>
      </c>
      <c r="P795" s="9">
        <v>1.2927</v>
      </c>
      <c r="Q795" s="9">
        <v>19.688099999999999</v>
      </c>
      <c r="R795" s="9"/>
      <c r="S795" s="11"/>
    </row>
    <row r="796" spans="1:19" ht="15" customHeight="1">
      <c r="A796" s="13">
        <v>65411</v>
      </c>
      <c r="B796" s="8">
        <f>CHOOSE( CONTROL!$C$33, 26.882, 26.8808) * CHOOSE(CONTROL!$C$16, $D$10, 100%, $F$10)</f>
        <v>26.882000000000001</v>
      </c>
      <c r="C796" s="8">
        <f>CHOOSE( CONTROL!$C$33, 26.8871, 26.8859) * CHOOSE(CONTROL!$C$16, $D$10, 100%, $F$10)</f>
        <v>26.8871</v>
      </c>
      <c r="D796" s="8">
        <f>CHOOSE( CONTROL!$C$33, 26.8794, 26.8783) * CHOOSE( CONTROL!$C$16, $D$10, 100%, $F$10)</f>
        <v>26.8794</v>
      </c>
      <c r="E796" s="12">
        <f>CHOOSE( CONTROL!$C$33, 26.8817, 26.8805) * CHOOSE( CONTROL!$C$16, $D$10, 100%, $F$10)</f>
        <v>26.881699999999999</v>
      </c>
      <c r="F796" s="4">
        <f>CHOOSE( CONTROL!$C$33, 27.5448, 27.5437) * CHOOSE(CONTROL!$C$16, $D$10, 100%, $F$10)</f>
        <v>27.544799999999999</v>
      </c>
      <c r="G796" s="8">
        <f>CHOOSE( CONTROL!$C$33, 26.5498, 26.5487) * CHOOSE( CONTROL!$C$16, $D$10, 100%, $F$10)</f>
        <v>26.549800000000001</v>
      </c>
      <c r="H796" s="4">
        <f>CHOOSE( CONTROL!$C$33, 27.4344, 27.4333) * CHOOSE(CONTROL!$C$16, $D$10, 100%, $F$10)</f>
        <v>27.4344</v>
      </c>
      <c r="I796" s="8">
        <f>CHOOSE( CONTROL!$C$33, 26.2204, 26.2193) * CHOOSE(CONTROL!$C$16, $D$10, 100%, $F$10)</f>
        <v>26.220400000000001</v>
      </c>
      <c r="J796" s="4">
        <f>CHOOSE( CONTROL!$C$33, 26.0465, 26.0454) * CHOOSE(CONTROL!$C$16, $D$10, 100%, $F$10)</f>
        <v>26.046500000000002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" customHeight="1">
      <c r="A797" s="13">
        <v>65439</v>
      </c>
      <c r="B797" s="8">
        <f>CHOOSE( CONTROL!$C$33, 25.1431, 25.1419) * CHOOSE(CONTROL!$C$16, $D$10, 100%, $F$10)</f>
        <v>25.1431</v>
      </c>
      <c r="C797" s="8">
        <f>CHOOSE( CONTROL!$C$33, 25.1482, 25.147) * CHOOSE(CONTROL!$C$16, $D$10, 100%, $F$10)</f>
        <v>25.148199999999999</v>
      </c>
      <c r="D797" s="8">
        <f>CHOOSE( CONTROL!$C$33, 25.1403, 25.1392) * CHOOSE( CONTROL!$C$16, $D$10, 100%, $F$10)</f>
        <v>25.1403</v>
      </c>
      <c r="E797" s="12">
        <f>CHOOSE( CONTROL!$C$33, 25.1426, 25.1415) * CHOOSE( CONTROL!$C$16, $D$10, 100%, $F$10)</f>
        <v>25.142600000000002</v>
      </c>
      <c r="F797" s="4">
        <f>CHOOSE( CONTROL!$C$33, 25.8059, 25.8048) * CHOOSE(CONTROL!$C$16, $D$10, 100%, $F$10)</f>
        <v>25.805900000000001</v>
      </c>
      <c r="G797" s="8">
        <f>CHOOSE( CONTROL!$C$33, 24.835, 24.8339) * CHOOSE( CONTROL!$C$16, $D$10, 100%, $F$10)</f>
        <v>24.835000000000001</v>
      </c>
      <c r="H797" s="4">
        <f>CHOOSE( CONTROL!$C$33, 25.7197, 25.7186) * CHOOSE(CONTROL!$C$16, $D$10, 100%, $F$10)</f>
        <v>25.7197</v>
      </c>
      <c r="I797" s="8">
        <f>CHOOSE( CONTROL!$C$33, 24.5352, 24.5341) * CHOOSE(CONTROL!$C$16, $D$10, 100%, $F$10)</f>
        <v>24.5352</v>
      </c>
      <c r="J797" s="4">
        <f>CHOOSE( CONTROL!$C$33, 24.3627, 24.3616) * CHOOSE(CONTROL!$C$16, $D$10, 100%, $F$10)</f>
        <v>24.3627</v>
      </c>
      <c r="K797" s="4"/>
      <c r="L797" s="9">
        <v>26.469899999999999</v>
      </c>
      <c r="M797" s="9">
        <v>10.8962</v>
      </c>
      <c r="N797" s="9">
        <v>4.4660000000000002</v>
      </c>
      <c r="O797" s="9">
        <v>0.33789999999999998</v>
      </c>
      <c r="P797" s="9">
        <v>1.1676</v>
      </c>
      <c r="Q797" s="9">
        <v>17.782800000000002</v>
      </c>
      <c r="R797" s="9"/>
      <c r="S797" s="11"/>
    </row>
    <row r="798" spans="1:19" ht="15" customHeight="1">
      <c r="A798" s="13">
        <v>65470</v>
      </c>
      <c r="B798" s="8">
        <f>CHOOSE( CONTROL!$C$33, 24.6075, 24.6064) * CHOOSE(CONTROL!$C$16, $D$10, 100%, $F$10)</f>
        <v>24.607500000000002</v>
      </c>
      <c r="C798" s="8">
        <f>CHOOSE( CONTROL!$C$33, 24.6126, 24.6114) * CHOOSE(CONTROL!$C$16, $D$10, 100%, $F$10)</f>
        <v>24.6126</v>
      </c>
      <c r="D798" s="8">
        <f>CHOOSE( CONTROL!$C$33, 24.604, 24.6029) * CHOOSE( CONTROL!$C$16, $D$10, 100%, $F$10)</f>
        <v>24.603999999999999</v>
      </c>
      <c r="E798" s="12">
        <f>CHOOSE( CONTROL!$C$33, 24.6066, 24.6055) * CHOOSE( CONTROL!$C$16, $D$10, 100%, $F$10)</f>
        <v>24.6066</v>
      </c>
      <c r="F798" s="4">
        <f>CHOOSE( CONTROL!$C$33, 25.2703, 25.2692) * CHOOSE(CONTROL!$C$16, $D$10, 100%, $F$10)</f>
        <v>25.270299999999999</v>
      </c>
      <c r="G798" s="8">
        <f>CHOOSE( CONTROL!$C$33, 24.3064, 24.3053) * CHOOSE( CONTROL!$C$16, $D$10, 100%, $F$10)</f>
        <v>24.3064</v>
      </c>
      <c r="H798" s="4">
        <f>CHOOSE( CONTROL!$C$33, 25.1916, 25.1905) * CHOOSE(CONTROL!$C$16, $D$10, 100%, $F$10)</f>
        <v>25.191600000000001</v>
      </c>
      <c r="I798" s="8">
        <f>CHOOSE( CONTROL!$C$33, 24.0141, 24.013) * CHOOSE(CONTROL!$C$16, $D$10, 100%, $F$10)</f>
        <v>24.014099999999999</v>
      </c>
      <c r="J798" s="4">
        <f>CHOOSE( CONTROL!$C$33, 23.8441, 23.843) * CHOOSE(CONTROL!$C$16, $D$10, 100%, $F$10)</f>
        <v>23.844100000000001</v>
      </c>
      <c r="K798" s="4"/>
      <c r="L798" s="9">
        <v>29.306000000000001</v>
      </c>
      <c r="M798" s="9">
        <v>12.063700000000001</v>
      </c>
      <c r="N798" s="9">
        <v>4.9444999999999997</v>
      </c>
      <c r="O798" s="9">
        <v>0.37409999999999999</v>
      </c>
      <c r="P798" s="9">
        <v>1.2927</v>
      </c>
      <c r="Q798" s="9">
        <v>19.688099999999999</v>
      </c>
      <c r="R798" s="9"/>
      <c r="S798" s="11"/>
    </row>
    <row r="799" spans="1:19" ht="15" customHeight="1">
      <c r="A799" s="13">
        <v>65500</v>
      </c>
      <c r="B799" s="8">
        <f>CHOOSE( CONTROL!$C$33, 24.9825, 24.9814) * CHOOSE(CONTROL!$C$16, $D$10, 100%, $F$10)</f>
        <v>24.982500000000002</v>
      </c>
      <c r="C799" s="8">
        <f>CHOOSE( CONTROL!$C$33, 24.987, 24.9859) * CHOOSE(CONTROL!$C$16, $D$10, 100%, $F$10)</f>
        <v>24.986999999999998</v>
      </c>
      <c r="D799" s="8">
        <f>CHOOSE( CONTROL!$C$33, 25.0159, 25.0148) * CHOOSE( CONTROL!$C$16, $D$10, 100%, $F$10)</f>
        <v>25.015899999999998</v>
      </c>
      <c r="E799" s="12">
        <f>CHOOSE( CONTROL!$C$33, 25.0058, 25.0047) * CHOOSE( CONTROL!$C$16, $D$10, 100%, $F$10)</f>
        <v>25.005800000000001</v>
      </c>
      <c r="F799" s="4">
        <f>CHOOSE( CONTROL!$C$33, 25.7608, 25.7597) * CHOOSE(CONTROL!$C$16, $D$10, 100%, $F$10)</f>
        <v>25.7608</v>
      </c>
      <c r="G799" s="8">
        <f>CHOOSE( CONTROL!$C$33, 24.6963, 24.6952) * CHOOSE( CONTROL!$C$16, $D$10, 100%, $F$10)</f>
        <v>24.696300000000001</v>
      </c>
      <c r="H799" s="4">
        <f>CHOOSE( CONTROL!$C$33, 25.6752, 25.6741) * CHOOSE(CONTROL!$C$16, $D$10, 100%, $F$10)</f>
        <v>25.6752</v>
      </c>
      <c r="I799" s="8">
        <f>CHOOSE( CONTROL!$C$33, 24.3346, 24.3336) * CHOOSE(CONTROL!$C$16, $D$10, 100%, $F$10)</f>
        <v>24.334599999999998</v>
      </c>
      <c r="J799" s="4">
        <f>CHOOSE( CONTROL!$C$33, 24.2065, 24.2054) * CHOOSE(CONTROL!$C$16, $D$10, 100%, $F$10)</f>
        <v>24.206499999999998</v>
      </c>
      <c r="K799" s="4"/>
      <c r="L799" s="9">
        <v>30.092199999999998</v>
      </c>
      <c r="M799" s="9">
        <v>11.6745</v>
      </c>
      <c r="N799" s="9">
        <v>4.7850000000000001</v>
      </c>
      <c r="O799" s="9">
        <v>0.36199999999999999</v>
      </c>
      <c r="P799" s="9">
        <v>1.2509999999999999</v>
      </c>
      <c r="Q799" s="9">
        <v>19.053000000000001</v>
      </c>
      <c r="R799" s="9"/>
      <c r="S799" s="11"/>
    </row>
    <row r="800" spans="1:19" ht="15" customHeight="1">
      <c r="A800" s="13">
        <v>65531</v>
      </c>
      <c r="B800" s="8">
        <f>CHOOSE( CONTROL!$C$33, 25.6504, 25.6488) * CHOOSE(CONTROL!$C$16, $D$10, 100%, $F$10)</f>
        <v>25.650400000000001</v>
      </c>
      <c r="C800" s="8">
        <f>CHOOSE( CONTROL!$C$33, 25.6584, 25.6568) * CHOOSE(CONTROL!$C$16, $D$10, 100%, $F$10)</f>
        <v>25.6584</v>
      </c>
      <c r="D800" s="8">
        <f>CHOOSE( CONTROL!$C$33, 25.6806, 25.679) * CHOOSE( CONTROL!$C$16, $D$10, 100%, $F$10)</f>
        <v>25.680599999999998</v>
      </c>
      <c r="E800" s="12">
        <f>CHOOSE( CONTROL!$C$33, 25.6713, 25.6697) * CHOOSE( CONTROL!$C$16, $D$10, 100%, $F$10)</f>
        <v>25.671299999999999</v>
      </c>
      <c r="F800" s="4">
        <f>CHOOSE( CONTROL!$C$33, 26.4273, 26.4257) * CHOOSE(CONTROL!$C$16, $D$10, 100%, $F$10)</f>
        <v>26.427299999999999</v>
      </c>
      <c r="G800" s="8">
        <f>CHOOSE( CONTROL!$C$33, 25.3535, 25.352) * CHOOSE( CONTROL!$C$16, $D$10, 100%, $F$10)</f>
        <v>25.3535</v>
      </c>
      <c r="H800" s="4">
        <f>CHOOSE( CONTROL!$C$33, 26.3325, 26.3309) * CHOOSE(CONTROL!$C$16, $D$10, 100%, $F$10)</f>
        <v>26.3325</v>
      </c>
      <c r="I800" s="8">
        <f>CHOOSE( CONTROL!$C$33, 24.98, 24.9785) * CHOOSE(CONTROL!$C$16, $D$10, 100%, $F$10)</f>
        <v>24.98</v>
      </c>
      <c r="J800" s="4">
        <f>CHOOSE( CONTROL!$C$33, 24.8519, 24.8503) * CHOOSE(CONTROL!$C$16, $D$10, 100%, $F$10)</f>
        <v>24.851900000000001</v>
      </c>
      <c r="K800" s="4"/>
      <c r="L800" s="9">
        <v>30.7165</v>
      </c>
      <c r="M800" s="9">
        <v>12.063700000000001</v>
      </c>
      <c r="N800" s="9">
        <v>4.9444999999999997</v>
      </c>
      <c r="O800" s="9">
        <v>0.37409999999999999</v>
      </c>
      <c r="P800" s="9">
        <v>1.2927</v>
      </c>
      <c r="Q800" s="9">
        <v>19.688099999999999</v>
      </c>
      <c r="R800" s="9"/>
      <c r="S800" s="11"/>
    </row>
    <row r="801" spans="1:19" ht="15" customHeight="1">
      <c r="A801" s="13">
        <v>65561</v>
      </c>
      <c r="B801" s="8">
        <f>CHOOSE( CONTROL!$C$33, 25.2378, 25.2362) * CHOOSE(CONTROL!$C$16, $D$10, 100%, $F$10)</f>
        <v>25.2378</v>
      </c>
      <c r="C801" s="8">
        <f>CHOOSE( CONTROL!$C$33, 25.2458, 25.2442) * CHOOSE(CONTROL!$C$16, $D$10, 100%, $F$10)</f>
        <v>25.245799999999999</v>
      </c>
      <c r="D801" s="8">
        <f>CHOOSE( CONTROL!$C$33, 25.2682, 25.2666) * CHOOSE( CONTROL!$C$16, $D$10, 100%, $F$10)</f>
        <v>25.2682</v>
      </c>
      <c r="E801" s="12">
        <f>CHOOSE( CONTROL!$C$33, 25.2589, 25.2573) * CHOOSE( CONTROL!$C$16, $D$10, 100%, $F$10)</f>
        <v>25.258900000000001</v>
      </c>
      <c r="F801" s="4">
        <f>CHOOSE( CONTROL!$C$33, 26.0147, 26.0131) * CHOOSE(CONTROL!$C$16, $D$10, 100%, $F$10)</f>
        <v>26.014700000000001</v>
      </c>
      <c r="G801" s="8">
        <f>CHOOSE( CONTROL!$C$33, 24.9468, 24.9452) * CHOOSE( CONTROL!$C$16, $D$10, 100%, $F$10)</f>
        <v>24.9468</v>
      </c>
      <c r="H801" s="4">
        <f>CHOOSE( CONTROL!$C$33, 25.9256, 25.9241) * CHOOSE(CONTROL!$C$16, $D$10, 100%, $F$10)</f>
        <v>25.925599999999999</v>
      </c>
      <c r="I801" s="8">
        <f>CHOOSE( CONTROL!$C$33, 24.5808, 24.5793) * CHOOSE(CONTROL!$C$16, $D$10, 100%, $F$10)</f>
        <v>24.5808</v>
      </c>
      <c r="J801" s="4">
        <f>CHOOSE( CONTROL!$C$33, 24.4523, 24.4508) * CHOOSE(CONTROL!$C$16, $D$10, 100%, $F$10)</f>
        <v>24.452300000000001</v>
      </c>
      <c r="K801" s="4"/>
      <c r="L801" s="9">
        <v>29.7257</v>
      </c>
      <c r="M801" s="9">
        <v>11.6745</v>
      </c>
      <c r="N801" s="9">
        <v>4.7850000000000001</v>
      </c>
      <c r="O801" s="9">
        <v>0.36199999999999999</v>
      </c>
      <c r="P801" s="9">
        <v>1.2509999999999999</v>
      </c>
      <c r="Q801" s="9">
        <v>19.053000000000001</v>
      </c>
      <c r="R801" s="9"/>
      <c r="S801" s="11"/>
    </row>
    <row r="802" spans="1:19" ht="15" customHeight="1">
      <c r="A802" s="13">
        <v>65592</v>
      </c>
      <c r="B802" s="8">
        <f>CHOOSE( CONTROL!$C$33, 26.3243, 26.3228) * CHOOSE(CONTROL!$C$16, $D$10, 100%, $F$10)</f>
        <v>26.324300000000001</v>
      </c>
      <c r="C802" s="8">
        <f>CHOOSE( CONTROL!$C$33, 26.3323, 26.3308) * CHOOSE(CONTROL!$C$16, $D$10, 100%, $F$10)</f>
        <v>26.3323</v>
      </c>
      <c r="D802" s="8">
        <f>CHOOSE( CONTROL!$C$33, 26.355, 26.3534) * CHOOSE( CONTROL!$C$16, $D$10, 100%, $F$10)</f>
        <v>26.355</v>
      </c>
      <c r="E802" s="12">
        <f>CHOOSE( CONTROL!$C$33, 26.3456, 26.344) * CHOOSE( CONTROL!$C$16, $D$10, 100%, $F$10)</f>
        <v>26.345600000000001</v>
      </c>
      <c r="F802" s="4">
        <f>CHOOSE( CONTROL!$C$33, 27.1013, 27.0997) * CHOOSE(CONTROL!$C$16, $D$10, 100%, $F$10)</f>
        <v>27.101299999999998</v>
      </c>
      <c r="G802" s="8">
        <f>CHOOSE( CONTROL!$C$33, 26.0184, 26.0168) * CHOOSE( CONTROL!$C$16, $D$10, 100%, $F$10)</f>
        <v>26.0184</v>
      </c>
      <c r="H802" s="4">
        <f>CHOOSE( CONTROL!$C$33, 26.997, 26.9955) * CHOOSE(CONTROL!$C$16, $D$10, 100%, $F$10)</f>
        <v>26.997</v>
      </c>
      <c r="I802" s="8">
        <f>CHOOSE( CONTROL!$C$33, 25.6343, 25.6327) * CHOOSE(CONTROL!$C$16, $D$10, 100%, $F$10)</f>
        <v>25.6343</v>
      </c>
      <c r="J802" s="4">
        <f>CHOOSE( CONTROL!$C$33, 25.5045, 25.5029) * CHOOSE(CONTROL!$C$16, $D$10, 100%, $F$10)</f>
        <v>25.5045</v>
      </c>
      <c r="K802" s="4"/>
      <c r="L802" s="9">
        <v>30.7165</v>
      </c>
      <c r="M802" s="9">
        <v>12.063700000000001</v>
      </c>
      <c r="N802" s="9">
        <v>4.9444999999999997</v>
      </c>
      <c r="O802" s="9">
        <v>0.37409999999999999</v>
      </c>
      <c r="P802" s="9">
        <v>1.2927</v>
      </c>
      <c r="Q802" s="9">
        <v>19.688099999999999</v>
      </c>
      <c r="R802" s="9"/>
      <c r="S802" s="11"/>
    </row>
    <row r="803" spans="1:19" ht="15" customHeight="1">
      <c r="A803" s="13">
        <v>65623</v>
      </c>
      <c r="B803" s="8">
        <f>CHOOSE( CONTROL!$C$33, 24.2912, 24.2897) * CHOOSE(CONTROL!$C$16, $D$10, 100%, $F$10)</f>
        <v>24.2912</v>
      </c>
      <c r="C803" s="8">
        <f>CHOOSE( CONTROL!$C$33, 24.2992, 24.2977) * CHOOSE(CONTROL!$C$16, $D$10, 100%, $F$10)</f>
        <v>24.299199999999999</v>
      </c>
      <c r="D803" s="8">
        <f>CHOOSE( CONTROL!$C$33, 24.3219, 24.3203) * CHOOSE( CONTROL!$C$16, $D$10, 100%, $F$10)</f>
        <v>24.321899999999999</v>
      </c>
      <c r="E803" s="12">
        <f>CHOOSE( CONTROL!$C$33, 24.3125, 24.3109) * CHOOSE( CONTROL!$C$16, $D$10, 100%, $F$10)</f>
        <v>24.3125</v>
      </c>
      <c r="F803" s="4">
        <f>CHOOSE( CONTROL!$C$33, 25.0682, 25.0666) * CHOOSE(CONTROL!$C$16, $D$10, 100%, $F$10)</f>
        <v>25.068200000000001</v>
      </c>
      <c r="G803" s="8">
        <f>CHOOSE( CONTROL!$C$33, 24.0137, 24.0121) * CHOOSE( CONTROL!$C$16, $D$10, 100%, $F$10)</f>
        <v>24.0137</v>
      </c>
      <c r="H803" s="4">
        <f>CHOOSE( CONTROL!$C$33, 24.9923, 24.9907) * CHOOSE(CONTROL!$C$16, $D$10, 100%, $F$10)</f>
        <v>24.9923</v>
      </c>
      <c r="I803" s="8">
        <f>CHOOSE( CONTROL!$C$33, 23.6648, 23.6633) * CHOOSE(CONTROL!$C$16, $D$10, 100%, $F$10)</f>
        <v>23.6648</v>
      </c>
      <c r="J803" s="4">
        <f>CHOOSE( CONTROL!$C$33, 23.5358, 23.5343) * CHOOSE(CONTROL!$C$16, $D$10, 100%, $F$10)</f>
        <v>23.535799999999998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1.2927</v>
      </c>
      <c r="Q803" s="9">
        <v>19.688099999999999</v>
      </c>
      <c r="R803" s="9"/>
      <c r="S803" s="11"/>
    </row>
    <row r="804" spans="1:19" ht="15" customHeight="1">
      <c r="A804" s="13">
        <v>65653</v>
      </c>
      <c r="B804" s="8">
        <f>CHOOSE( CONTROL!$C$33, 23.7821, 23.7806) * CHOOSE(CONTROL!$C$16, $D$10, 100%, $F$10)</f>
        <v>23.7821</v>
      </c>
      <c r="C804" s="8">
        <f>CHOOSE( CONTROL!$C$33, 23.7901, 23.7886) * CHOOSE(CONTROL!$C$16, $D$10, 100%, $F$10)</f>
        <v>23.790099999999999</v>
      </c>
      <c r="D804" s="8">
        <f>CHOOSE( CONTROL!$C$33, 23.8127, 23.8111) * CHOOSE( CONTROL!$C$16, $D$10, 100%, $F$10)</f>
        <v>23.8127</v>
      </c>
      <c r="E804" s="12">
        <f>CHOOSE( CONTROL!$C$33, 23.8033, 23.8017) * CHOOSE( CONTROL!$C$16, $D$10, 100%, $F$10)</f>
        <v>23.8033</v>
      </c>
      <c r="F804" s="4">
        <f>CHOOSE( CONTROL!$C$33, 24.5591, 24.5575) * CHOOSE(CONTROL!$C$16, $D$10, 100%, $F$10)</f>
        <v>24.559100000000001</v>
      </c>
      <c r="G804" s="8">
        <f>CHOOSE( CONTROL!$C$33, 23.5116, 23.51) * CHOOSE( CONTROL!$C$16, $D$10, 100%, $F$10)</f>
        <v>23.511600000000001</v>
      </c>
      <c r="H804" s="4">
        <f>CHOOSE( CONTROL!$C$33, 24.4903, 24.4887) * CHOOSE(CONTROL!$C$16, $D$10, 100%, $F$10)</f>
        <v>24.490300000000001</v>
      </c>
      <c r="I804" s="8">
        <f>CHOOSE( CONTROL!$C$33, 23.1712, 23.1696) * CHOOSE(CONTROL!$C$16, $D$10, 100%, $F$10)</f>
        <v>23.171199999999999</v>
      </c>
      <c r="J804" s="4">
        <f>CHOOSE( CONTROL!$C$33, 23.0428, 23.0413) * CHOOSE(CONTROL!$C$16, $D$10, 100%, $F$10)</f>
        <v>23.0428</v>
      </c>
      <c r="K804" s="4"/>
      <c r="L804" s="9">
        <v>29.7257</v>
      </c>
      <c r="M804" s="9">
        <v>11.6745</v>
      </c>
      <c r="N804" s="9">
        <v>4.7850000000000001</v>
      </c>
      <c r="O804" s="9">
        <v>0.36199999999999999</v>
      </c>
      <c r="P804" s="9">
        <v>1.2509999999999999</v>
      </c>
      <c r="Q804" s="9">
        <v>19.053000000000001</v>
      </c>
      <c r="R804" s="9"/>
      <c r="S804" s="11"/>
    </row>
    <row r="805" spans="1:19" ht="15" customHeight="1">
      <c r="A805" s="13">
        <v>65684</v>
      </c>
      <c r="B805" s="8">
        <f>CHOOSE( CONTROL!$C$33, 24.8371, 24.8359) * CHOOSE(CONTROL!$C$16, $D$10, 100%, $F$10)</f>
        <v>24.8371</v>
      </c>
      <c r="C805" s="8">
        <f>CHOOSE( CONTROL!$C$33, 24.8424, 24.8413) * CHOOSE(CONTROL!$C$16, $D$10, 100%, $F$10)</f>
        <v>24.842400000000001</v>
      </c>
      <c r="D805" s="8">
        <f>CHOOSE( CONTROL!$C$33, 24.8712, 24.8701) * CHOOSE( CONTROL!$C$16, $D$10, 100%, $F$10)</f>
        <v>24.871200000000002</v>
      </c>
      <c r="E805" s="12">
        <f>CHOOSE( CONTROL!$C$33, 24.8611, 24.86) * CHOOSE( CONTROL!$C$16, $D$10, 100%, $F$10)</f>
        <v>24.8611</v>
      </c>
      <c r="F805" s="4">
        <f>CHOOSE( CONTROL!$C$33, 25.6157, 25.6146) * CHOOSE(CONTROL!$C$16, $D$10, 100%, $F$10)</f>
        <v>25.6157</v>
      </c>
      <c r="G805" s="8">
        <f>CHOOSE( CONTROL!$C$33, 24.5536, 24.5525) * CHOOSE( CONTROL!$C$16, $D$10, 100%, $F$10)</f>
        <v>24.553599999999999</v>
      </c>
      <c r="H805" s="4">
        <f>CHOOSE( CONTROL!$C$33, 25.5322, 25.5311) * CHOOSE(CONTROL!$C$16, $D$10, 100%, $F$10)</f>
        <v>25.5322</v>
      </c>
      <c r="I805" s="8">
        <f>CHOOSE( CONTROL!$C$33, 24.1954, 24.1943) * CHOOSE(CONTROL!$C$16, $D$10, 100%, $F$10)</f>
        <v>24.195399999999999</v>
      </c>
      <c r="J805" s="4">
        <f>CHOOSE( CONTROL!$C$33, 24.066, 24.0649) * CHOOSE(CONTROL!$C$16, $D$10, 100%, $F$10)</f>
        <v>24.065999999999999</v>
      </c>
      <c r="K805" s="4"/>
      <c r="L805" s="9">
        <v>31.095300000000002</v>
      </c>
      <c r="M805" s="9">
        <v>12.063700000000001</v>
      </c>
      <c r="N805" s="9">
        <v>4.9444999999999997</v>
      </c>
      <c r="O805" s="9">
        <v>0.37409999999999999</v>
      </c>
      <c r="P805" s="9">
        <v>1.2927</v>
      </c>
      <c r="Q805" s="9">
        <v>19.688099999999999</v>
      </c>
      <c r="R805" s="9"/>
      <c r="S805" s="11"/>
    </row>
    <row r="806" spans="1:19" ht="15" customHeight="1">
      <c r="A806" s="13">
        <v>65714</v>
      </c>
      <c r="B806" s="8">
        <f>CHOOSE( CONTROL!$C$33, 26.7878, 26.7867) * CHOOSE(CONTROL!$C$16, $D$10, 100%, $F$10)</f>
        <v>26.787800000000001</v>
      </c>
      <c r="C806" s="8">
        <f>CHOOSE( CONTROL!$C$33, 26.7929, 26.7918) * CHOOSE(CONTROL!$C$16, $D$10, 100%, $F$10)</f>
        <v>26.792899999999999</v>
      </c>
      <c r="D806" s="8">
        <f>CHOOSE( CONTROL!$C$33, 26.7726, 26.7715) * CHOOSE( CONTROL!$C$16, $D$10, 100%, $F$10)</f>
        <v>26.772600000000001</v>
      </c>
      <c r="E806" s="12">
        <f>CHOOSE( CONTROL!$C$33, 26.7795, 26.7784) * CHOOSE( CONTROL!$C$16, $D$10, 100%, $F$10)</f>
        <v>26.779499999999999</v>
      </c>
      <c r="F806" s="4">
        <f>CHOOSE( CONTROL!$C$33, 27.4507, 27.4496) * CHOOSE(CONTROL!$C$16, $D$10, 100%, $F$10)</f>
        <v>27.450700000000001</v>
      </c>
      <c r="G806" s="8">
        <f>CHOOSE( CONTROL!$C$33, 26.45, 26.4489) * CHOOSE( CONTROL!$C$16, $D$10, 100%, $F$10)</f>
        <v>26.45</v>
      </c>
      <c r="H806" s="4">
        <f>CHOOSE( CONTROL!$C$33, 27.3416, 27.3405) * CHOOSE(CONTROL!$C$16, $D$10, 100%, $F$10)</f>
        <v>27.3416</v>
      </c>
      <c r="I806" s="8">
        <f>CHOOSE( CONTROL!$C$33, 26.1334, 26.1324) * CHOOSE(CONTROL!$C$16, $D$10, 100%, $F$10)</f>
        <v>26.133400000000002</v>
      </c>
      <c r="J806" s="4">
        <f>CHOOSE( CONTROL!$C$33, 25.9553, 25.9542) * CHOOSE(CONTROL!$C$16, $D$10, 100%, $F$10)</f>
        <v>25.955300000000001</v>
      </c>
      <c r="K806" s="4"/>
      <c r="L806" s="9">
        <v>28.360600000000002</v>
      </c>
      <c r="M806" s="9">
        <v>11.6745</v>
      </c>
      <c r="N806" s="9">
        <v>4.7850000000000001</v>
      </c>
      <c r="O806" s="9">
        <v>0.36199999999999999</v>
      </c>
      <c r="P806" s="9">
        <v>1.2509999999999999</v>
      </c>
      <c r="Q806" s="9">
        <v>19.053000000000001</v>
      </c>
      <c r="R806" s="9"/>
      <c r="S806" s="11"/>
    </row>
    <row r="807" spans="1:19" ht="15" customHeight="1">
      <c r="A807" s="13">
        <v>65745</v>
      </c>
      <c r="B807" s="8">
        <f>CHOOSE( CONTROL!$C$33, 26.7391, 26.7379) * CHOOSE(CONTROL!$C$16, $D$10, 100%, $F$10)</f>
        <v>26.739100000000001</v>
      </c>
      <c r="C807" s="8">
        <f>CHOOSE( CONTROL!$C$33, 26.7442, 26.743) * CHOOSE(CONTROL!$C$16, $D$10, 100%, $F$10)</f>
        <v>26.744199999999999</v>
      </c>
      <c r="D807" s="8">
        <f>CHOOSE( CONTROL!$C$33, 26.7253, 26.7242) * CHOOSE( CONTROL!$C$16, $D$10, 100%, $F$10)</f>
        <v>26.725300000000001</v>
      </c>
      <c r="E807" s="12">
        <f>CHOOSE( CONTROL!$C$33, 26.7317, 26.7305) * CHOOSE( CONTROL!$C$16, $D$10, 100%, $F$10)</f>
        <v>26.7317</v>
      </c>
      <c r="F807" s="4">
        <f>CHOOSE( CONTROL!$C$33, 27.4019, 27.4008) * CHOOSE(CONTROL!$C$16, $D$10, 100%, $F$10)</f>
        <v>27.401900000000001</v>
      </c>
      <c r="G807" s="8">
        <f>CHOOSE( CONTROL!$C$33, 26.403, 26.4019) * CHOOSE( CONTROL!$C$16, $D$10, 100%, $F$10)</f>
        <v>26.402999999999999</v>
      </c>
      <c r="H807" s="4">
        <f>CHOOSE( CONTROL!$C$33, 27.2935, 27.2924) * CHOOSE(CONTROL!$C$16, $D$10, 100%, $F$10)</f>
        <v>27.293500000000002</v>
      </c>
      <c r="I807" s="8">
        <f>CHOOSE( CONTROL!$C$33, 26.0907, 26.0897) * CHOOSE(CONTROL!$C$16, $D$10, 100%, $F$10)</f>
        <v>26.090699999999998</v>
      </c>
      <c r="J807" s="4">
        <f>CHOOSE( CONTROL!$C$33, 25.9081, 25.907) * CHOOSE(CONTROL!$C$16, $D$10, 100%, $F$10)</f>
        <v>25.908100000000001</v>
      </c>
      <c r="K807" s="4"/>
      <c r="L807" s="9">
        <v>29.306000000000001</v>
      </c>
      <c r="M807" s="9">
        <v>12.063700000000001</v>
      </c>
      <c r="N807" s="9">
        <v>4.9444999999999997</v>
      </c>
      <c r="O807" s="9">
        <v>0.37409999999999999</v>
      </c>
      <c r="P807" s="9">
        <v>1.2927</v>
      </c>
      <c r="Q807" s="9">
        <v>19.688099999999999</v>
      </c>
      <c r="R807" s="9"/>
      <c r="S807" s="11"/>
    </row>
    <row r="808" spans="1:19" ht="15" customHeight="1">
      <c r="A808" s="13">
        <v>65776</v>
      </c>
      <c r="B808" s="8">
        <f>CHOOSE( CONTROL!$C$33, 27.5283, 27.5271) * CHOOSE(CONTROL!$C$16, $D$10, 100%, $F$10)</f>
        <v>27.528300000000002</v>
      </c>
      <c r="C808" s="8">
        <f>CHOOSE( CONTROL!$C$33, 27.5334, 27.5322) * CHOOSE(CONTROL!$C$16, $D$10, 100%, $F$10)</f>
        <v>27.5334</v>
      </c>
      <c r="D808" s="8">
        <f>CHOOSE( CONTROL!$C$33, 27.5257, 27.5246) * CHOOSE( CONTROL!$C$16, $D$10, 100%, $F$10)</f>
        <v>27.525700000000001</v>
      </c>
      <c r="E808" s="12">
        <f>CHOOSE( CONTROL!$C$33, 27.528, 27.5268) * CHOOSE( CONTROL!$C$16, $D$10, 100%, $F$10)</f>
        <v>27.527999999999999</v>
      </c>
      <c r="F808" s="4">
        <f>CHOOSE( CONTROL!$C$33, 28.1911, 28.19) * CHOOSE(CONTROL!$C$16, $D$10, 100%, $F$10)</f>
        <v>28.191099999999999</v>
      </c>
      <c r="G808" s="8">
        <f>CHOOSE( CONTROL!$C$33, 27.1871, 27.1859) * CHOOSE( CONTROL!$C$16, $D$10, 100%, $F$10)</f>
        <v>27.187100000000001</v>
      </c>
      <c r="H808" s="4">
        <f>CHOOSE( CONTROL!$C$33, 28.0717, 28.0706) * CHOOSE(CONTROL!$C$16, $D$10, 100%, $F$10)</f>
        <v>28.0717</v>
      </c>
      <c r="I808" s="8">
        <f>CHOOSE( CONTROL!$C$33, 26.8466, 26.8455) * CHOOSE(CONTROL!$C$16, $D$10, 100%, $F$10)</f>
        <v>26.846599999999999</v>
      </c>
      <c r="J808" s="4">
        <f>CHOOSE( CONTROL!$C$33, 26.6723, 26.6712) * CHOOSE(CONTROL!$C$16, $D$10, 100%, $F$10)</f>
        <v>26.6723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" customHeight="1">
      <c r="A809" s="13">
        <v>65805</v>
      </c>
      <c r="B809" s="8">
        <f>CHOOSE( CONTROL!$C$33, 25.7476, 25.7464) * CHOOSE(CONTROL!$C$16, $D$10, 100%, $F$10)</f>
        <v>25.747599999999998</v>
      </c>
      <c r="C809" s="8">
        <f>CHOOSE( CONTROL!$C$33, 25.7527, 25.7515) * CHOOSE(CONTROL!$C$16, $D$10, 100%, $F$10)</f>
        <v>25.752700000000001</v>
      </c>
      <c r="D809" s="8">
        <f>CHOOSE( CONTROL!$C$33, 25.7448, 25.7437) * CHOOSE( CONTROL!$C$16, $D$10, 100%, $F$10)</f>
        <v>25.744800000000001</v>
      </c>
      <c r="E809" s="12">
        <f>CHOOSE( CONTROL!$C$33, 25.7471, 25.746) * CHOOSE( CONTROL!$C$16, $D$10, 100%, $F$10)</f>
        <v>25.7471</v>
      </c>
      <c r="F809" s="4">
        <f>CHOOSE( CONTROL!$C$33, 26.4104, 26.4093) * CHOOSE(CONTROL!$C$16, $D$10, 100%, $F$10)</f>
        <v>26.410399999999999</v>
      </c>
      <c r="G809" s="8">
        <f>CHOOSE( CONTROL!$C$33, 25.4311, 25.43) * CHOOSE( CONTROL!$C$16, $D$10, 100%, $F$10)</f>
        <v>25.431100000000001</v>
      </c>
      <c r="H809" s="4">
        <f>CHOOSE( CONTROL!$C$33, 26.3158, 26.3147) * CHOOSE(CONTROL!$C$16, $D$10, 100%, $F$10)</f>
        <v>26.315799999999999</v>
      </c>
      <c r="I809" s="8">
        <f>CHOOSE( CONTROL!$C$33, 25.1209, 25.1198) * CHOOSE(CONTROL!$C$16, $D$10, 100%, $F$10)</f>
        <v>25.120899999999999</v>
      </c>
      <c r="J809" s="4">
        <f>CHOOSE( CONTROL!$C$33, 24.948, 24.9469) * CHOOSE(CONTROL!$C$16, $D$10, 100%, $F$10)</f>
        <v>24.948</v>
      </c>
      <c r="K809" s="4"/>
      <c r="L809" s="9">
        <v>27.415299999999998</v>
      </c>
      <c r="M809" s="9">
        <v>11.285299999999999</v>
      </c>
      <c r="N809" s="9">
        <v>4.6254999999999997</v>
      </c>
      <c r="O809" s="9">
        <v>0.34989999999999999</v>
      </c>
      <c r="P809" s="9">
        <v>1.2093</v>
      </c>
      <c r="Q809" s="9">
        <v>18.417899999999999</v>
      </c>
      <c r="R809" s="9"/>
      <c r="S809" s="11"/>
    </row>
    <row r="810" spans="1:19" ht="15" customHeight="1">
      <c r="A810" s="13">
        <v>65836</v>
      </c>
      <c r="B810" s="8">
        <f>CHOOSE( CONTROL!$C$33, 25.1991, 25.198) * CHOOSE(CONTROL!$C$16, $D$10, 100%, $F$10)</f>
        <v>25.199100000000001</v>
      </c>
      <c r="C810" s="8">
        <f>CHOOSE( CONTROL!$C$33, 25.2042, 25.2031) * CHOOSE(CONTROL!$C$16, $D$10, 100%, $F$10)</f>
        <v>25.2042</v>
      </c>
      <c r="D810" s="8">
        <f>CHOOSE( CONTROL!$C$33, 25.1957, 25.1945) * CHOOSE( CONTROL!$C$16, $D$10, 100%, $F$10)</f>
        <v>25.195699999999999</v>
      </c>
      <c r="E810" s="12">
        <f>CHOOSE( CONTROL!$C$33, 25.1983, 25.1971) * CHOOSE( CONTROL!$C$16, $D$10, 100%, $F$10)</f>
        <v>25.1983</v>
      </c>
      <c r="F810" s="4">
        <f>CHOOSE( CONTROL!$C$33, 25.862, 25.8609) * CHOOSE(CONTROL!$C$16, $D$10, 100%, $F$10)</f>
        <v>25.861999999999998</v>
      </c>
      <c r="G810" s="8">
        <f>CHOOSE( CONTROL!$C$33, 24.8897, 24.8886) * CHOOSE( CONTROL!$C$16, $D$10, 100%, $F$10)</f>
        <v>24.889700000000001</v>
      </c>
      <c r="H810" s="4">
        <f>CHOOSE( CONTROL!$C$33, 25.775, 25.7739) * CHOOSE(CONTROL!$C$16, $D$10, 100%, $F$10)</f>
        <v>25.774999999999999</v>
      </c>
      <c r="I810" s="8">
        <f>CHOOSE( CONTROL!$C$33, 24.5873, 24.5862) * CHOOSE(CONTROL!$C$16, $D$10, 100%, $F$10)</f>
        <v>24.587299999999999</v>
      </c>
      <c r="J810" s="4">
        <f>CHOOSE( CONTROL!$C$33, 24.417, 24.4159) * CHOOSE(CONTROL!$C$16, $D$10, 100%, $F$10)</f>
        <v>24.417000000000002</v>
      </c>
      <c r="K810" s="4"/>
      <c r="L810" s="9">
        <v>29.306000000000001</v>
      </c>
      <c r="M810" s="9">
        <v>12.063700000000001</v>
      </c>
      <c r="N810" s="9">
        <v>4.9444999999999997</v>
      </c>
      <c r="O810" s="9">
        <v>0.37409999999999999</v>
      </c>
      <c r="P810" s="9">
        <v>1.2927</v>
      </c>
      <c r="Q810" s="9">
        <v>19.688099999999999</v>
      </c>
      <c r="R810" s="9"/>
      <c r="S810" s="11"/>
    </row>
    <row r="811" spans="1:19" ht="15" customHeight="1">
      <c r="A811" s="13">
        <v>65866</v>
      </c>
      <c r="B811" s="8">
        <f>CHOOSE( CONTROL!$C$33, 25.5831, 25.582) * CHOOSE(CONTROL!$C$16, $D$10, 100%, $F$10)</f>
        <v>25.583100000000002</v>
      </c>
      <c r="C811" s="8">
        <f>CHOOSE( CONTROL!$C$33, 25.5877, 25.5865) * CHOOSE(CONTROL!$C$16, $D$10, 100%, $F$10)</f>
        <v>25.587700000000002</v>
      </c>
      <c r="D811" s="8">
        <f>CHOOSE( CONTROL!$C$33, 25.6165, 25.6154) * CHOOSE( CONTROL!$C$16, $D$10, 100%, $F$10)</f>
        <v>25.616499999999998</v>
      </c>
      <c r="E811" s="12">
        <f>CHOOSE( CONTROL!$C$33, 25.6065, 25.6053) * CHOOSE( CONTROL!$C$16, $D$10, 100%, $F$10)</f>
        <v>25.6065</v>
      </c>
      <c r="F811" s="4">
        <f>CHOOSE( CONTROL!$C$33, 26.3614, 26.3603) * CHOOSE(CONTROL!$C$16, $D$10, 100%, $F$10)</f>
        <v>26.3614</v>
      </c>
      <c r="G811" s="8">
        <f>CHOOSE( CONTROL!$C$33, 25.2886, 25.2875) * CHOOSE( CONTROL!$C$16, $D$10, 100%, $F$10)</f>
        <v>25.288599999999999</v>
      </c>
      <c r="H811" s="4">
        <f>CHOOSE( CONTROL!$C$33, 26.2675, 26.2664) * CHOOSE(CONTROL!$C$16, $D$10, 100%, $F$10)</f>
        <v>26.267499999999998</v>
      </c>
      <c r="I811" s="8">
        <f>CHOOSE( CONTROL!$C$33, 24.9165, 24.9154) * CHOOSE(CONTROL!$C$16, $D$10, 100%, $F$10)</f>
        <v>24.916499999999999</v>
      </c>
      <c r="J811" s="4">
        <f>CHOOSE( CONTROL!$C$33, 24.7881, 24.787) * CHOOSE(CONTROL!$C$16, $D$10, 100%, $F$10)</f>
        <v>24.7881</v>
      </c>
      <c r="K811" s="4"/>
      <c r="L811" s="9">
        <v>30.092199999999998</v>
      </c>
      <c r="M811" s="9">
        <v>11.6745</v>
      </c>
      <c r="N811" s="9">
        <v>4.7850000000000001</v>
      </c>
      <c r="O811" s="9">
        <v>0.36199999999999999</v>
      </c>
      <c r="P811" s="9">
        <v>1.2509999999999999</v>
      </c>
      <c r="Q811" s="9">
        <v>19.053000000000001</v>
      </c>
      <c r="R811" s="9"/>
      <c r="S811" s="11"/>
    </row>
    <row r="812" spans="1:19" ht="15" customHeight="1">
      <c r="A812" s="13">
        <v>65897</v>
      </c>
      <c r="B812" s="8">
        <f>CHOOSE( CONTROL!$C$33, 26.267, 26.2655) * CHOOSE(CONTROL!$C$16, $D$10, 100%, $F$10)</f>
        <v>26.266999999999999</v>
      </c>
      <c r="C812" s="8">
        <f>CHOOSE( CONTROL!$C$33, 26.275, 26.2734) * CHOOSE(CONTROL!$C$16, $D$10, 100%, $F$10)</f>
        <v>26.274999999999999</v>
      </c>
      <c r="D812" s="8">
        <f>CHOOSE( CONTROL!$C$33, 26.2972, 26.2957) * CHOOSE( CONTROL!$C$16, $D$10, 100%, $F$10)</f>
        <v>26.2972</v>
      </c>
      <c r="E812" s="12">
        <f>CHOOSE( CONTROL!$C$33, 26.2879, 26.2864) * CHOOSE( CONTROL!$C$16, $D$10, 100%, $F$10)</f>
        <v>26.2879</v>
      </c>
      <c r="F812" s="4">
        <f>CHOOSE( CONTROL!$C$33, 27.0439, 27.0424) * CHOOSE(CONTROL!$C$16, $D$10, 100%, $F$10)</f>
        <v>27.043900000000001</v>
      </c>
      <c r="G812" s="8">
        <f>CHOOSE( CONTROL!$C$33, 25.9615, 25.96) * CHOOSE( CONTROL!$C$16, $D$10, 100%, $F$10)</f>
        <v>25.961500000000001</v>
      </c>
      <c r="H812" s="4">
        <f>CHOOSE( CONTROL!$C$33, 26.9405, 26.9389) * CHOOSE(CONTROL!$C$16, $D$10, 100%, $F$10)</f>
        <v>26.9405</v>
      </c>
      <c r="I812" s="8">
        <f>CHOOSE( CONTROL!$C$33, 25.5774, 25.5759) * CHOOSE(CONTROL!$C$16, $D$10, 100%, $F$10)</f>
        <v>25.577400000000001</v>
      </c>
      <c r="J812" s="4">
        <f>CHOOSE( CONTROL!$C$33, 25.449, 25.4474) * CHOOSE(CONTROL!$C$16, $D$10, 100%, $F$10)</f>
        <v>25.449000000000002</v>
      </c>
      <c r="K812" s="4"/>
      <c r="L812" s="9">
        <v>30.7165</v>
      </c>
      <c r="M812" s="9">
        <v>12.063700000000001</v>
      </c>
      <c r="N812" s="9">
        <v>4.9444999999999997</v>
      </c>
      <c r="O812" s="9">
        <v>0.37409999999999999</v>
      </c>
      <c r="P812" s="9">
        <v>1.2927</v>
      </c>
      <c r="Q812" s="9">
        <v>19.688099999999999</v>
      </c>
      <c r="R812" s="9"/>
      <c r="S812" s="11"/>
    </row>
    <row r="813" spans="1:19" ht="15" customHeight="1">
      <c r="A813" s="13">
        <v>65927</v>
      </c>
      <c r="B813" s="8">
        <f>CHOOSE( CONTROL!$C$33, 25.8445, 25.8429) * CHOOSE(CONTROL!$C$16, $D$10, 100%, $F$10)</f>
        <v>25.8445</v>
      </c>
      <c r="C813" s="8">
        <f>CHOOSE( CONTROL!$C$33, 25.8525, 25.8509) * CHOOSE(CONTROL!$C$16, $D$10, 100%, $F$10)</f>
        <v>25.852499999999999</v>
      </c>
      <c r="D813" s="8">
        <f>CHOOSE( CONTROL!$C$33, 25.8749, 25.8733) * CHOOSE( CONTROL!$C$16, $D$10, 100%, $F$10)</f>
        <v>25.8749</v>
      </c>
      <c r="E813" s="12">
        <f>CHOOSE( CONTROL!$C$33, 25.8656, 25.864) * CHOOSE( CONTROL!$C$16, $D$10, 100%, $F$10)</f>
        <v>25.865600000000001</v>
      </c>
      <c r="F813" s="4">
        <f>CHOOSE( CONTROL!$C$33, 26.6214, 26.6198) * CHOOSE(CONTROL!$C$16, $D$10, 100%, $F$10)</f>
        <v>26.621400000000001</v>
      </c>
      <c r="G813" s="8">
        <f>CHOOSE( CONTROL!$C$33, 25.545, 25.5435) * CHOOSE( CONTROL!$C$16, $D$10, 100%, $F$10)</f>
        <v>25.545000000000002</v>
      </c>
      <c r="H813" s="4">
        <f>CHOOSE( CONTROL!$C$33, 26.5239, 26.5223) * CHOOSE(CONTROL!$C$16, $D$10, 100%, $F$10)</f>
        <v>26.523900000000001</v>
      </c>
      <c r="I813" s="8">
        <f>CHOOSE( CONTROL!$C$33, 25.1686, 25.1671) * CHOOSE(CONTROL!$C$16, $D$10, 100%, $F$10)</f>
        <v>25.168600000000001</v>
      </c>
      <c r="J813" s="4">
        <f>CHOOSE( CONTROL!$C$33, 25.0398, 25.0383) * CHOOSE(CONTROL!$C$16, $D$10, 100%, $F$10)</f>
        <v>25.0398</v>
      </c>
      <c r="K813" s="4"/>
      <c r="L813" s="9">
        <v>29.7257</v>
      </c>
      <c r="M813" s="9">
        <v>11.6745</v>
      </c>
      <c r="N813" s="9">
        <v>4.7850000000000001</v>
      </c>
      <c r="O813" s="9">
        <v>0.36199999999999999</v>
      </c>
      <c r="P813" s="9">
        <v>1.2509999999999999</v>
      </c>
      <c r="Q813" s="9">
        <v>19.053000000000001</v>
      </c>
      <c r="R813" s="9"/>
      <c r="S813" s="11"/>
    </row>
    <row r="814" spans="1:19" ht="15" customHeight="1">
      <c r="A814" s="13">
        <v>65958</v>
      </c>
      <c r="B814" s="8">
        <f>CHOOSE( CONTROL!$C$33, 26.9572, 26.9556) * CHOOSE(CONTROL!$C$16, $D$10, 100%, $F$10)</f>
        <v>26.9572</v>
      </c>
      <c r="C814" s="8">
        <f>CHOOSE( CONTROL!$C$33, 26.9652, 26.9636) * CHOOSE(CONTROL!$C$16, $D$10, 100%, $F$10)</f>
        <v>26.965199999999999</v>
      </c>
      <c r="D814" s="8">
        <f>CHOOSE( CONTROL!$C$33, 26.9878, 26.9862) * CHOOSE( CONTROL!$C$16, $D$10, 100%, $F$10)</f>
        <v>26.9878</v>
      </c>
      <c r="E814" s="12">
        <f>CHOOSE( CONTROL!$C$33, 26.9784, 26.9768) * CHOOSE( CONTROL!$C$16, $D$10, 100%, $F$10)</f>
        <v>26.978400000000001</v>
      </c>
      <c r="F814" s="4">
        <f>CHOOSE( CONTROL!$C$33, 27.7341, 27.7325) * CHOOSE(CONTROL!$C$16, $D$10, 100%, $F$10)</f>
        <v>27.734100000000002</v>
      </c>
      <c r="G814" s="8">
        <f>CHOOSE( CONTROL!$C$33, 26.6424, 26.6408) * CHOOSE( CONTROL!$C$16, $D$10, 100%, $F$10)</f>
        <v>26.642399999999999</v>
      </c>
      <c r="H814" s="4">
        <f>CHOOSE( CONTROL!$C$33, 27.621, 27.6195) * CHOOSE(CONTROL!$C$16, $D$10, 100%, $F$10)</f>
        <v>27.620999999999999</v>
      </c>
      <c r="I814" s="8">
        <f>CHOOSE( CONTROL!$C$33, 26.2473, 26.2458) * CHOOSE(CONTROL!$C$16, $D$10, 100%, $F$10)</f>
        <v>26.247299999999999</v>
      </c>
      <c r="J814" s="4">
        <f>CHOOSE( CONTROL!$C$33, 26.1172, 26.1157) * CHOOSE(CONTROL!$C$16, $D$10, 100%, $F$10)</f>
        <v>26.1172</v>
      </c>
      <c r="K814" s="4"/>
      <c r="L814" s="9">
        <v>30.7165</v>
      </c>
      <c r="M814" s="9">
        <v>12.063700000000001</v>
      </c>
      <c r="N814" s="9">
        <v>4.9444999999999997</v>
      </c>
      <c r="O814" s="9">
        <v>0.37409999999999999</v>
      </c>
      <c r="P814" s="9">
        <v>1.2927</v>
      </c>
      <c r="Q814" s="9">
        <v>19.688099999999999</v>
      </c>
      <c r="R814" s="9"/>
      <c r="S814" s="11"/>
    </row>
    <row r="815" spans="1:19" ht="15" customHeight="1">
      <c r="A815" s="13">
        <v>65989</v>
      </c>
      <c r="B815" s="8">
        <f>CHOOSE( CONTROL!$C$33, 24.8752, 24.8737) * CHOOSE(CONTROL!$C$16, $D$10, 100%, $F$10)</f>
        <v>24.8752</v>
      </c>
      <c r="C815" s="8">
        <f>CHOOSE( CONTROL!$C$33, 24.8832, 24.8817) * CHOOSE(CONTROL!$C$16, $D$10, 100%, $F$10)</f>
        <v>24.883199999999999</v>
      </c>
      <c r="D815" s="8">
        <f>CHOOSE( CONTROL!$C$33, 24.9059, 24.9043) * CHOOSE( CONTROL!$C$16, $D$10, 100%, $F$10)</f>
        <v>24.905899999999999</v>
      </c>
      <c r="E815" s="12">
        <f>CHOOSE( CONTROL!$C$33, 24.8965, 24.8949) * CHOOSE( CONTROL!$C$16, $D$10, 100%, $F$10)</f>
        <v>24.8965</v>
      </c>
      <c r="F815" s="4">
        <f>CHOOSE( CONTROL!$C$33, 25.6522, 25.6506) * CHOOSE(CONTROL!$C$16, $D$10, 100%, $F$10)</f>
        <v>25.652200000000001</v>
      </c>
      <c r="G815" s="8">
        <f>CHOOSE( CONTROL!$C$33, 24.5895, 24.588) * CHOOSE( CONTROL!$C$16, $D$10, 100%, $F$10)</f>
        <v>24.589500000000001</v>
      </c>
      <c r="H815" s="4">
        <f>CHOOSE( CONTROL!$C$33, 25.5681, 25.5666) * CHOOSE(CONTROL!$C$16, $D$10, 100%, $F$10)</f>
        <v>25.568100000000001</v>
      </c>
      <c r="I815" s="8">
        <f>CHOOSE( CONTROL!$C$33, 24.2306, 24.229) * CHOOSE(CONTROL!$C$16, $D$10, 100%, $F$10)</f>
        <v>24.230599999999999</v>
      </c>
      <c r="J815" s="4">
        <f>CHOOSE( CONTROL!$C$33, 24.1013, 24.0998) * CHOOSE(CONTROL!$C$16, $D$10, 100%, $F$10)</f>
        <v>24.101299999999998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1.2927</v>
      </c>
      <c r="Q815" s="9">
        <v>19.688099999999999</v>
      </c>
      <c r="R815" s="9"/>
      <c r="S815" s="11"/>
    </row>
    <row r="816" spans="1:19" ht="15" customHeight="1">
      <c r="A816" s="13">
        <v>66019</v>
      </c>
      <c r="B816" s="8">
        <f>CHOOSE( CONTROL!$C$33, 24.3539, 24.3523) * CHOOSE(CONTROL!$C$16, $D$10, 100%, $F$10)</f>
        <v>24.353899999999999</v>
      </c>
      <c r="C816" s="8">
        <f>CHOOSE( CONTROL!$C$33, 24.3619, 24.3603) * CHOOSE(CONTROL!$C$16, $D$10, 100%, $F$10)</f>
        <v>24.361899999999999</v>
      </c>
      <c r="D816" s="8">
        <f>CHOOSE( CONTROL!$C$33, 24.3844, 24.3829) * CHOOSE( CONTROL!$C$16, $D$10, 100%, $F$10)</f>
        <v>24.384399999999999</v>
      </c>
      <c r="E816" s="12">
        <f>CHOOSE( CONTROL!$C$33, 24.375, 24.3735) * CHOOSE( CONTROL!$C$16, $D$10, 100%, $F$10)</f>
        <v>24.375</v>
      </c>
      <c r="F816" s="4">
        <f>CHOOSE( CONTROL!$C$33, 25.1308, 25.1292) * CHOOSE(CONTROL!$C$16, $D$10, 100%, $F$10)</f>
        <v>25.130800000000001</v>
      </c>
      <c r="G816" s="8">
        <f>CHOOSE( CONTROL!$C$33, 24.0754, 24.0738) * CHOOSE( CONTROL!$C$16, $D$10, 100%, $F$10)</f>
        <v>24.075399999999998</v>
      </c>
      <c r="H816" s="4">
        <f>CHOOSE( CONTROL!$C$33, 25.0541, 25.0525) * CHOOSE(CONTROL!$C$16, $D$10, 100%, $F$10)</f>
        <v>25.054099999999998</v>
      </c>
      <c r="I816" s="8">
        <f>CHOOSE( CONTROL!$C$33, 23.7251, 23.7235) * CHOOSE(CONTROL!$C$16, $D$10, 100%, $F$10)</f>
        <v>23.725100000000001</v>
      </c>
      <c r="J816" s="4">
        <f>CHOOSE( CONTROL!$C$33, 23.5965, 23.5949) * CHOOSE(CONTROL!$C$16, $D$10, 100%, $F$10)</f>
        <v>23.596499999999999</v>
      </c>
      <c r="K816" s="4"/>
      <c r="L816" s="9">
        <v>29.7257</v>
      </c>
      <c r="M816" s="9">
        <v>11.6745</v>
      </c>
      <c r="N816" s="9">
        <v>4.7850000000000001</v>
      </c>
      <c r="O816" s="9">
        <v>0.36199999999999999</v>
      </c>
      <c r="P816" s="9">
        <v>1.2509999999999999</v>
      </c>
      <c r="Q816" s="9">
        <v>19.053000000000001</v>
      </c>
      <c r="R816" s="9"/>
      <c r="S816" s="11"/>
    </row>
    <row r="817" spans="1:19" ht="15" customHeight="1">
      <c r="A817" s="13">
        <v>66050</v>
      </c>
      <c r="B817" s="8">
        <f>CHOOSE( CONTROL!$C$33, 25.4342, 25.4331) * CHOOSE(CONTROL!$C$16, $D$10, 100%, $F$10)</f>
        <v>25.434200000000001</v>
      </c>
      <c r="C817" s="8">
        <f>CHOOSE( CONTROL!$C$33, 25.4396, 25.4384) * CHOOSE(CONTROL!$C$16, $D$10, 100%, $F$10)</f>
        <v>25.439599999999999</v>
      </c>
      <c r="D817" s="8">
        <f>CHOOSE( CONTROL!$C$33, 25.4683, 25.4672) * CHOOSE( CONTROL!$C$16, $D$10, 100%, $F$10)</f>
        <v>25.468299999999999</v>
      </c>
      <c r="E817" s="12">
        <f>CHOOSE( CONTROL!$C$33, 25.4583, 25.4571) * CHOOSE( CONTROL!$C$16, $D$10, 100%, $F$10)</f>
        <v>25.458300000000001</v>
      </c>
      <c r="F817" s="4">
        <f>CHOOSE( CONTROL!$C$33, 26.2128, 26.2117) * CHOOSE(CONTROL!$C$16, $D$10, 100%, $F$10)</f>
        <v>26.212800000000001</v>
      </c>
      <c r="G817" s="8">
        <f>CHOOSE( CONTROL!$C$33, 25.1424, 25.1413) * CHOOSE( CONTROL!$C$16, $D$10, 100%, $F$10)</f>
        <v>25.142399999999999</v>
      </c>
      <c r="H817" s="4">
        <f>CHOOSE( CONTROL!$C$33, 26.121, 26.1199) * CHOOSE(CONTROL!$C$16, $D$10, 100%, $F$10)</f>
        <v>26.120999999999999</v>
      </c>
      <c r="I817" s="8">
        <f>CHOOSE( CONTROL!$C$33, 24.7739, 24.7728) * CHOOSE(CONTROL!$C$16, $D$10, 100%, $F$10)</f>
        <v>24.773900000000001</v>
      </c>
      <c r="J817" s="4">
        <f>CHOOSE( CONTROL!$C$33, 24.6442, 24.6431) * CHOOSE(CONTROL!$C$16, $D$10, 100%, $F$10)</f>
        <v>24.644200000000001</v>
      </c>
      <c r="K817" s="4"/>
      <c r="L817" s="9">
        <v>31.095300000000002</v>
      </c>
      <c r="M817" s="9">
        <v>12.063700000000001</v>
      </c>
      <c r="N817" s="9">
        <v>4.9444999999999997</v>
      </c>
      <c r="O817" s="9">
        <v>0.37409999999999999</v>
      </c>
      <c r="P817" s="9">
        <v>1.2927</v>
      </c>
      <c r="Q817" s="9">
        <v>19.688099999999999</v>
      </c>
      <c r="R817" s="9"/>
      <c r="S817" s="11"/>
    </row>
    <row r="818" spans="1:19" ht="15" customHeight="1">
      <c r="A818" s="13">
        <v>66080</v>
      </c>
      <c r="B818" s="8">
        <f>CHOOSE( CONTROL!$C$33, 27.4318, 27.4307) * CHOOSE(CONTROL!$C$16, $D$10, 100%, $F$10)</f>
        <v>27.431799999999999</v>
      </c>
      <c r="C818" s="8">
        <f>CHOOSE( CONTROL!$C$33, 27.4369, 27.4358) * CHOOSE(CONTROL!$C$16, $D$10, 100%, $F$10)</f>
        <v>27.436900000000001</v>
      </c>
      <c r="D818" s="8">
        <f>CHOOSE( CONTROL!$C$33, 27.4166, 27.4155) * CHOOSE( CONTROL!$C$16, $D$10, 100%, $F$10)</f>
        <v>27.416599999999999</v>
      </c>
      <c r="E818" s="12">
        <f>CHOOSE( CONTROL!$C$33, 27.4235, 27.4224) * CHOOSE( CONTROL!$C$16, $D$10, 100%, $F$10)</f>
        <v>27.423500000000001</v>
      </c>
      <c r="F818" s="4">
        <f>CHOOSE( CONTROL!$C$33, 28.0947, 28.0936) * CHOOSE(CONTROL!$C$16, $D$10, 100%, $F$10)</f>
        <v>28.0947</v>
      </c>
      <c r="G818" s="8">
        <f>CHOOSE( CONTROL!$C$33, 27.0851, 27.084) * CHOOSE( CONTROL!$C$16, $D$10, 100%, $F$10)</f>
        <v>27.085100000000001</v>
      </c>
      <c r="H818" s="4">
        <f>CHOOSE( CONTROL!$C$33, 27.9766, 27.9755) * CHOOSE(CONTROL!$C$16, $D$10, 100%, $F$10)</f>
        <v>27.976600000000001</v>
      </c>
      <c r="I818" s="8">
        <f>CHOOSE( CONTROL!$C$33, 26.7574, 26.7563) * CHOOSE(CONTROL!$C$16, $D$10, 100%, $F$10)</f>
        <v>26.757400000000001</v>
      </c>
      <c r="J818" s="4">
        <f>CHOOSE( CONTROL!$C$33, 26.5789, 26.5778) * CHOOSE(CONTROL!$C$16, $D$10, 100%, $F$10)</f>
        <v>26.578900000000001</v>
      </c>
      <c r="K818" s="4"/>
      <c r="L818" s="9">
        <v>28.360600000000002</v>
      </c>
      <c r="M818" s="9">
        <v>11.6745</v>
      </c>
      <c r="N818" s="9">
        <v>4.7850000000000001</v>
      </c>
      <c r="O818" s="9">
        <v>0.36199999999999999</v>
      </c>
      <c r="P818" s="9">
        <v>1.2509999999999999</v>
      </c>
      <c r="Q818" s="9">
        <v>19.053000000000001</v>
      </c>
      <c r="R818" s="9"/>
      <c r="S818" s="11"/>
    </row>
    <row r="819" spans="1:19" ht="15" customHeight="1">
      <c r="A819" s="13">
        <v>66111</v>
      </c>
      <c r="B819" s="8">
        <f>CHOOSE( CONTROL!$C$33, 27.3819, 27.3808) * CHOOSE(CONTROL!$C$16, $D$10, 100%, $F$10)</f>
        <v>27.381900000000002</v>
      </c>
      <c r="C819" s="8">
        <f>CHOOSE( CONTROL!$C$33, 27.387, 27.3859) * CHOOSE(CONTROL!$C$16, $D$10, 100%, $F$10)</f>
        <v>27.387</v>
      </c>
      <c r="D819" s="8">
        <f>CHOOSE( CONTROL!$C$33, 27.3682, 27.367) * CHOOSE( CONTROL!$C$16, $D$10, 100%, $F$10)</f>
        <v>27.368200000000002</v>
      </c>
      <c r="E819" s="12">
        <f>CHOOSE( CONTROL!$C$33, 27.3745, 27.3734) * CHOOSE( CONTROL!$C$16, $D$10, 100%, $F$10)</f>
        <v>27.374500000000001</v>
      </c>
      <c r="F819" s="4">
        <f>CHOOSE( CONTROL!$C$33, 28.0448, 28.0437) * CHOOSE(CONTROL!$C$16, $D$10, 100%, $F$10)</f>
        <v>28.044799999999999</v>
      </c>
      <c r="G819" s="8">
        <f>CHOOSE( CONTROL!$C$33, 27.0369, 27.0358) * CHOOSE( CONTROL!$C$16, $D$10, 100%, $F$10)</f>
        <v>27.036899999999999</v>
      </c>
      <c r="H819" s="4">
        <f>CHOOSE( CONTROL!$C$33, 27.9274, 27.9263) * CHOOSE(CONTROL!$C$16, $D$10, 100%, $F$10)</f>
        <v>27.927399999999999</v>
      </c>
      <c r="I819" s="8">
        <f>CHOOSE( CONTROL!$C$33, 26.7135, 26.7124) * CHOOSE(CONTROL!$C$16, $D$10, 100%, $F$10)</f>
        <v>26.7135</v>
      </c>
      <c r="J819" s="4">
        <f>CHOOSE( CONTROL!$C$33, 26.5306, 26.5295) * CHOOSE(CONTROL!$C$16, $D$10, 100%, $F$10)</f>
        <v>26.5306</v>
      </c>
      <c r="K819" s="4"/>
      <c r="L819" s="9">
        <v>29.306000000000001</v>
      </c>
      <c r="M819" s="9">
        <v>12.063700000000001</v>
      </c>
      <c r="N819" s="9">
        <v>4.9444999999999997</v>
      </c>
      <c r="O819" s="9">
        <v>0.37409999999999999</v>
      </c>
      <c r="P819" s="9">
        <v>1.2927</v>
      </c>
      <c r="Q819" s="9">
        <v>19.688099999999999</v>
      </c>
      <c r="R819" s="9"/>
      <c r="S819" s="11"/>
    </row>
    <row r="820" spans="1:19" ht="15" customHeight="1">
      <c r="A820" s="13">
        <v>66142</v>
      </c>
      <c r="B820" s="8">
        <f>CHOOSE( CONTROL!$C$33, 28.1901, 28.189) * CHOOSE(CONTROL!$C$16, $D$10, 100%, $F$10)</f>
        <v>28.190100000000001</v>
      </c>
      <c r="C820" s="8">
        <f>CHOOSE( CONTROL!$C$33, 28.1952, 28.1941) * CHOOSE(CONTROL!$C$16, $D$10, 100%, $F$10)</f>
        <v>28.1952</v>
      </c>
      <c r="D820" s="8">
        <f>CHOOSE( CONTROL!$C$33, 28.1875, 28.1864) * CHOOSE( CONTROL!$C$16, $D$10, 100%, $F$10)</f>
        <v>28.1875</v>
      </c>
      <c r="E820" s="12">
        <f>CHOOSE( CONTROL!$C$33, 28.1898, 28.1887) * CHOOSE( CONTROL!$C$16, $D$10, 100%, $F$10)</f>
        <v>28.189800000000002</v>
      </c>
      <c r="F820" s="4">
        <f>CHOOSE( CONTROL!$C$33, 28.8529, 28.8518) * CHOOSE(CONTROL!$C$16, $D$10, 100%, $F$10)</f>
        <v>28.852900000000002</v>
      </c>
      <c r="G820" s="8">
        <f>CHOOSE( CONTROL!$C$33, 27.8396, 27.8385) * CHOOSE( CONTROL!$C$16, $D$10, 100%, $F$10)</f>
        <v>27.839600000000001</v>
      </c>
      <c r="H820" s="4">
        <f>CHOOSE( CONTROL!$C$33, 28.7243, 28.7232) * CHOOSE(CONTROL!$C$16, $D$10, 100%, $F$10)</f>
        <v>28.724299999999999</v>
      </c>
      <c r="I820" s="8">
        <f>CHOOSE( CONTROL!$C$33, 27.4877, 27.4866) * CHOOSE(CONTROL!$C$16, $D$10, 100%, $F$10)</f>
        <v>27.4877</v>
      </c>
      <c r="J820" s="4">
        <f>CHOOSE( CONTROL!$C$33, 27.3131, 27.312) * CHOOSE(CONTROL!$C$16, $D$10, 100%, $F$10)</f>
        <v>27.313099999999999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" customHeight="1">
      <c r="A821" s="13">
        <v>66170</v>
      </c>
      <c r="B821" s="8">
        <f>CHOOSE( CONTROL!$C$33, 26.3666, 26.3655) * CHOOSE(CONTROL!$C$16, $D$10, 100%, $F$10)</f>
        <v>26.366599999999998</v>
      </c>
      <c r="C821" s="8">
        <f>CHOOSE( CONTROL!$C$33, 26.3717, 26.3706) * CHOOSE(CONTROL!$C$16, $D$10, 100%, $F$10)</f>
        <v>26.371700000000001</v>
      </c>
      <c r="D821" s="8">
        <f>CHOOSE( CONTROL!$C$33, 26.3639, 26.3628) * CHOOSE( CONTROL!$C$16, $D$10, 100%, $F$10)</f>
        <v>26.363900000000001</v>
      </c>
      <c r="E821" s="12">
        <f>CHOOSE( CONTROL!$C$33, 26.3662, 26.3651) * CHOOSE( CONTROL!$C$16, $D$10, 100%, $F$10)</f>
        <v>26.366199999999999</v>
      </c>
      <c r="F821" s="4">
        <f>CHOOSE( CONTROL!$C$33, 27.0295, 27.0283) * CHOOSE(CONTROL!$C$16, $D$10, 100%, $F$10)</f>
        <v>27.029499999999999</v>
      </c>
      <c r="G821" s="8">
        <f>CHOOSE( CONTROL!$C$33, 26.0415, 26.0404) * CHOOSE( CONTROL!$C$16, $D$10, 100%, $F$10)</f>
        <v>26.041499999999999</v>
      </c>
      <c r="H821" s="4">
        <f>CHOOSE( CONTROL!$C$33, 26.9262, 26.9251) * CHOOSE(CONTROL!$C$16, $D$10, 100%, $F$10)</f>
        <v>26.926200000000001</v>
      </c>
      <c r="I821" s="8">
        <f>CHOOSE( CONTROL!$C$33, 25.7206, 25.7195) * CHOOSE(CONTROL!$C$16, $D$10, 100%, $F$10)</f>
        <v>25.720600000000001</v>
      </c>
      <c r="J821" s="4">
        <f>CHOOSE( CONTROL!$C$33, 25.5474, 25.5463) * CHOOSE(CONTROL!$C$16, $D$10, 100%, $F$10)</f>
        <v>25.5474</v>
      </c>
      <c r="K821" s="4"/>
      <c r="L821" s="9">
        <v>26.469899999999999</v>
      </c>
      <c r="M821" s="9">
        <v>10.8962</v>
      </c>
      <c r="N821" s="9">
        <v>4.4660000000000002</v>
      </c>
      <c r="O821" s="9">
        <v>0.33789999999999998</v>
      </c>
      <c r="P821" s="9">
        <v>1.1676</v>
      </c>
      <c r="Q821" s="9">
        <v>17.782800000000002</v>
      </c>
      <c r="R821" s="9"/>
      <c r="S821" s="11"/>
    </row>
    <row r="822" spans="1:19" ht="15" customHeight="1">
      <c r="A822" s="13">
        <v>66201</v>
      </c>
      <c r="B822" s="8">
        <f>CHOOSE( CONTROL!$C$33, 25.805, 25.8038) * CHOOSE(CONTROL!$C$16, $D$10, 100%, $F$10)</f>
        <v>25.805</v>
      </c>
      <c r="C822" s="8">
        <f>CHOOSE( CONTROL!$C$33, 25.8101, 25.8089) * CHOOSE(CONTROL!$C$16, $D$10, 100%, $F$10)</f>
        <v>25.810099999999998</v>
      </c>
      <c r="D822" s="8">
        <f>CHOOSE( CONTROL!$C$33, 25.8015, 25.8004) * CHOOSE( CONTROL!$C$16, $D$10, 100%, $F$10)</f>
        <v>25.801500000000001</v>
      </c>
      <c r="E822" s="12">
        <f>CHOOSE( CONTROL!$C$33, 25.8041, 25.803) * CHOOSE( CONTROL!$C$16, $D$10, 100%, $F$10)</f>
        <v>25.804099999999998</v>
      </c>
      <c r="F822" s="4">
        <f>CHOOSE( CONTROL!$C$33, 26.4678, 26.4667) * CHOOSE(CONTROL!$C$16, $D$10, 100%, $F$10)</f>
        <v>26.4678</v>
      </c>
      <c r="G822" s="8">
        <f>CHOOSE( CONTROL!$C$33, 25.4872, 25.486) * CHOOSE( CONTROL!$C$16, $D$10, 100%, $F$10)</f>
        <v>25.487200000000001</v>
      </c>
      <c r="H822" s="4">
        <f>CHOOSE( CONTROL!$C$33, 26.3724, 26.3713) * CHOOSE(CONTROL!$C$16, $D$10, 100%, $F$10)</f>
        <v>26.372399999999999</v>
      </c>
      <c r="I822" s="8">
        <f>CHOOSE( CONTROL!$C$33, 25.1742, 25.1731) * CHOOSE(CONTROL!$C$16, $D$10, 100%, $F$10)</f>
        <v>25.174199999999999</v>
      </c>
      <c r="J822" s="4">
        <f>CHOOSE( CONTROL!$C$33, 25.0036, 25.0025) * CHOOSE(CONTROL!$C$16, $D$10, 100%, $F$10)</f>
        <v>25.003599999999999</v>
      </c>
      <c r="K822" s="4"/>
      <c r="L822" s="9">
        <v>29.306000000000001</v>
      </c>
      <c r="M822" s="9">
        <v>12.063700000000001</v>
      </c>
      <c r="N822" s="9">
        <v>4.9444999999999997</v>
      </c>
      <c r="O822" s="9">
        <v>0.37409999999999999</v>
      </c>
      <c r="P822" s="9">
        <v>1.2927</v>
      </c>
      <c r="Q822" s="9">
        <v>19.688099999999999</v>
      </c>
      <c r="R822" s="9"/>
      <c r="S822" s="11"/>
    </row>
    <row r="823" spans="1:19" ht="15" customHeight="1">
      <c r="A823" s="13">
        <v>66231</v>
      </c>
      <c r="B823" s="8">
        <f>CHOOSE( CONTROL!$C$33, 26.1982, 26.1971) * CHOOSE(CONTROL!$C$16, $D$10, 100%, $F$10)</f>
        <v>26.1982</v>
      </c>
      <c r="C823" s="8">
        <f>CHOOSE( CONTROL!$C$33, 26.2027, 26.2016) * CHOOSE(CONTROL!$C$16, $D$10, 100%, $F$10)</f>
        <v>26.2027</v>
      </c>
      <c r="D823" s="8">
        <f>CHOOSE( CONTROL!$C$33, 26.2316, 26.2305) * CHOOSE( CONTROL!$C$16, $D$10, 100%, $F$10)</f>
        <v>26.2316</v>
      </c>
      <c r="E823" s="12">
        <f>CHOOSE( CONTROL!$C$33, 26.2215, 26.2204) * CHOOSE( CONTROL!$C$16, $D$10, 100%, $F$10)</f>
        <v>26.221499999999999</v>
      </c>
      <c r="F823" s="4">
        <f>CHOOSE( CONTROL!$C$33, 26.9765, 26.9754) * CHOOSE(CONTROL!$C$16, $D$10, 100%, $F$10)</f>
        <v>26.976500000000001</v>
      </c>
      <c r="G823" s="8">
        <f>CHOOSE( CONTROL!$C$33, 25.8951, 25.894) * CHOOSE( CONTROL!$C$16, $D$10, 100%, $F$10)</f>
        <v>25.895099999999999</v>
      </c>
      <c r="H823" s="4">
        <f>CHOOSE( CONTROL!$C$33, 26.874, 26.8729) * CHOOSE(CONTROL!$C$16, $D$10, 100%, $F$10)</f>
        <v>26.873999999999999</v>
      </c>
      <c r="I823" s="8">
        <f>CHOOSE( CONTROL!$C$33, 25.5124, 25.5113) * CHOOSE(CONTROL!$C$16, $D$10, 100%, $F$10)</f>
        <v>25.5124</v>
      </c>
      <c r="J823" s="4">
        <f>CHOOSE( CONTROL!$C$33, 25.3836, 25.3825) * CHOOSE(CONTROL!$C$16, $D$10, 100%, $F$10)</f>
        <v>25.383600000000001</v>
      </c>
      <c r="K823" s="4"/>
      <c r="L823" s="9">
        <v>30.092199999999998</v>
      </c>
      <c r="M823" s="9">
        <v>11.6745</v>
      </c>
      <c r="N823" s="9">
        <v>4.7850000000000001</v>
      </c>
      <c r="O823" s="9">
        <v>0.36199999999999999</v>
      </c>
      <c r="P823" s="9">
        <v>1.2509999999999999</v>
      </c>
      <c r="Q823" s="9">
        <v>19.053000000000001</v>
      </c>
      <c r="R823" s="9"/>
      <c r="S823" s="11"/>
    </row>
    <row r="824" spans="1:19" ht="15" customHeight="1">
      <c r="A824" s="13">
        <v>66262</v>
      </c>
      <c r="B824" s="8">
        <f>CHOOSE( CONTROL!$C$33, 26.8985, 26.8969) * CHOOSE(CONTROL!$C$16, $D$10, 100%, $F$10)</f>
        <v>26.898499999999999</v>
      </c>
      <c r="C824" s="8">
        <f>CHOOSE( CONTROL!$C$33, 26.9065, 26.9049) * CHOOSE(CONTROL!$C$16, $D$10, 100%, $F$10)</f>
        <v>26.906500000000001</v>
      </c>
      <c r="D824" s="8">
        <f>CHOOSE( CONTROL!$C$33, 26.9287, 26.9271) * CHOOSE( CONTROL!$C$16, $D$10, 100%, $F$10)</f>
        <v>26.928699999999999</v>
      </c>
      <c r="E824" s="12">
        <f>CHOOSE( CONTROL!$C$33, 26.9194, 26.9178) * CHOOSE( CONTROL!$C$16, $D$10, 100%, $F$10)</f>
        <v>26.9194</v>
      </c>
      <c r="F824" s="4">
        <f>CHOOSE( CONTROL!$C$33, 27.6754, 27.6738) * CHOOSE(CONTROL!$C$16, $D$10, 100%, $F$10)</f>
        <v>27.6754</v>
      </c>
      <c r="G824" s="8">
        <f>CHOOSE( CONTROL!$C$33, 26.5842, 26.5826) * CHOOSE( CONTROL!$C$16, $D$10, 100%, $F$10)</f>
        <v>26.584199999999999</v>
      </c>
      <c r="H824" s="4">
        <f>CHOOSE( CONTROL!$C$33, 27.5631, 27.5616) * CHOOSE(CONTROL!$C$16, $D$10, 100%, $F$10)</f>
        <v>27.563099999999999</v>
      </c>
      <c r="I824" s="8">
        <f>CHOOSE( CONTROL!$C$33, 26.1891, 26.1876) * CHOOSE(CONTROL!$C$16, $D$10, 100%, $F$10)</f>
        <v>26.1891</v>
      </c>
      <c r="J824" s="4">
        <f>CHOOSE( CONTROL!$C$33, 26.0604, 26.0589) * CHOOSE(CONTROL!$C$16, $D$10, 100%, $F$10)</f>
        <v>26.060400000000001</v>
      </c>
      <c r="K824" s="4"/>
      <c r="L824" s="9">
        <v>30.7165</v>
      </c>
      <c r="M824" s="9">
        <v>12.063700000000001</v>
      </c>
      <c r="N824" s="9">
        <v>4.9444999999999997</v>
      </c>
      <c r="O824" s="9">
        <v>0.37409999999999999</v>
      </c>
      <c r="P824" s="9">
        <v>1.2927</v>
      </c>
      <c r="Q824" s="9">
        <v>19.688099999999999</v>
      </c>
      <c r="R824" s="9"/>
      <c r="S824" s="11"/>
    </row>
    <row r="825" spans="1:19" ht="15" customHeight="1">
      <c r="A825" s="13">
        <v>66292</v>
      </c>
      <c r="B825" s="8">
        <f>CHOOSE( CONTROL!$C$33, 26.4658, 26.4642) * CHOOSE(CONTROL!$C$16, $D$10, 100%, $F$10)</f>
        <v>26.465800000000002</v>
      </c>
      <c r="C825" s="8">
        <f>CHOOSE( CONTROL!$C$33, 26.4738, 26.4722) * CHOOSE(CONTROL!$C$16, $D$10, 100%, $F$10)</f>
        <v>26.473800000000001</v>
      </c>
      <c r="D825" s="8">
        <f>CHOOSE( CONTROL!$C$33, 26.4962, 26.4946) * CHOOSE( CONTROL!$C$16, $D$10, 100%, $F$10)</f>
        <v>26.496200000000002</v>
      </c>
      <c r="E825" s="12">
        <f>CHOOSE( CONTROL!$C$33, 26.4869, 26.4853) * CHOOSE( CONTROL!$C$16, $D$10, 100%, $F$10)</f>
        <v>26.486899999999999</v>
      </c>
      <c r="F825" s="4">
        <f>CHOOSE( CONTROL!$C$33, 27.2427, 27.2411) * CHOOSE(CONTROL!$C$16, $D$10, 100%, $F$10)</f>
        <v>27.242699999999999</v>
      </c>
      <c r="G825" s="8">
        <f>CHOOSE( CONTROL!$C$33, 26.1577, 26.1561) * CHOOSE( CONTROL!$C$16, $D$10, 100%, $F$10)</f>
        <v>26.157699999999998</v>
      </c>
      <c r="H825" s="4">
        <f>CHOOSE( CONTROL!$C$33, 27.1365, 27.1349) * CHOOSE(CONTROL!$C$16, $D$10, 100%, $F$10)</f>
        <v>27.136500000000002</v>
      </c>
      <c r="I825" s="8">
        <f>CHOOSE( CONTROL!$C$33, 25.7705, 25.769) * CHOOSE(CONTROL!$C$16, $D$10, 100%, $F$10)</f>
        <v>25.770499999999998</v>
      </c>
      <c r="J825" s="4">
        <f>CHOOSE( CONTROL!$C$33, 25.6414, 25.6399) * CHOOSE(CONTROL!$C$16, $D$10, 100%, $F$10)</f>
        <v>25.641400000000001</v>
      </c>
      <c r="K825" s="4"/>
      <c r="L825" s="9">
        <v>29.7257</v>
      </c>
      <c r="M825" s="9">
        <v>11.6745</v>
      </c>
      <c r="N825" s="9">
        <v>4.7850000000000001</v>
      </c>
      <c r="O825" s="9">
        <v>0.36199999999999999</v>
      </c>
      <c r="P825" s="9">
        <v>1.2509999999999999</v>
      </c>
      <c r="Q825" s="9">
        <v>19.053000000000001</v>
      </c>
      <c r="R825" s="9"/>
      <c r="S825" s="11"/>
    </row>
    <row r="826" spans="1:19" ht="15" customHeight="1">
      <c r="A826" s="13">
        <v>66323</v>
      </c>
      <c r="B826" s="8">
        <f>CHOOSE( CONTROL!$C$33, 27.6052, 27.6036) * CHOOSE(CONTROL!$C$16, $D$10, 100%, $F$10)</f>
        <v>27.6052</v>
      </c>
      <c r="C826" s="8">
        <f>CHOOSE( CONTROL!$C$33, 27.6132, 27.6116) * CHOOSE(CONTROL!$C$16, $D$10, 100%, $F$10)</f>
        <v>27.613199999999999</v>
      </c>
      <c r="D826" s="8">
        <f>CHOOSE( CONTROL!$C$33, 27.6358, 27.6343) * CHOOSE( CONTROL!$C$16, $D$10, 100%, $F$10)</f>
        <v>27.6358</v>
      </c>
      <c r="E826" s="12">
        <f>CHOOSE( CONTROL!$C$33, 27.6264, 27.6249) * CHOOSE( CONTROL!$C$16, $D$10, 100%, $F$10)</f>
        <v>27.6264</v>
      </c>
      <c r="F826" s="4">
        <f>CHOOSE( CONTROL!$C$33, 28.3821, 28.3806) * CHOOSE(CONTROL!$C$16, $D$10, 100%, $F$10)</f>
        <v>28.382100000000001</v>
      </c>
      <c r="G826" s="8">
        <f>CHOOSE( CONTROL!$C$33, 27.2814, 27.2798) * CHOOSE( CONTROL!$C$16, $D$10, 100%, $F$10)</f>
        <v>27.281400000000001</v>
      </c>
      <c r="H826" s="4">
        <f>CHOOSE( CONTROL!$C$33, 28.26, 28.2585) * CHOOSE(CONTROL!$C$16, $D$10, 100%, $F$10)</f>
        <v>28.26</v>
      </c>
      <c r="I826" s="8">
        <f>CHOOSE( CONTROL!$C$33, 26.8752, 26.8736) * CHOOSE(CONTROL!$C$16, $D$10, 100%, $F$10)</f>
        <v>26.8752</v>
      </c>
      <c r="J826" s="4">
        <f>CHOOSE( CONTROL!$C$33, 26.7447, 26.7432) * CHOOSE(CONTROL!$C$16, $D$10, 100%, $F$10)</f>
        <v>26.744700000000002</v>
      </c>
      <c r="K826" s="4"/>
      <c r="L826" s="9">
        <v>30.7165</v>
      </c>
      <c r="M826" s="9">
        <v>12.063700000000001</v>
      </c>
      <c r="N826" s="9">
        <v>4.9444999999999997</v>
      </c>
      <c r="O826" s="9">
        <v>0.37409999999999999</v>
      </c>
      <c r="P826" s="9">
        <v>1.2927</v>
      </c>
      <c r="Q826" s="9">
        <v>19.688099999999999</v>
      </c>
      <c r="R826" s="9"/>
      <c r="S826" s="11"/>
    </row>
    <row r="827" spans="1:19" ht="15" customHeight="1">
      <c r="A827" s="13">
        <v>66354</v>
      </c>
      <c r="B827" s="8">
        <f>CHOOSE( CONTROL!$C$33, 25.4732, 25.4717) * CHOOSE(CONTROL!$C$16, $D$10, 100%, $F$10)</f>
        <v>25.473199999999999</v>
      </c>
      <c r="C827" s="8">
        <f>CHOOSE( CONTROL!$C$33, 25.4812, 25.4797) * CHOOSE(CONTROL!$C$16, $D$10, 100%, $F$10)</f>
        <v>25.481200000000001</v>
      </c>
      <c r="D827" s="8">
        <f>CHOOSE( CONTROL!$C$33, 25.5039, 25.5023) * CHOOSE( CONTROL!$C$16, $D$10, 100%, $F$10)</f>
        <v>25.503900000000002</v>
      </c>
      <c r="E827" s="12">
        <f>CHOOSE( CONTROL!$C$33, 25.4945, 25.4929) * CHOOSE( CONTROL!$C$16, $D$10, 100%, $F$10)</f>
        <v>25.494499999999999</v>
      </c>
      <c r="F827" s="4">
        <f>CHOOSE( CONTROL!$C$33, 26.2502, 26.2486) * CHOOSE(CONTROL!$C$16, $D$10, 100%, $F$10)</f>
        <v>26.2502</v>
      </c>
      <c r="G827" s="8">
        <f>CHOOSE( CONTROL!$C$33, 25.1792, 25.1776) * CHOOSE( CONTROL!$C$16, $D$10, 100%, $F$10)</f>
        <v>25.179200000000002</v>
      </c>
      <c r="H827" s="4">
        <f>CHOOSE( CONTROL!$C$33, 26.1578, 26.1562) * CHOOSE(CONTROL!$C$16, $D$10, 100%, $F$10)</f>
        <v>26.157800000000002</v>
      </c>
      <c r="I827" s="8">
        <f>CHOOSE( CONTROL!$C$33, 24.8099, 24.8084) * CHOOSE(CONTROL!$C$16, $D$10, 100%, $F$10)</f>
        <v>24.809899999999999</v>
      </c>
      <c r="J827" s="4">
        <f>CHOOSE( CONTROL!$C$33, 24.6803, 24.6788) * CHOOSE(CONTROL!$C$16, $D$10, 100%, $F$10)</f>
        <v>24.680299999999999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1.2927</v>
      </c>
      <c r="Q827" s="9">
        <v>19.688099999999999</v>
      </c>
      <c r="R827" s="9"/>
      <c r="S827" s="11"/>
    </row>
    <row r="828" spans="1:19" ht="15" customHeight="1">
      <c r="A828" s="13">
        <v>66384</v>
      </c>
      <c r="B828" s="8">
        <f>CHOOSE( CONTROL!$C$33, 24.9394, 24.9378) * CHOOSE(CONTROL!$C$16, $D$10, 100%, $F$10)</f>
        <v>24.939399999999999</v>
      </c>
      <c r="C828" s="8">
        <f>CHOOSE( CONTROL!$C$33, 24.9474, 24.9458) * CHOOSE(CONTROL!$C$16, $D$10, 100%, $F$10)</f>
        <v>24.947399999999998</v>
      </c>
      <c r="D828" s="8">
        <f>CHOOSE( CONTROL!$C$33, 24.9699, 24.9684) * CHOOSE( CONTROL!$C$16, $D$10, 100%, $F$10)</f>
        <v>24.969899999999999</v>
      </c>
      <c r="E828" s="12">
        <f>CHOOSE( CONTROL!$C$33, 24.9605, 24.959) * CHOOSE( CONTROL!$C$16, $D$10, 100%, $F$10)</f>
        <v>24.9605</v>
      </c>
      <c r="F828" s="4">
        <f>CHOOSE( CONTROL!$C$33, 25.7163, 25.7147) * CHOOSE(CONTROL!$C$16, $D$10, 100%, $F$10)</f>
        <v>25.7163</v>
      </c>
      <c r="G828" s="8">
        <f>CHOOSE( CONTROL!$C$33, 24.6527, 24.6511) * CHOOSE( CONTROL!$C$16, $D$10, 100%, $F$10)</f>
        <v>24.652699999999999</v>
      </c>
      <c r="H828" s="4">
        <f>CHOOSE( CONTROL!$C$33, 25.6314, 25.6298) * CHOOSE(CONTROL!$C$16, $D$10, 100%, $F$10)</f>
        <v>25.631399999999999</v>
      </c>
      <c r="I828" s="8">
        <f>CHOOSE( CONTROL!$C$33, 24.2923, 24.2908) * CHOOSE(CONTROL!$C$16, $D$10, 100%, $F$10)</f>
        <v>24.292300000000001</v>
      </c>
      <c r="J828" s="4">
        <f>CHOOSE( CONTROL!$C$33, 24.1634, 24.1619) * CHOOSE(CONTROL!$C$16, $D$10, 100%, $F$10)</f>
        <v>24.163399999999999</v>
      </c>
      <c r="K828" s="4"/>
      <c r="L828" s="9">
        <v>29.7257</v>
      </c>
      <c r="M828" s="9">
        <v>11.6745</v>
      </c>
      <c r="N828" s="9">
        <v>4.7850000000000001</v>
      </c>
      <c r="O828" s="9">
        <v>0.36199999999999999</v>
      </c>
      <c r="P828" s="9">
        <v>1.2509999999999999</v>
      </c>
      <c r="Q828" s="9">
        <v>19.053000000000001</v>
      </c>
      <c r="R828" s="9"/>
      <c r="S828" s="11"/>
    </row>
    <row r="829" spans="1:19" ht="15" customHeight="1">
      <c r="A829" s="13">
        <v>66415</v>
      </c>
      <c r="B829" s="8">
        <f>CHOOSE( CONTROL!$C$33, 26.0457, 26.0446) * CHOOSE(CONTROL!$C$16, $D$10, 100%, $F$10)</f>
        <v>26.0457</v>
      </c>
      <c r="C829" s="8">
        <f>CHOOSE( CONTROL!$C$33, 26.051, 26.0499) * CHOOSE(CONTROL!$C$16, $D$10, 100%, $F$10)</f>
        <v>26.050999999999998</v>
      </c>
      <c r="D829" s="8">
        <f>CHOOSE( CONTROL!$C$33, 26.0798, 26.0787) * CHOOSE( CONTROL!$C$16, $D$10, 100%, $F$10)</f>
        <v>26.079799999999999</v>
      </c>
      <c r="E829" s="12">
        <f>CHOOSE( CONTROL!$C$33, 26.0697, 26.0686) * CHOOSE( CONTROL!$C$16, $D$10, 100%, $F$10)</f>
        <v>26.069700000000001</v>
      </c>
      <c r="F829" s="4">
        <f>CHOOSE( CONTROL!$C$33, 26.8243, 26.8232) * CHOOSE(CONTROL!$C$16, $D$10, 100%, $F$10)</f>
        <v>26.824300000000001</v>
      </c>
      <c r="G829" s="8">
        <f>CHOOSE( CONTROL!$C$33, 25.7454, 25.7443) * CHOOSE( CONTROL!$C$16, $D$10, 100%, $F$10)</f>
        <v>25.7454</v>
      </c>
      <c r="H829" s="4">
        <f>CHOOSE( CONTROL!$C$33, 26.724, 26.7228) * CHOOSE(CONTROL!$C$16, $D$10, 100%, $F$10)</f>
        <v>26.724</v>
      </c>
      <c r="I829" s="8">
        <f>CHOOSE( CONTROL!$C$33, 25.3663, 25.3652) * CHOOSE(CONTROL!$C$16, $D$10, 100%, $F$10)</f>
        <v>25.366299999999999</v>
      </c>
      <c r="J829" s="4">
        <f>CHOOSE( CONTROL!$C$33, 25.2363, 25.2352) * CHOOSE(CONTROL!$C$16, $D$10, 100%, $F$10)</f>
        <v>25.2363</v>
      </c>
      <c r="K829" s="4"/>
      <c r="L829" s="9">
        <v>31.095300000000002</v>
      </c>
      <c r="M829" s="9">
        <v>12.063700000000001</v>
      </c>
      <c r="N829" s="9">
        <v>4.9444999999999997</v>
      </c>
      <c r="O829" s="9">
        <v>0.37409999999999999</v>
      </c>
      <c r="P829" s="9">
        <v>1.2927</v>
      </c>
      <c r="Q829" s="9">
        <v>19.688099999999999</v>
      </c>
      <c r="R829" s="9"/>
      <c r="S829" s="11"/>
    </row>
    <row r="830" spans="1:19" ht="15" customHeight="1">
      <c r="A830" s="13">
        <v>66445</v>
      </c>
      <c r="B830" s="8">
        <f>CHOOSE( CONTROL!$C$33, 28.0913, 28.0902) * CHOOSE(CONTROL!$C$16, $D$10, 100%, $F$10)</f>
        <v>28.0913</v>
      </c>
      <c r="C830" s="8">
        <f>CHOOSE( CONTROL!$C$33, 28.0964, 28.0953) * CHOOSE(CONTROL!$C$16, $D$10, 100%, $F$10)</f>
        <v>28.096399999999999</v>
      </c>
      <c r="D830" s="8">
        <f>CHOOSE( CONTROL!$C$33, 28.0761, 28.075) * CHOOSE( CONTROL!$C$16, $D$10, 100%, $F$10)</f>
        <v>28.0761</v>
      </c>
      <c r="E830" s="12">
        <f>CHOOSE( CONTROL!$C$33, 28.083, 28.0819) * CHOOSE( CONTROL!$C$16, $D$10, 100%, $F$10)</f>
        <v>28.082999999999998</v>
      </c>
      <c r="F830" s="4">
        <f>CHOOSE( CONTROL!$C$33, 28.7542, 28.7531) * CHOOSE(CONTROL!$C$16, $D$10, 100%, $F$10)</f>
        <v>28.754200000000001</v>
      </c>
      <c r="G830" s="8">
        <f>CHOOSE( CONTROL!$C$33, 27.7354, 27.7343) * CHOOSE( CONTROL!$C$16, $D$10, 100%, $F$10)</f>
        <v>27.735399999999998</v>
      </c>
      <c r="H830" s="4">
        <f>CHOOSE( CONTROL!$C$33, 28.6269, 28.6258) * CHOOSE(CONTROL!$C$16, $D$10, 100%, $F$10)</f>
        <v>28.626899999999999</v>
      </c>
      <c r="I830" s="8">
        <f>CHOOSE( CONTROL!$C$33, 27.3963, 27.3952) * CHOOSE(CONTROL!$C$16, $D$10, 100%, $F$10)</f>
        <v>27.3963</v>
      </c>
      <c r="J830" s="4">
        <f>CHOOSE( CONTROL!$C$33, 27.2175, 27.2164) * CHOOSE(CONTROL!$C$16, $D$10, 100%, $F$10)</f>
        <v>27.217500000000001</v>
      </c>
      <c r="K830" s="4"/>
      <c r="L830" s="9">
        <v>28.360600000000002</v>
      </c>
      <c r="M830" s="9">
        <v>11.6745</v>
      </c>
      <c r="N830" s="9">
        <v>4.7850000000000001</v>
      </c>
      <c r="O830" s="9">
        <v>0.36199999999999999</v>
      </c>
      <c r="P830" s="9">
        <v>1.2509999999999999</v>
      </c>
      <c r="Q830" s="9">
        <v>19.053000000000001</v>
      </c>
      <c r="R830" s="9"/>
      <c r="S830" s="11"/>
    </row>
    <row r="831" spans="1:19" ht="15" customHeight="1">
      <c r="A831" s="13">
        <v>66476</v>
      </c>
      <c r="B831" s="8">
        <f>CHOOSE( CONTROL!$C$33, 28.0402, 28.0391) * CHOOSE(CONTROL!$C$16, $D$10, 100%, $F$10)</f>
        <v>28.040199999999999</v>
      </c>
      <c r="C831" s="8">
        <f>CHOOSE( CONTROL!$C$33, 28.0453, 28.0442) * CHOOSE(CONTROL!$C$16, $D$10, 100%, $F$10)</f>
        <v>28.045300000000001</v>
      </c>
      <c r="D831" s="8">
        <f>CHOOSE( CONTROL!$C$33, 28.0265, 28.0253) * CHOOSE( CONTROL!$C$16, $D$10, 100%, $F$10)</f>
        <v>28.026499999999999</v>
      </c>
      <c r="E831" s="12">
        <f>CHOOSE( CONTROL!$C$33, 28.0328, 28.0317) * CHOOSE( CONTROL!$C$16, $D$10, 100%, $F$10)</f>
        <v>28.032800000000002</v>
      </c>
      <c r="F831" s="4">
        <f>CHOOSE( CONTROL!$C$33, 28.7031, 28.702) * CHOOSE(CONTROL!$C$16, $D$10, 100%, $F$10)</f>
        <v>28.703099999999999</v>
      </c>
      <c r="G831" s="8">
        <f>CHOOSE( CONTROL!$C$33, 27.686, 27.6849) * CHOOSE( CONTROL!$C$16, $D$10, 100%, $F$10)</f>
        <v>27.686</v>
      </c>
      <c r="H831" s="4">
        <f>CHOOSE( CONTROL!$C$33, 28.5765, 28.5754) * CHOOSE(CONTROL!$C$16, $D$10, 100%, $F$10)</f>
        <v>28.576499999999999</v>
      </c>
      <c r="I831" s="8">
        <f>CHOOSE( CONTROL!$C$33, 27.3513, 27.3502) * CHOOSE(CONTROL!$C$16, $D$10, 100%, $F$10)</f>
        <v>27.351299999999998</v>
      </c>
      <c r="J831" s="4">
        <f>CHOOSE( CONTROL!$C$33, 27.168, 27.1669) * CHOOSE(CONTROL!$C$16, $D$10, 100%, $F$10)</f>
        <v>27.167999999999999</v>
      </c>
      <c r="K831" s="4"/>
      <c r="L831" s="9">
        <v>29.306000000000001</v>
      </c>
      <c r="M831" s="9">
        <v>12.063700000000001</v>
      </c>
      <c r="N831" s="9">
        <v>4.9444999999999997</v>
      </c>
      <c r="O831" s="9">
        <v>0.37409999999999999</v>
      </c>
      <c r="P831" s="9">
        <v>1.2927</v>
      </c>
      <c r="Q831" s="9">
        <v>19.688099999999999</v>
      </c>
      <c r="R831" s="9"/>
      <c r="S831" s="11"/>
    </row>
    <row r="832" spans="1:19" ht="15" customHeight="1">
      <c r="A832" s="13">
        <v>66507</v>
      </c>
      <c r="B832" s="8">
        <f>CHOOSE( CONTROL!$C$33, 28.8678, 28.8667) * CHOOSE(CONTROL!$C$16, $D$10, 100%, $F$10)</f>
        <v>28.867799999999999</v>
      </c>
      <c r="C832" s="8">
        <f>CHOOSE( CONTROL!$C$33, 28.8729, 28.8718) * CHOOSE(CONTROL!$C$16, $D$10, 100%, $F$10)</f>
        <v>28.872900000000001</v>
      </c>
      <c r="D832" s="8">
        <f>CHOOSE( CONTROL!$C$33, 28.8653, 28.8641) * CHOOSE( CONTROL!$C$16, $D$10, 100%, $F$10)</f>
        <v>28.865300000000001</v>
      </c>
      <c r="E832" s="12">
        <f>CHOOSE( CONTROL!$C$33, 28.8675, 28.8664) * CHOOSE( CONTROL!$C$16, $D$10, 100%, $F$10)</f>
        <v>28.8675</v>
      </c>
      <c r="F832" s="4">
        <f>CHOOSE( CONTROL!$C$33, 29.5307, 29.5295) * CHOOSE(CONTROL!$C$16, $D$10, 100%, $F$10)</f>
        <v>29.5307</v>
      </c>
      <c r="G832" s="8">
        <f>CHOOSE( CONTROL!$C$33, 28.5079, 28.5068) * CHOOSE( CONTROL!$C$16, $D$10, 100%, $F$10)</f>
        <v>28.507899999999999</v>
      </c>
      <c r="H832" s="4">
        <f>CHOOSE( CONTROL!$C$33, 29.3925, 29.3914) * CHOOSE(CONTROL!$C$16, $D$10, 100%, $F$10)</f>
        <v>29.392499999999998</v>
      </c>
      <c r="I832" s="8">
        <f>CHOOSE( CONTROL!$C$33, 28.1443, 28.1432) * CHOOSE(CONTROL!$C$16, $D$10, 100%, $F$10)</f>
        <v>28.144300000000001</v>
      </c>
      <c r="J832" s="4">
        <f>CHOOSE( CONTROL!$C$33, 27.9693, 27.9683) * CHOOSE(CONTROL!$C$16, $D$10, 100%, $F$10)</f>
        <v>27.9693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" customHeight="1">
      <c r="A833" s="13">
        <v>66535</v>
      </c>
      <c r="B833" s="8">
        <f>CHOOSE( CONTROL!$C$33, 27.0005, 26.9994) * CHOOSE(CONTROL!$C$16, $D$10, 100%, $F$10)</f>
        <v>27.000499999999999</v>
      </c>
      <c r="C833" s="8">
        <f>CHOOSE( CONTROL!$C$33, 27.0056, 27.0045) * CHOOSE(CONTROL!$C$16, $D$10, 100%, $F$10)</f>
        <v>27.005600000000001</v>
      </c>
      <c r="D833" s="8">
        <f>CHOOSE( CONTROL!$C$33, 26.9978, 26.9967) * CHOOSE( CONTROL!$C$16, $D$10, 100%, $F$10)</f>
        <v>26.997800000000002</v>
      </c>
      <c r="E833" s="12">
        <f>CHOOSE( CONTROL!$C$33, 27.0001, 26.999) * CHOOSE( CONTROL!$C$16, $D$10, 100%, $F$10)</f>
        <v>27.0001</v>
      </c>
      <c r="F833" s="4">
        <f>CHOOSE( CONTROL!$C$33, 27.6634, 27.6623) * CHOOSE(CONTROL!$C$16, $D$10, 100%, $F$10)</f>
        <v>27.663399999999999</v>
      </c>
      <c r="G833" s="8">
        <f>CHOOSE( CONTROL!$C$33, 26.6665, 26.6654) * CHOOSE( CONTROL!$C$16, $D$10, 100%, $F$10)</f>
        <v>26.666499999999999</v>
      </c>
      <c r="H833" s="4">
        <f>CHOOSE( CONTROL!$C$33, 27.5513, 27.5502) * CHOOSE(CONTROL!$C$16, $D$10, 100%, $F$10)</f>
        <v>27.551300000000001</v>
      </c>
      <c r="I833" s="8">
        <f>CHOOSE( CONTROL!$C$33, 26.3347, 26.3336) * CHOOSE(CONTROL!$C$16, $D$10, 100%, $F$10)</f>
        <v>26.334700000000002</v>
      </c>
      <c r="J833" s="4">
        <f>CHOOSE( CONTROL!$C$33, 26.1612, 26.1602) * CHOOSE(CONTROL!$C$16, $D$10, 100%, $F$10)</f>
        <v>26.161200000000001</v>
      </c>
      <c r="K833" s="4"/>
      <c r="L833" s="9">
        <v>26.469899999999999</v>
      </c>
      <c r="M833" s="9">
        <v>10.8962</v>
      </c>
      <c r="N833" s="9">
        <v>4.4660000000000002</v>
      </c>
      <c r="O833" s="9">
        <v>0.33789999999999998</v>
      </c>
      <c r="P833" s="9">
        <v>1.1676</v>
      </c>
      <c r="Q833" s="9">
        <v>17.782800000000002</v>
      </c>
      <c r="R833" s="9"/>
      <c r="S833" s="11"/>
    </row>
    <row r="834" spans="1:19" ht="15" customHeight="1">
      <c r="A834" s="13">
        <v>66566</v>
      </c>
      <c r="B834" s="8">
        <f>CHOOSE( CONTROL!$C$33, 26.4254, 26.4243) * CHOOSE(CONTROL!$C$16, $D$10, 100%, $F$10)</f>
        <v>26.4254</v>
      </c>
      <c r="C834" s="8">
        <f>CHOOSE( CONTROL!$C$33, 26.4305, 26.4294) * CHOOSE(CONTROL!$C$16, $D$10, 100%, $F$10)</f>
        <v>26.430499999999999</v>
      </c>
      <c r="D834" s="8">
        <f>CHOOSE( CONTROL!$C$33, 26.4219, 26.4208) * CHOOSE( CONTROL!$C$16, $D$10, 100%, $F$10)</f>
        <v>26.421900000000001</v>
      </c>
      <c r="E834" s="12">
        <f>CHOOSE( CONTROL!$C$33, 26.4245, 26.4234) * CHOOSE( CONTROL!$C$16, $D$10, 100%, $F$10)</f>
        <v>26.424499999999998</v>
      </c>
      <c r="F834" s="4">
        <f>CHOOSE( CONTROL!$C$33, 27.0883, 27.0871) * CHOOSE(CONTROL!$C$16, $D$10, 100%, $F$10)</f>
        <v>27.0883</v>
      </c>
      <c r="G834" s="8">
        <f>CHOOSE( CONTROL!$C$33, 26.0989, 26.0978) * CHOOSE( CONTROL!$C$16, $D$10, 100%, $F$10)</f>
        <v>26.0989</v>
      </c>
      <c r="H834" s="4">
        <f>CHOOSE( CONTROL!$C$33, 26.9842, 26.9831) * CHOOSE(CONTROL!$C$16, $D$10, 100%, $F$10)</f>
        <v>26.984200000000001</v>
      </c>
      <c r="I834" s="8">
        <f>CHOOSE( CONTROL!$C$33, 25.7753, 25.7742) * CHOOSE(CONTROL!$C$16, $D$10, 100%, $F$10)</f>
        <v>25.775300000000001</v>
      </c>
      <c r="J834" s="4">
        <f>CHOOSE( CONTROL!$C$33, 25.6044, 25.6033) * CHOOSE(CONTROL!$C$16, $D$10, 100%, $F$10)</f>
        <v>25.604399999999998</v>
      </c>
      <c r="K834" s="4"/>
      <c r="L834" s="9">
        <v>29.306000000000001</v>
      </c>
      <c r="M834" s="9">
        <v>12.063700000000001</v>
      </c>
      <c r="N834" s="9">
        <v>4.9444999999999997</v>
      </c>
      <c r="O834" s="9">
        <v>0.37409999999999999</v>
      </c>
      <c r="P834" s="9">
        <v>1.2927</v>
      </c>
      <c r="Q834" s="9">
        <v>19.688099999999999</v>
      </c>
      <c r="R834" s="9"/>
      <c r="S834" s="11"/>
    </row>
    <row r="835" spans="1:19" ht="15" customHeight="1">
      <c r="A835" s="13">
        <v>66596</v>
      </c>
      <c r="B835" s="8">
        <f>CHOOSE( CONTROL!$C$33, 26.828, 26.8269) * CHOOSE(CONTROL!$C$16, $D$10, 100%, $F$10)</f>
        <v>26.827999999999999</v>
      </c>
      <c r="C835" s="8">
        <f>CHOOSE( CONTROL!$C$33, 26.8326, 26.8314) * CHOOSE(CONTROL!$C$16, $D$10, 100%, $F$10)</f>
        <v>26.832599999999999</v>
      </c>
      <c r="D835" s="8">
        <f>CHOOSE( CONTROL!$C$33, 26.8614, 26.8603) * CHOOSE( CONTROL!$C$16, $D$10, 100%, $F$10)</f>
        <v>26.8614</v>
      </c>
      <c r="E835" s="12">
        <f>CHOOSE( CONTROL!$C$33, 26.8514, 26.8502) * CHOOSE( CONTROL!$C$16, $D$10, 100%, $F$10)</f>
        <v>26.851400000000002</v>
      </c>
      <c r="F835" s="4">
        <f>CHOOSE( CONTROL!$C$33, 27.6063, 27.6052) * CHOOSE(CONTROL!$C$16, $D$10, 100%, $F$10)</f>
        <v>27.606300000000001</v>
      </c>
      <c r="G835" s="8">
        <f>CHOOSE( CONTROL!$C$33, 26.5161, 26.515) * CHOOSE( CONTROL!$C$16, $D$10, 100%, $F$10)</f>
        <v>26.516100000000002</v>
      </c>
      <c r="H835" s="4">
        <f>CHOOSE( CONTROL!$C$33, 27.495, 27.4939) * CHOOSE(CONTROL!$C$16, $D$10, 100%, $F$10)</f>
        <v>27.495000000000001</v>
      </c>
      <c r="I835" s="8">
        <f>CHOOSE( CONTROL!$C$33, 26.1226, 26.1215) * CHOOSE(CONTROL!$C$16, $D$10, 100%, $F$10)</f>
        <v>26.122599999999998</v>
      </c>
      <c r="J835" s="4">
        <f>CHOOSE( CONTROL!$C$33, 25.9935, 25.9924) * CHOOSE(CONTROL!$C$16, $D$10, 100%, $F$10)</f>
        <v>25.993500000000001</v>
      </c>
      <c r="K835" s="4"/>
      <c r="L835" s="9">
        <v>30.092199999999998</v>
      </c>
      <c r="M835" s="9">
        <v>11.6745</v>
      </c>
      <c r="N835" s="9">
        <v>4.7850000000000001</v>
      </c>
      <c r="O835" s="9">
        <v>0.36199999999999999</v>
      </c>
      <c r="P835" s="9">
        <v>1.2509999999999999</v>
      </c>
      <c r="Q835" s="9">
        <v>19.053000000000001</v>
      </c>
      <c r="R835" s="9"/>
      <c r="S835" s="11"/>
    </row>
    <row r="836" spans="1:19" ht="15" customHeight="1">
      <c r="A836" s="13">
        <v>66627</v>
      </c>
      <c r="B836" s="8">
        <f>CHOOSE( CONTROL!$C$33, 27.5451, 27.5435) * CHOOSE(CONTROL!$C$16, $D$10, 100%, $F$10)</f>
        <v>27.545100000000001</v>
      </c>
      <c r="C836" s="8">
        <f>CHOOSE( CONTROL!$C$33, 27.5531, 27.5515) * CHOOSE(CONTROL!$C$16, $D$10, 100%, $F$10)</f>
        <v>27.553100000000001</v>
      </c>
      <c r="D836" s="8">
        <f>CHOOSE( CONTROL!$C$33, 27.5753, 27.5738) * CHOOSE( CONTROL!$C$16, $D$10, 100%, $F$10)</f>
        <v>27.575299999999999</v>
      </c>
      <c r="E836" s="12">
        <f>CHOOSE( CONTROL!$C$33, 27.566, 27.5645) * CHOOSE( CONTROL!$C$16, $D$10, 100%, $F$10)</f>
        <v>27.565999999999999</v>
      </c>
      <c r="F836" s="4">
        <f>CHOOSE( CONTROL!$C$33, 28.322, 28.3205) * CHOOSE(CONTROL!$C$16, $D$10, 100%, $F$10)</f>
        <v>28.321999999999999</v>
      </c>
      <c r="G836" s="8">
        <f>CHOOSE( CONTROL!$C$33, 27.2218, 27.2202) * CHOOSE( CONTROL!$C$16, $D$10, 100%, $F$10)</f>
        <v>27.221800000000002</v>
      </c>
      <c r="H836" s="4">
        <f>CHOOSE( CONTROL!$C$33, 28.2007, 28.1992) * CHOOSE(CONTROL!$C$16, $D$10, 100%, $F$10)</f>
        <v>28.200700000000001</v>
      </c>
      <c r="I836" s="8">
        <f>CHOOSE( CONTROL!$C$33, 26.8156, 26.814) * CHOOSE(CONTROL!$C$16, $D$10, 100%, $F$10)</f>
        <v>26.8156</v>
      </c>
      <c r="J836" s="4">
        <f>CHOOSE( CONTROL!$C$33, 26.6865, 26.685) * CHOOSE(CONTROL!$C$16, $D$10, 100%, $F$10)</f>
        <v>26.686499999999999</v>
      </c>
      <c r="K836" s="4"/>
      <c r="L836" s="9">
        <v>30.7165</v>
      </c>
      <c r="M836" s="9">
        <v>12.063700000000001</v>
      </c>
      <c r="N836" s="9">
        <v>4.9444999999999997</v>
      </c>
      <c r="O836" s="9">
        <v>0.37409999999999999</v>
      </c>
      <c r="P836" s="9">
        <v>1.2927</v>
      </c>
      <c r="Q836" s="9">
        <v>19.688099999999999</v>
      </c>
      <c r="R836" s="9"/>
      <c r="S836" s="11"/>
    </row>
    <row r="837" spans="1:19" ht="15" customHeight="1">
      <c r="A837" s="13">
        <v>66657</v>
      </c>
      <c r="B837" s="8">
        <f>CHOOSE( CONTROL!$C$33, 27.102, 27.1005) * CHOOSE(CONTROL!$C$16, $D$10, 100%, $F$10)</f>
        <v>27.102</v>
      </c>
      <c r="C837" s="8">
        <f>CHOOSE( CONTROL!$C$33, 27.11, 27.1085) * CHOOSE(CONTROL!$C$16, $D$10, 100%, $F$10)</f>
        <v>27.11</v>
      </c>
      <c r="D837" s="8">
        <f>CHOOSE( CONTROL!$C$33, 27.1324, 27.1308) * CHOOSE( CONTROL!$C$16, $D$10, 100%, $F$10)</f>
        <v>27.132400000000001</v>
      </c>
      <c r="E837" s="12">
        <f>CHOOSE( CONTROL!$C$33, 27.1231, 27.1215) * CHOOSE( CONTROL!$C$16, $D$10, 100%, $F$10)</f>
        <v>27.123100000000001</v>
      </c>
      <c r="F837" s="4">
        <f>CHOOSE( CONTROL!$C$33, 27.8789, 27.8774) * CHOOSE(CONTROL!$C$16, $D$10, 100%, $F$10)</f>
        <v>27.878900000000002</v>
      </c>
      <c r="G837" s="8">
        <f>CHOOSE( CONTROL!$C$33, 26.785, 26.7835) * CHOOSE( CONTROL!$C$16, $D$10, 100%, $F$10)</f>
        <v>26.785</v>
      </c>
      <c r="H837" s="4">
        <f>CHOOSE( CONTROL!$C$33, 27.7638, 27.7623) * CHOOSE(CONTROL!$C$16, $D$10, 100%, $F$10)</f>
        <v>27.7638</v>
      </c>
      <c r="I837" s="8">
        <f>CHOOSE( CONTROL!$C$33, 26.3869, 26.3854) * CHOOSE(CONTROL!$C$16, $D$10, 100%, $F$10)</f>
        <v>26.386900000000001</v>
      </c>
      <c r="J837" s="4">
        <f>CHOOSE( CONTROL!$C$33, 26.2575, 26.256) * CHOOSE(CONTROL!$C$16, $D$10, 100%, $F$10)</f>
        <v>26.2575</v>
      </c>
      <c r="K837" s="4"/>
      <c r="L837" s="9">
        <v>29.7257</v>
      </c>
      <c r="M837" s="9">
        <v>11.6745</v>
      </c>
      <c r="N837" s="9">
        <v>4.7850000000000001</v>
      </c>
      <c r="O837" s="9">
        <v>0.36199999999999999</v>
      </c>
      <c r="P837" s="9">
        <v>1.2509999999999999</v>
      </c>
      <c r="Q837" s="9">
        <v>19.053000000000001</v>
      </c>
      <c r="R837" s="9"/>
      <c r="S837" s="11"/>
    </row>
    <row r="838" spans="1:19" ht="15" customHeight="1">
      <c r="A838" s="13">
        <v>66688</v>
      </c>
      <c r="B838" s="8">
        <f>CHOOSE( CONTROL!$C$33, 28.2688, 28.2672) * CHOOSE(CONTROL!$C$16, $D$10, 100%, $F$10)</f>
        <v>28.268799999999999</v>
      </c>
      <c r="C838" s="8">
        <f>CHOOSE( CONTROL!$C$33, 28.2768, 28.2752) * CHOOSE(CONTROL!$C$16, $D$10, 100%, $F$10)</f>
        <v>28.276800000000001</v>
      </c>
      <c r="D838" s="8">
        <f>CHOOSE( CONTROL!$C$33, 28.2994, 28.2979) * CHOOSE( CONTROL!$C$16, $D$10, 100%, $F$10)</f>
        <v>28.299399999999999</v>
      </c>
      <c r="E838" s="12">
        <f>CHOOSE( CONTROL!$C$33, 28.29, 28.2885) * CHOOSE( CONTROL!$C$16, $D$10, 100%, $F$10)</f>
        <v>28.29</v>
      </c>
      <c r="F838" s="4">
        <f>CHOOSE( CONTROL!$C$33, 29.0457, 29.0442) * CHOOSE(CONTROL!$C$16, $D$10, 100%, $F$10)</f>
        <v>29.0457</v>
      </c>
      <c r="G838" s="8">
        <f>CHOOSE( CONTROL!$C$33, 27.9357, 27.9342) * CHOOSE( CONTROL!$C$16, $D$10, 100%, $F$10)</f>
        <v>27.935700000000001</v>
      </c>
      <c r="H838" s="4">
        <f>CHOOSE( CONTROL!$C$33, 28.9144, 28.9128) * CHOOSE(CONTROL!$C$16, $D$10, 100%, $F$10)</f>
        <v>28.914400000000001</v>
      </c>
      <c r="I838" s="8">
        <f>CHOOSE( CONTROL!$C$33, 27.518, 27.5165) * CHOOSE(CONTROL!$C$16, $D$10, 100%, $F$10)</f>
        <v>27.518000000000001</v>
      </c>
      <c r="J838" s="4">
        <f>CHOOSE( CONTROL!$C$33, 27.3873, 27.3858) * CHOOSE(CONTROL!$C$16, $D$10, 100%, $F$10)</f>
        <v>27.3873</v>
      </c>
      <c r="K838" s="4"/>
      <c r="L838" s="9">
        <v>30.7165</v>
      </c>
      <c r="M838" s="9">
        <v>12.063700000000001</v>
      </c>
      <c r="N838" s="9">
        <v>4.9444999999999997</v>
      </c>
      <c r="O838" s="9">
        <v>0.37409999999999999</v>
      </c>
      <c r="P838" s="9">
        <v>1.2927</v>
      </c>
      <c r="Q838" s="9">
        <v>19.688099999999999</v>
      </c>
      <c r="R838" s="9"/>
      <c r="S838" s="11"/>
    </row>
    <row r="839" spans="1:19" ht="15" customHeight="1">
      <c r="A839" s="13">
        <v>66719</v>
      </c>
      <c r="B839" s="8">
        <f>CHOOSE( CONTROL!$C$33, 26.0856, 26.0841) * CHOOSE(CONTROL!$C$16, $D$10, 100%, $F$10)</f>
        <v>26.085599999999999</v>
      </c>
      <c r="C839" s="8">
        <f>CHOOSE( CONTROL!$C$33, 26.0936, 26.0921) * CHOOSE(CONTROL!$C$16, $D$10, 100%, $F$10)</f>
        <v>26.093599999999999</v>
      </c>
      <c r="D839" s="8">
        <f>CHOOSE( CONTROL!$C$33, 26.1163, 26.1147) * CHOOSE( CONTROL!$C$16, $D$10, 100%, $F$10)</f>
        <v>26.116299999999999</v>
      </c>
      <c r="E839" s="12">
        <f>CHOOSE( CONTROL!$C$33, 26.1069, 26.1053) * CHOOSE( CONTROL!$C$16, $D$10, 100%, $F$10)</f>
        <v>26.1069</v>
      </c>
      <c r="F839" s="4">
        <f>CHOOSE( CONTROL!$C$33, 26.8625, 26.861) * CHOOSE(CONTROL!$C$16, $D$10, 100%, $F$10)</f>
        <v>26.862500000000001</v>
      </c>
      <c r="G839" s="8">
        <f>CHOOSE( CONTROL!$C$33, 25.783, 25.7815) * CHOOSE( CONTROL!$C$16, $D$10, 100%, $F$10)</f>
        <v>25.783000000000001</v>
      </c>
      <c r="H839" s="4">
        <f>CHOOSE( CONTROL!$C$33, 26.7616, 26.7601) * CHOOSE(CONTROL!$C$16, $D$10, 100%, $F$10)</f>
        <v>26.761600000000001</v>
      </c>
      <c r="I839" s="8">
        <f>CHOOSE( CONTROL!$C$33, 25.4032, 25.4017) * CHOOSE(CONTROL!$C$16, $D$10, 100%, $F$10)</f>
        <v>25.403199999999998</v>
      </c>
      <c r="J839" s="4">
        <f>CHOOSE( CONTROL!$C$33, 25.2733, 25.2718) * CHOOSE(CONTROL!$C$16, $D$10, 100%, $F$10)</f>
        <v>25.273299999999999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1.2927</v>
      </c>
      <c r="Q839" s="9">
        <v>19.688099999999999</v>
      </c>
      <c r="R839" s="9"/>
      <c r="S839" s="11"/>
    </row>
    <row r="840" spans="1:19" ht="15" customHeight="1">
      <c r="A840" s="13">
        <v>66749</v>
      </c>
      <c r="B840" s="8">
        <f>CHOOSE( CONTROL!$C$33, 25.5389, 25.5374) * CHOOSE(CONTROL!$C$16, $D$10, 100%, $F$10)</f>
        <v>25.538900000000002</v>
      </c>
      <c r="C840" s="8">
        <f>CHOOSE( CONTROL!$C$33, 25.5469, 25.5454) * CHOOSE(CONTROL!$C$16, $D$10, 100%, $F$10)</f>
        <v>25.546900000000001</v>
      </c>
      <c r="D840" s="8">
        <f>CHOOSE( CONTROL!$C$33, 25.5695, 25.5679) * CHOOSE( CONTROL!$C$16, $D$10, 100%, $F$10)</f>
        <v>25.569500000000001</v>
      </c>
      <c r="E840" s="12">
        <f>CHOOSE( CONTROL!$C$33, 25.5601, 25.5585) * CHOOSE( CONTROL!$C$16, $D$10, 100%, $F$10)</f>
        <v>25.560099999999998</v>
      </c>
      <c r="F840" s="4">
        <f>CHOOSE( CONTROL!$C$33, 26.3159, 26.3143) * CHOOSE(CONTROL!$C$16, $D$10, 100%, $F$10)</f>
        <v>26.315899999999999</v>
      </c>
      <c r="G840" s="8">
        <f>CHOOSE( CONTROL!$C$33, 25.2439, 25.2423) * CHOOSE( CONTROL!$C$16, $D$10, 100%, $F$10)</f>
        <v>25.2439</v>
      </c>
      <c r="H840" s="4">
        <f>CHOOSE( CONTROL!$C$33, 26.2226, 26.221) * CHOOSE(CONTROL!$C$16, $D$10, 100%, $F$10)</f>
        <v>26.2226</v>
      </c>
      <c r="I840" s="8">
        <f>CHOOSE( CONTROL!$C$33, 24.8731, 24.8716) * CHOOSE(CONTROL!$C$16, $D$10, 100%, $F$10)</f>
        <v>24.873100000000001</v>
      </c>
      <c r="J840" s="4">
        <f>CHOOSE( CONTROL!$C$33, 24.7439, 24.7424) * CHOOSE(CONTROL!$C$16, $D$10, 100%, $F$10)</f>
        <v>24.7439</v>
      </c>
      <c r="K840" s="4"/>
      <c r="L840" s="9">
        <v>29.7257</v>
      </c>
      <c r="M840" s="9">
        <v>11.6745</v>
      </c>
      <c r="N840" s="9">
        <v>4.7850000000000001</v>
      </c>
      <c r="O840" s="9">
        <v>0.36199999999999999</v>
      </c>
      <c r="P840" s="9">
        <v>1.2509999999999999</v>
      </c>
      <c r="Q840" s="9">
        <v>19.053000000000001</v>
      </c>
      <c r="R840" s="9"/>
      <c r="S840" s="11"/>
    </row>
    <row r="841" spans="1:19" ht="15" customHeight="1">
      <c r="A841" s="13">
        <v>66780</v>
      </c>
      <c r="B841" s="8">
        <f>CHOOSE( CONTROL!$C$33, 26.6719, 26.6708) * CHOOSE(CONTROL!$C$16, $D$10, 100%, $F$10)</f>
        <v>26.671900000000001</v>
      </c>
      <c r="C841" s="8">
        <f>CHOOSE( CONTROL!$C$33, 26.6772, 26.6761) * CHOOSE(CONTROL!$C$16, $D$10, 100%, $F$10)</f>
        <v>26.677199999999999</v>
      </c>
      <c r="D841" s="8">
        <f>CHOOSE( CONTROL!$C$33, 26.706, 26.7049) * CHOOSE( CONTROL!$C$16, $D$10, 100%, $F$10)</f>
        <v>26.706</v>
      </c>
      <c r="E841" s="12">
        <f>CHOOSE( CONTROL!$C$33, 26.6959, 26.6948) * CHOOSE( CONTROL!$C$16, $D$10, 100%, $F$10)</f>
        <v>26.695900000000002</v>
      </c>
      <c r="F841" s="4">
        <f>CHOOSE( CONTROL!$C$33, 27.4505, 27.4494) * CHOOSE(CONTROL!$C$16, $D$10, 100%, $F$10)</f>
        <v>27.450500000000002</v>
      </c>
      <c r="G841" s="8">
        <f>CHOOSE( CONTROL!$C$33, 26.3628, 26.3617) * CHOOSE( CONTROL!$C$16, $D$10, 100%, $F$10)</f>
        <v>26.3628</v>
      </c>
      <c r="H841" s="4">
        <f>CHOOSE( CONTROL!$C$33, 27.3414, 27.3403) * CHOOSE(CONTROL!$C$16, $D$10, 100%, $F$10)</f>
        <v>27.3414</v>
      </c>
      <c r="I841" s="8">
        <f>CHOOSE( CONTROL!$C$33, 25.973, 25.9719) * CHOOSE(CONTROL!$C$16, $D$10, 100%, $F$10)</f>
        <v>25.972999999999999</v>
      </c>
      <c r="J841" s="4">
        <f>CHOOSE( CONTROL!$C$33, 25.8427, 25.8416) * CHOOSE(CONTROL!$C$16, $D$10, 100%, $F$10)</f>
        <v>25.842700000000001</v>
      </c>
      <c r="K841" s="4"/>
      <c r="L841" s="9">
        <v>31.095300000000002</v>
      </c>
      <c r="M841" s="9">
        <v>12.063700000000001</v>
      </c>
      <c r="N841" s="9">
        <v>4.9444999999999997</v>
      </c>
      <c r="O841" s="9">
        <v>0.37409999999999999</v>
      </c>
      <c r="P841" s="9">
        <v>1.2927</v>
      </c>
      <c r="Q841" s="9">
        <v>19.688099999999999</v>
      </c>
      <c r="R841" s="9"/>
      <c r="S841" s="11"/>
    </row>
    <row r="842" spans="1:19" ht="15" customHeight="1">
      <c r="A842" s="13">
        <v>66810</v>
      </c>
      <c r="B842" s="8">
        <f>CHOOSE( CONTROL!$C$33, 28.7667, 28.7656) * CHOOSE(CONTROL!$C$16, $D$10, 100%, $F$10)</f>
        <v>28.7667</v>
      </c>
      <c r="C842" s="8">
        <f>CHOOSE( CONTROL!$C$33, 28.7718, 28.7707) * CHOOSE(CONTROL!$C$16, $D$10, 100%, $F$10)</f>
        <v>28.771799999999999</v>
      </c>
      <c r="D842" s="8">
        <f>CHOOSE( CONTROL!$C$33, 28.7515, 28.7503) * CHOOSE( CONTROL!$C$16, $D$10, 100%, $F$10)</f>
        <v>28.7515</v>
      </c>
      <c r="E842" s="12">
        <f>CHOOSE( CONTROL!$C$33, 28.7584, 28.7572) * CHOOSE( CONTROL!$C$16, $D$10, 100%, $F$10)</f>
        <v>28.758400000000002</v>
      </c>
      <c r="F842" s="4">
        <f>CHOOSE( CONTROL!$C$33, 29.4296, 29.4284) * CHOOSE(CONTROL!$C$16, $D$10, 100%, $F$10)</f>
        <v>29.429600000000001</v>
      </c>
      <c r="G842" s="8">
        <f>CHOOSE( CONTROL!$C$33, 28.4013, 28.4002) * CHOOSE( CONTROL!$C$16, $D$10, 100%, $F$10)</f>
        <v>28.401299999999999</v>
      </c>
      <c r="H842" s="4">
        <f>CHOOSE( CONTROL!$C$33, 29.2928, 29.2917) * CHOOSE(CONTROL!$C$16, $D$10, 100%, $F$10)</f>
        <v>29.2928</v>
      </c>
      <c r="I842" s="8">
        <f>CHOOSE( CONTROL!$C$33, 28.0506, 28.0495) * CHOOSE(CONTROL!$C$16, $D$10, 100%, $F$10)</f>
        <v>28.050599999999999</v>
      </c>
      <c r="J842" s="4">
        <f>CHOOSE( CONTROL!$C$33, 27.8715, 27.8704) * CHOOSE(CONTROL!$C$16, $D$10, 100%, $F$10)</f>
        <v>27.871500000000001</v>
      </c>
      <c r="K842" s="4"/>
      <c r="L842" s="9">
        <v>28.360600000000002</v>
      </c>
      <c r="M842" s="9">
        <v>11.6745</v>
      </c>
      <c r="N842" s="9">
        <v>4.7850000000000001</v>
      </c>
      <c r="O842" s="9">
        <v>0.36199999999999999</v>
      </c>
      <c r="P842" s="9">
        <v>1.2509999999999999</v>
      </c>
      <c r="Q842" s="9">
        <v>19.053000000000001</v>
      </c>
      <c r="R842" s="9"/>
      <c r="S842" s="11"/>
    </row>
    <row r="843" spans="1:19" ht="15" customHeight="1">
      <c r="A843" s="13">
        <v>66841</v>
      </c>
      <c r="B843" s="8">
        <f>CHOOSE( CONTROL!$C$33, 28.7144, 28.7132) * CHOOSE(CONTROL!$C$16, $D$10, 100%, $F$10)</f>
        <v>28.714400000000001</v>
      </c>
      <c r="C843" s="8">
        <f>CHOOSE( CONTROL!$C$33, 28.7194, 28.7183) * CHOOSE(CONTROL!$C$16, $D$10, 100%, $F$10)</f>
        <v>28.7194</v>
      </c>
      <c r="D843" s="8">
        <f>CHOOSE( CONTROL!$C$33, 28.7006, 28.6995) * CHOOSE( CONTROL!$C$16, $D$10, 100%, $F$10)</f>
        <v>28.700600000000001</v>
      </c>
      <c r="E843" s="12">
        <f>CHOOSE( CONTROL!$C$33, 28.7069, 28.7058) * CHOOSE( CONTROL!$C$16, $D$10, 100%, $F$10)</f>
        <v>28.706900000000001</v>
      </c>
      <c r="F843" s="4">
        <f>CHOOSE( CONTROL!$C$33, 29.3772, 29.3761) * CHOOSE(CONTROL!$C$16, $D$10, 100%, $F$10)</f>
        <v>29.377199999999998</v>
      </c>
      <c r="G843" s="8">
        <f>CHOOSE( CONTROL!$C$33, 28.3508, 28.3496) * CHOOSE( CONTROL!$C$16, $D$10, 100%, $F$10)</f>
        <v>28.3508</v>
      </c>
      <c r="H843" s="4">
        <f>CHOOSE( CONTROL!$C$33, 29.2412, 29.2401) * CHOOSE(CONTROL!$C$16, $D$10, 100%, $F$10)</f>
        <v>29.241199999999999</v>
      </c>
      <c r="I843" s="8">
        <f>CHOOSE( CONTROL!$C$33, 28.0044, 28.0033) * CHOOSE(CONTROL!$C$16, $D$10, 100%, $F$10)</f>
        <v>28.0044</v>
      </c>
      <c r="J843" s="4">
        <f>CHOOSE( CONTROL!$C$33, 27.8208, 27.8197) * CHOOSE(CONTROL!$C$16, $D$10, 100%, $F$10)</f>
        <v>27.820799999999998</v>
      </c>
      <c r="K843" s="4"/>
      <c r="L843" s="9">
        <v>29.306000000000001</v>
      </c>
      <c r="M843" s="9">
        <v>12.063700000000001</v>
      </c>
      <c r="N843" s="9">
        <v>4.9444999999999997</v>
      </c>
      <c r="O843" s="9">
        <v>0.37409999999999999</v>
      </c>
      <c r="P843" s="9">
        <v>1.2927</v>
      </c>
      <c r="Q843" s="9">
        <v>19.688099999999999</v>
      </c>
      <c r="R843" s="9"/>
      <c r="S843" s="11"/>
    </row>
    <row r="844" spans="1:19" ht="15" customHeight="1">
      <c r="A844" s="13">
        <v>66872</v>
      </c>
      <c r="B844" s="8">
        <f>CHOOSE( CONTROL!$C$33, 29.5618, 29.5607) * CHOOSE(CONTROL!$C$16, $D$10, 100%, $F$10)</f>
        <v>29.561800000000002</v>
      </c>
      <c r="C844" s="8">
        <f>CHOOSE( CONTROL!$C$33, 29.5669, 29.5658) * CHOOSE(CONTROL!$C$16, $D$10, 100%, $F$10)</f>
        <v>29.5669</v>
      </c>
      <c r="D844" s="8">
        <f>CHOOSE( CONTROL!$C$33, 29.5593, 29.5581) * CHOOSE( CONTROL!$C$16, $D$10, 100%, $F$10)</f>
        <v>29.5593</v>
      </c>
      <c r="E844" s="12">
        <f>CHOOSE( CONTROL!$C$33, 29.5615, 29.5604) * CHOOSE( CONTROL!$C$16, $D$10, 100%, $F$10)</f>
        <v>29.561499999999999</v>
      </c>
      <c r="F844" s="4">
        <f>CHOOSE( CONTROL!$C$33, 30.2247, 30.2236) * CHOOSE(CONTROL!$C$16, $D$10, 100%, $F$10)</f>
        <v>30.224699999999999</v>
      </c>
      <c r="G844" s="8">
        <f>CHOOSE( CONTROL!$C$33, 29.1922, 29.1911) * CHOOSE( CONTROL!$C$16, $D$10, 100%, $F$10)</f>
        <v>29.1922</v>
      </c>
      <c r="H844" s="4">
        <f>CHOOSE( CONTROL!$C$33, 30.0768, 30.0757) * CHOOSE(CONTROL!$C$16, $D$10, 100%, $F$10)</f>
        <v>30.076799999999999</v>
      </c>
      <c r="I844" s="8">
        <f>CHOOSE( CONTROL!$C$33, 28.8166, 28.8155) * CHOOSE(CONTROL!$C$16, $D$10, 100%, $F$10)</f>
        <v>28.816600000000001</v>
      </c>
      <c r="J844" s="4">
        <f>CHOOSE( CONTROL!$C$33, 28.6414, 28.6403) * CHOOSE(CONTROL!$C$16, $D$10, 100%, $F$10)</f>
        <v>28.641400000000001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" customHeight="1">
      <c r="A845" s="13">
        <v>66900</v>
      </c>
      <c r="B845" s="8">
        <f>CHOOSE( CONTROL!$C$33, 27.6496, 27.6485) * CHOOSE(CONTROL!$C$16, $D$10, 100%, $F$10)</f>
        <v>27.6496</v>
      </c>
      <c r="C845" s="8">
        <f>CHOOSE( CONTROL!$C$33, 27.6547, 27.6536) * CHOOSE(CONTROL!$C$16, $D$10, 100%, $F$10)</f>
        <v>27.654699999999998</v>
      </c>
      <c r="D845" s="8">
        <f>CHOOSE( CONTROL!$C$33, 27.6469, 27.6458) * CHOOSE( CONTROL!$C$16, $D$10, 100%, $F$10)</f>
        <v>27.646899999999999</v>
      </c>
      <c r="E845" s="12">
        <f>CHOOSE( CONTROL!$C$33, 27.6492, 27.6481) * CHOOSE( CONTROL!$C$16, $D$10, 100%, $F$10)</f>
        <v>27.6492</v>
      </c>
      <c r="F845" s="4">
        <f>CHOOSE( CONTROL!$C$33, 28.3125, 28.3114) * CHOOSE(CONTROL!$C$16, $D$10, 100%, $F$10)</f>
        <v>28.3125</v>
      </c>
      <c r="G845" s="8">
        <f>CHOOSE( CONTROL!$C$33, 27.3066, 27.3055) * CHOOSE( CONTROL!$C$16, $D$10, 100%, $F$10)</f>
        <v>27.3066</v>
      </c>
      <c r="H845" s="4">
        <f>CHOOSE( CONTROL!$C$33, 28.1914, 28.1903) * CHOOSE(CONTROL!$C$16, $D$10, 100%, $F$10)</f>
        <v>28.191400000000002</v>
      </c>
      <c r="I845" s="8">
        <f>CHOOSE( CONTROL!$C$33, 26.9636, 26.9625) * CHOOSE(CONTROL!$C$16, $D$10, 100%, $F$10)</f>
        <v>26.9636</v>
      </c>
      <c r="J845" s="4">
        <f>CHOOSE( CONTROL!$C$33, 26.7898, 26.7887) * CHOOSE(CONTROL!$C$16, $D$10, 100%, $F$10)</f>
        <v>26.7898</v>
      </c>
      <c r="K845" s="4"/>
      <c r="L845" s="9">
        <v>26.469899999999999</v>
      </c>
      <c r="M845" s="9">
        <v>10.8962</v>
      </c>
      <c r="N845" s="9">
        <v>4.4660000000000002</v>
      </c>
      <c r="O845" s="9">
        <v>0.33789999999999998</v>
      </c>
      <c r="P845" s="9">
        <v>1.1676</v>
      </c>
      <c r="Q845" s="9">
        <v>17.782800000000002</v>
      </c>
      <c r="R845" s="9"/>
      <c r="S845" s="11"/>
    </row>
    <row r="846" spans="1:19" ht="15" customHeight="1">
      <c r="A846" s="13">
        <v>66931</v>
      </c>
      <c r="B846" s="8">
        <f>CHOOSE( CONTROL!$C$33, 27.0607, 27.0596) * CHOOSE(CONTROL!$C$16, $D$10, 100%, $F$10)</f>
        <v>27.060700000000001</v>
      </c>
      <c r="C846" s="8">
        <f>CHOOSE( CONTROL!$C$33, 27.0658, 27.0647) * CHOOSE(CONTROL!$C$16, $D$10, 100%, $F$10)</f>
        <v>27.065799999999999</v>
      </c>
      <c r="D846" s="8">
        <f>CHOOSE( CONTROL!$C$33, 27.0573, 27.0561) * CHOOSE( CONTROL!$C$16, $D$10, 100%, $F$10)</f>
        <v>27.057300000000001</v>
      </c>
      <c r="E846" s="12">
        <f>CHOOSE( CONTROL!$C$33, 27.0599, 27.0587) * CHOOSE( CONTROL!$C$16, $D$10, 100%, $F$10)</f>
        <v>27.059899999999999</v>
      </c>
      <c r="F846" s="4">
        <f>CHOOSE( CONTROL!$C$33, 27.7236, 27.7225) * CHOOSE(CONTROL!$C$16, $D$10, 100%, $F$10)</f>
        <v>27.723600000000001</v>
      </c>
      <c r="G846" s="8">
        <f>CHOOSE( CONTROL!$C$33, 26.7254, 26.7243) * CHOOSE( CONTROL!$C$16, $D$10, 100%, $F$10)</f>
        <v>26.7254</v>
      </c>
      <c r="H846" s="4">
        <f>CHOOSE( CONTROL!$C$33, 27.6106, 27.6095) * CHOOSE(CONTROL!$C$16, $D$10, 100%, $F$10)</f>
        <v>27.610600000000002</v>
      </c>
      <c r="I846" s="8">
        <f>CHOOSE( CONTROL!$C$33, 26.3907, 26.3897) * CHOOSE(CONTROL!$C$16, $D$10, 100%, $F$10)</f>
        <v>26.390699999999999</v>
      </c>
      <c r="J846" s="4">
        <f>CHOOSE( CONTROL!$C$33, 26.2195, 26.2185) * CHOOSE(CONTROL!$C$16, $D$10, 100%, $F$10)</f>
        <v>26.2195</v>
      </c>
      <c r="K846" s="4"/>
      <c r="L846" s="9">
        <v>29.306000000000001</v>
      </c>
      <c r="M846" s="9">
        <v>12.063700000000001</v>
      </c>
      <c r="N846" s="9">
        <v>4.9444999999999997</v>
      </c>
      <c r="O846" s="9">
        <v>0.37409999999999999</v>
      </c>
      <c r="P846" s="9">
        <v>1.2927</v>
      </c>
      <c r="Q846" s="9">
        <v>19.688099999999999</v>
      </c>
      <c r="R846" s="9"/>
      <c r="S846" s="11"/>
    </row>
    <row r="847" spans="1:19" ht="15" customHeight="1">
      <c r="A847" s="13">
        <v>66961</v>
      </c>
      <c r="B847" s="8">
        <f>CHOOSE( CONTROL!$C$33, 27.473, 27.4719) * CHOOSE(CONTROL!$C$16, $D$10, 100%, $F$10)</f>
        <v>27.472999999999999</v>
      </c>
      <c r="C847" s="8">
        <f>CHOOSE( CONTROL!$C$33, 27.4775, 27.4764) * CHOOSE(CONTROL!$C$16, $D$10, 100%, $F$10)</f>
        <v>27.477499999999999</v>
      </c>
      <c r="D847" s="8">
        <f>CHOOSE( CONTROL!$C$33, 27.5064, 27.5053) * CHOOSE( CONTROL!$C$16, $D$10, 100%, $F$10)</f>
        <v>27.506399999999999</v>
      </c>
      <c r="E847" s="12">
        <f>CHOOSE( CONTROL!$C$33, 27.4963, 27.4952) * CHOOSE( CONTROL!$C$16, $D$10, 100%, $F$10)</f>
        <v>27.496300000000002</v>
      </c>
      <c r="F847" s="4">
        <f>CHOOSE( CONTROL!$C$33, 28.2513, 28.2502) * CHOOSE(CONTROL!$C$16, $D$10, 100%, $F$10)</f>
        <v>28.251300000000001</v>
      </c>
      <c r="G847" s="8">
        <f>CHOOSE( CONTROL!$C$33, 27.1521, 27.151) * CHOOSE( CONTROL!$C$16, $D$10, 100%, $F$10)</f>
        <v>27.152100000000001</v>
      </c>
      <c r="H847" s="4">
        <f>CHOOSE( CONTROL!$C$33, 28.131, 28.1299) * CHOOSE(CONTROL!$C$16, $D$10, 100%, $F$10)</f>
        <v>28.131</v>
      </c>
      <c r="I847" s="8">
        <f>CHOOSE( CONTROL!$C$33, 26.7474, 26.7463) * CHOOSE(CONTROL!$C$16, $D$10, 100%, $F$10)</f>
        <v>26.747399999999999</v>
      </c>
      <c r="J847" s="4">
        <f>CHOOSE( CONTROL!$C$33, 26.618, 26.6169) * CHOOSE(CONTROL!$C$16, $D$10, 100%, $F$10)</f>
        <v>26.617999999999999</v>
      </c>
      <c r="K847" s="4"/>
      <c r="L847" s="9">
        <v>30.092199999999998</v>
      </c>
      <c r="M847" s="9">
        <v>11.6745</v>
      </c>
      <c r="N847" s="9">
        <v>4.7850000000000001</v>
      </c>
      <c r="O847" s="9">
        <v>0.36199999999999999</v>
      </c>
      <c r="P847" s="9">
        <v>1.2509999999999999</v>
      </c>
      <c r="Q847" s="9">
        <v>19.053000000000001</v>
      </c>
      <c r="R847" s="9"/>
      <c r="S847" s="11"/>
    </row>
    <row r="848" spans="1:19" ht="15" customHeight="1">
      <c r="A848" s="13">
        <v>66992</v>
      </c>
      <c r="B848" s="8">
        <f>CHOOSE( CONTROL!$C$33, 28.2073, 28.2057) * CHOOSE(CONTROL!$C$16, $D$10, 100%, $F$10)</f>
        <v>28.2073</v>
      </c>
      <c r="C848" s="8">
        <f>CHOOSE( CONTROL!$C$33, 28.2153, 28.2137) * CHOOSE(CONTROL!$C$16, $D$10, 100%, $F$10)</f>
        <v>28.215299999999999</v>
      </c>
      <c r="D848" s="8">
        <f>CHOOSE( CONTROL!$C$33, 28.2375, 28.2359) * CHOOSE( CONTROL!$C$16, $D$10, 100%, $F$10)</f>
        <v>28.237500000000001</v>
      </c>
      <c r="E848" s="12">
        <f>CHOOSE( CONTROL!$C$33, 28.2282, 28.2266) * CHOOSE( CONTROL!$C$16, $D$10, 100%, $F$10)</f>
        <v>28.228200000000001</v>
      </c>
      <c r="F848" s="4">
        <f>CHOOSE( CONTROL!$C$33, 28.9842, 28.9826) * CHOOSE(CONTROL!$C$16, $D$10, 100%, $F$10)</f>
        <v>28.984200000000001</v>
      </c>
      <c r="G848" s="8">
        <f>CHOOSE( CONTROL!$C$33, 27.8747, 27.8732) * CHOOSE( CONTROL!$C$16, $D$10, 100%, $F$10)</f>
        <v>27.874700000000001</v>
      </c>
      <c r="H848" s="4">
        <f>CHOOSE( CONTROL!$C$33, 28.8537, 28.8521) * CHOOSE(CONTROL!$C$16, $D$10, 100%, $F$10)</f>
        <v>28.8537</v>
      </c>
      <c r="I848" s="8">
        <f>CHOOSE( CONTROL!$C$33, 27.4571, 27.4555) * CHOOSE(CONTROL!$C$16, $D$10, 100%, $F$10)</f>
        <v>27.457100000000001</v>
      </c>
      <c r="J848" s="4">
        <f>CHOOSE( CONTROL!$C$33, 27.3277, 27.3262) * CHOOSE(CONTROL!$C$16, $D$10, 100%, $F$10)</f>
        <v>27.3277</v>
      </c>
      <c r="K848" s="4"/>
      <c r="L848" s="9">
        <v>30.7165</v>
      </c>
      <c r="M848" s="9">
        <v>12.063700000000001</v>
      </c>
      <c r="N848" s="9">
        <v>4.9444999999999997</v>
      </c>
      <c r="O848" s="9">
        <v>0.37409999999999999</v>
      </c>
      <c r="P848" s="9">
        <v>1.2927</v>
      </c>
      <c r="Q848" s="9">
        <v>19.688099999999999</v>
      </c>
      <c r="R848" s="9"/>
      <c r="S848" s="11"/>
    </row>
    <row r="849" spans="1:19" ht="15" customHeight="1">
      <c r="A849" s="13">
        <v>67022</v>
      </c>
      <c r="B849" s="8">
        <f>CHOOSE( CONTROL!$C$33, 27.7535, 27.752) * CHOOSE(CONTROL!$C$16, $D$10, 100%, $F$10)</f>
        <v>27.753499999999999</v>
      </c>
      <c r="C849" s="8">
        <f>CHOOSE( CONTROL!$C$33, 27.7615, 27.76) * CHOOSE(CONTROL!$C$16, $D$10, 100%, $F$10)</f>
        <v>27.761500000000002</v>
      </c>
      <c r="D849" s="8">
        <f>CHOOSE( CONTROL!$C$33, 27.7839, 27.7824) * CHOOSE( CONTROL!$C$16, $D$10, 100%, $F$10)</f>
        <v>27.783899999999999</v>
      </c>
      <c r="E849" s="12">
        <f>CHOOSE( CONTROL!$C$33, 27.7746, 27.7731) * CHOOSE( CONTROL!$C$16, $D$10, 100%, $F$10)</f>
        <v>27.7746</v>
      </c>
      <c r="F849" s="4">
        <f>CHOOSE( CONTROL!$C$33, 28.5305, 28.5289) * CHOOSE(CONTROL!$C$16, $D$10, 100%, $F$10)</f>
        <v>28.5305</v>
      </c>
      <c r="G849" s="8">
        <f>CHOOSE( CONTROL!$C$33, 27.4275, 27.4259) * CHOOSE( CONTROL!$C$16, $D$10, 100%, $F$10)</f>
        <v>27.427499999999998</v>
      </c>
      <c r="H849" s="4">
        <f>CHOOSE( CONTROL!$C$33, 28.4063, 28.4047) * CHOOSE(CONTROL!$C$16, $D$10, 100%, $F$10)</f>
        <v>28.406300000000002</v>
      </c>
      <c r="I849" s="8">
        <f>CHOOSE( CONTROL!$C$33, 27.0181, 27.0166) * CHOOSE(CONTROL!$C$16, $D$10, 100%, $F$10)</f>
        <v>27.0181</v>
      </c>
      <c r="J849" s="4">
        <f>CHOOSE( CONTROL!$C$33, 26.8883, 26.8868) * CHOOSE(CONTROL!$C$16, $D$10, 100%, $F$10)</f>
        <v>26.888300000000001</v>
      </c>
      <c r="K849" s="4"/>
      <c r="L849" s="9">
        <v>29.7257</v>
      </c>
      <c r="M849" s="9">
        <v>11.6745</v>
      </c>
      <c r="N849" s="9">
        <v>4.7850000000000001</v>
      </c>
      <c r="O849" s="9">
        <v>0.36199999999999999</v>
      </c>
      <c r="P849" s="9">
        <v>1.2509999999999999</v>
      </c>
      <c r="Q849" s="9">
        <v>19.053000000000001</v>
      </c>
      <c r="R849" s="9"/>
      <c r="S849" s="11"/>
    </row>
    <row r="850" spans="1:19" ht="15" customHeight="1">
      <c r="A850" s="13">
        <v>67053</v>
      </c>
      <c r="B850" s="8">
        <f>CHOOSE( CONTROL!$C$33, 28.9484, 28.9468) * CHOOSE(CONTROL!$C$16, $D$10, 100%, $F$10)</f>
        <v>28.948399999999999</v>
      </c>
      <c r="C850" s="8">
        <f>CHOOSE( CONTROL!$C$33, 28.9564, 28.9548) * CHOOSE(CONTROL!$C$16, $D$10, 100%, $F$10)</f>
        <v>28.956399999999999</v>
      </c>
      <c r="D850" s="8">
        <f>CHOOSE( CONTROL!$C$33, 28.979, 28.9774) * CHOOSE( CONTROL!$C$16, $D$10, 100%, $F$10)</f>
        <v>28.978999999999999</v>
      </c>
      <c r="E850" s="12">
        <f>CHOOSE( CONTROL!$C$33, 28.9696, 28.968) * CHOOSE( CONTROL!$C$16, $D$10, 100%, $F$10)</f>
        <v>28.9696</v>
      </c>
      <c r="F850" s="4">
        <f>CHOOSE( CONTROL!$C$33, 29.7253, 29.7237) * CHOOSE(CONTROL!$C$16, $D$10, 100%, $F$10)</f>
        <v>29.725300000000001</v>
      </c>
      <c r="G850" s="8">
        <f>CHOOSE( CONTROL!$C$33, 28.6058, 28.6042) * CHOOSE( CONTROL!$C$16, $D$10, 100%, $F$10)</f>
        <v>28.605799999999999</v>
      </c>
      <c r="H850" s="4">
        <f>CHOOSE( CONTROL!$C$33, 29.5844, 29.5829) * CHOOSE(CONTROL!$C$16, $D$10, 100%, $F$10)</f>
        <v>29.584399999999999</v>
      </c>
      <c r="I850" s="8">
        <f>CHOOSE( CONTROL!$C$33, 28.1764, 28.1749) * CHOOSE(CONTROL!$C$16, $D$10, 100%, $F$10)</f>
        <v>28.176400000000001</v>
      </c>
      <c r="J850" s="4">
        <f>CHOOSE( CONTROL!$C$33, 28.0453, 28.0438) * CHOOSE(CONTROL!$C$16, $D$10, 100%, $F$10)</f>
        <v>28.045300000000001</v>
      </c>
      <c r="K850" s="4"/>
      <c r="L850" s="9">
        <v>30.7165</v>
      </c>
      <c r="M850" s="9">
        <v>12.063700000000001</v>
      </c>
      <c r="N850" s="9">
        <v>4.9444999999999997</v>
      </c>
      <c r="O850" s="9">
        <v>0.37409999999999999</v>
      </c>
      <c r="P850" s="9">
        <v>1.2927</v>
      </c>
      <c r="Q850" s="9">
        <v>19.688099999999999</v>
      </c>
      <c r="R850" s="9"/>
      <c r="S850" s="11"/>
    </row>
    <row r="851" spans="1:19" ht="15" customHeight="1">
      <c r="A851" s="13">
        <v>67084</v>
      </c>
      <c r="B851" s="8">
        <f>CHOOSE( CONTROL!$C$33, 26.7127, 26.7112) * CHOOSE(CONTROL!$C$16, $D$10, 100%, $F$10)</f>
        <v>26.712700000000002</v>
      </c>
      <c r="C851" s="8">
        <f>CHOOSE( CONTROL!$C$33, 26.7207, 26.7191) * CHOOSE(CONTROL!$C$16, $D$10, 100%, $F$10)</f>
        <v>26.720700000000001</v>
      </c>
      <c r="D851" s="8">
        <f>CHOOSE( CONTROL!$C$33, 26.7434, 26.7418) * CHOOSE( CONTROL!$C$16, $D$10, 100%, $F$10)</f>
        <v>26.743400000000001</v>
      </c>
      <c r="E851" s="12">
        <f>CHOOSE( CONTROL!$C$33, 26.734, 26.7324) * CHOOSE( CONTROL!$C$16, $D$10, 100%, $F$10)</f>
        <v>26.734000000000002</v>
      </c>
      <c r="F851" s="4">
        <f>CHOOSE( CONTROL!$C$33, 27.4896, 27.4881) * CHOOSE(CONTROL!$C$16, $D$10, 100%, $F$10)</f>
        <v>27.489599999999999</v>
      </c>
      <c r="G851" s="8">
        <f>CHOOSE( CONTROL!$C$33, 26.4014, 26.3998) * CHOOSE( CONTROL!$C$16, $D$10, 100%, $F$10)</f>
        <v>26.401399999999999</v>
      </c>
      <c r="H851" s="4">
        <f>CHOOSE( CONTROL!$C$33, 27.38, 27.3784) * CHOOSE(CONTROL!$C$16, $D$10, 100%, $F$10)</f>
        <v>27.38</v>
      </c>
      <c r="I851" s="8">
        <f>CHOOSE( CONTROL!$C$33, 26.0107, 26.0092) * CHOOSE(CONTROL!$C$16, $D$10, 100%, $F$10)</f>
        <v>26.0107</v>
      </c>
      <c r="J851" s="4">
        <f>CHOOSE( CONTROL!$C$33, 25.8805, 25.879) * CHOOSE(CONTROL!$C$16, $D$10, 100%, $F$10)</f>
        <v>25.880500000000001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1.2927</v>
      </c>
      <c r="Q851" s="9">
        <v>19.688099999999999</v>
      </c>
      <c r="R851" s="9"/>
      <c r="S851" s="11"/>
    </row>
    <row r="852" spans="1:19" ht="15" customHeight="1">
      <c r="A852" s="13">
        <v>67114</v>
      </c>
      <c r="B852" s="8">
        <f>CHOOSE( CONTROL!$C$33, 26.1529, 26.1513) * CHOOSE(CONTROL!$C$16, $D$10, 100%, $F$10)</f>
        <v>26.152899999999999</v>
      </c>
      <c r="C852" s="8">
        <f>CHOOSE( CONTROL!$C$33, 26.1609, 26.1593) * CHOOSE(CONTROL!$C$16, $D$10, 100%, $F$10)</f>
        <v>26.160900000000002</v>
      </c>
      <c r="D852" s="8">
        <f>CHOOSE( CONTROL!$C$33, 26.1834, 26.1819) * CHOOSE( CONTROL!$C$16, $D$10, 100%, $F$10)</f>
        <v>26.183399999999999</v>
      </c>
      <c r="E852" s="12">
        <f>CHOOSE( CONTROL!$C$33, 26.174, 26.1725) * CHOOSE( CONTROL!$C$16, $D$10, 100%, $F$10)</f>
        <v>26.173999999999999</v>
      </c>
      <c r="F852" s="4">
        <f>CHOOSE( CONTROL!$C$33, 26.9298, 26.9282) * CHOOSE(CONTROL!$C$16, $D$10, 100%, $F$10)</f>
        <v>26.9298</v>
      </c>
      <c r="G852" s="8">
        <f>CHOOSE( CONTROL!$C$33, 25.8493, 25.8477) * CHOOSE( CONTROL!$C$16, $D$10, 100%, $F$10)</f>
        <v>25.849299999999999</v>
      </c>
      <c r="H852" s="4">
        <f>CHOOSE( CONTROL!$C$33, 26.828, 26.8264) * CHOOSE(CONTROL!$C$16, $D$10, 100%, $F$10)</f>
        <v>26.827999999999999</v>
      </c>
      <c r="I852" s="8">
        <f>CHOOSE( CONTROL!$C$33, 25.4679, 25.4664) * CHOOSE(CONTROL!$C$16, $D$10, 100%, $F$10)</f>
        <v>25.4679</v>
      </c>
      <c r="J852" s="4">
        <f>CHOOSE( CONTROL!$C$33, 25.3384, 25.3369) * CHOOSE(CONTROL!$C$16, $D$10, 100%, $F$10)</f>
        <v>25.3384</v>
      </c>
      <c r="K852" s="4"/>
      <c r="L852" s="9">
        <v>29.7257</v>
      </c>
      <c r="M852" s="9">
        <v>11.6745</v>
      </c>
      <c r="N852" s="9">
        <v>4.7850000000000001</v>
      </c>
      <c r="O852" s="9">
        <v>0.36199999999999999</v>
      </c>
      <c r="P852" s="9">
        <v>1.2509999999999999</v>
      </c>
      <c r="Q852" s="9">
        <v>19.053000000000001</v>
      </c>
      <c r="R852" s="9"/>
      <c r="S852" s="11"/>
    </row>
    <row r="853" spans="1:19" ht="15" customHeight="1">
      <c r="A853" s="13">
        <v>67145</v>
      </c>
      <c r="B853" s="8">
        <f>CHOOSE( CONTROL!$C$33, 27.3131, 27.312) * CHOOSE(CONTROL!$C$16, $D$10, 100%, $F$10)</f>
        <v>27.313099999999999</v>
      </c>
      <c r="C853" s="8">
        <f>CHOOSE( CONTROL!$C$33, 27.3185, 27.3173) * CHOOSE(CONTROL!$C$16, $D$10, 100%, $F$10)</f>
        <v>27.3185</v>
      </c>
      <c r="D853" s="8">
        <f>CHOOSE( CONTROL!$C$33, 27.3472, 27.3461) * CHOOSE( CONTROL!$C$16, $D$10, 100%, $F$10)</f>
        <v>27.347200000000001</v>
      </c>
      <c r="E853" s="12">
        <f>CHOOSE( CONTROL!$C$33, 27.3372, 27.336) * CHOOSE( CONTROL!$C$16, $D$10, 100%, $F$10)</f>
        <v>27.337199999999999</v>
      </c>
      <c r="F853" s="4">
        <f>CHOOSE( CONTROL!$C$33, 28.0918, 28.0906) * CHOOSE(CONTROL!$C$16, $D$10, 100%, $F$10)</f>
        <v>28.091799999999999</v>
      </c>
      <c r="G853" s="8">
        <f>CHOOSE( CONTROL!$C$33, 26.9951, 26.994) * CHOOSE( CONTROL!$C$16, $D$10, 100%, $F$10)</f>
        <v>26.995100000000001</v>
      </c>
      <c r="H853" s="4">
        <f>CHOOSE( CONTROL!$C$33, 27.9737, 27.9726) * CHOOSE(CONTROL!$C$16, $D$10, 100%, $F$10)</f>
        <v>27.973700000000001</v>
      </c>
      <c r="I853" s="8">
        <f>CHOOSE( CONTROL!$C$33, 26.5942, 26.5931) * CHOOSE(CONTROL!$C$16, $D$10, 100%, $F$10)</f>
        <v>26.594200000000001</v>
      </c>
      <c r="J853" s="4">
        <f>CHOOSE( CONTROL!$C$33, 26.4636, 26.4625) * CHOOSE(CONTROL!$C$16, $D$10, 100%, $F$10)</f>
        <v>26.4636</v>
      </c>
      <c r="K853" s="4"/>
      <c r="L853" s="9">
        <v>31.095300000000002</v>
      </c>
      <c r="M853" s="9">
        <v>12.063700000000001</v>
      </c>
      <c r="N853" s="9">
        <v>4.9444999999999997</v>
      </c>
      <c r="O853" s="9">
        <v>0.37409999999999999</v>
      </c>
      <c r="P853" s="9">
        <v>1.2927</v>
      </c>
      <c r="Q853" s="9">
        <v>19.688099999999999</v>
      </c>
      <c r="R853" s="9"/>
      <c r="S853" s="11"/>
    </row>
    <row r="854" spans="1:19" ht="15" customHeight="1">
      <c r="A854" s="13">
        <v>67175</v>
      </c>
      <c r="B854" s="8">
        <f>CHOOSE( CONTROL!$C$33, 29.4583, 29.4572) * CHOOSE(CONTROL!$C$16, $D$10, 100%, $F$10)</f>
        <v>29.458300000000001</v>
      </c>
      <c r="C854" s="8">
        <f>CHOOSE( CONTROL!$C$33, 29.4634, 29.4623) * CHOOSE(CONTROL!$C$16, $D$10, 100%, $F$10)</f>
        <v>29.4634</v>
      </c>
      <c r="D854" s="8">
        <f>CHOOSE( CONTROL!$C$33, 29.443, 29.4419) * CHOOSE( CONTROL!$C$16, $D$10, 100%, $F$10)</f>
        <v>29.443000000000001</v>
      </c>
      <c r="E854" s="12">
        <f>CHOOSE( CONTROL!$C$33, 29.4499, 29.4488) * CHOOSE( CONTROL!$C$16, $D$10, 100%, $F$10)</f>
        <v>29.4499</v>
      </c>
      <c r="F854" s="4">
        <f>CHOOSE( CONTROL!$C$33, 30.1211, 30.12) * CHOOSE(CONTROL!$C$16, $D$10, 100%, $F$10)</f>
        <v>30.121099999999998</v>
      </c>
      <c r="G854" s="8">
        <f>CHOOSE( CONTROL!$C$33, 29.0833, 29.0821) * CHOOSE( CONTROL!$C$16, $D$10, 100%, $F$10)</f>
        <v>29.083300000000001</v>
      </c>
      <c r="H854" s="4">
        <f>CHOOSE( CONTROL!$C$33, 29.9748, 29.9737) * CHOOSE(CONTROL!$C$16, $D$10, 100%, $F$10)</f>
        <v>29.974799999999998</v>
      </c>
      <c r="I854" s="8">
        <f>CHOOSE( CONTROL!$C$33, 28.7205, 28.7195) * CHOOSE(CONTROL!$C$16, $D$10, 100%, $F$10)</f>
        <v>28.720500000000001</v>
      </c>
      <c r="J854" s="4">
        <f>CHOOSE( CONTROL!$C$33, 28.5411, 28.54) * CHOOSE(CONTROL!$C$16, $D$10, 100%, $F$10)</f>
        <v>28.5411</v>
      </c>
      <c r="K854" s="4"/>
      <c r="L854" s="9">
        <v>28.360600000000002</v>
      </c>
      <c r="M854" s="9">
        <v>11.6745</v>
      </c>
      <c r="N854" s="9">
        <v>4.7850000000000001</v>
      </c>
      <c r="O854" s="9">
        <v>0.36199999999999999</v>
      </c>
      <c r="P854" s="9">
        <v>1.2509999999999999</v>
      </c>
      <c r="Q854" s="9">
        <v>19.053000000000001</v>
      </c>
      <c r="R854" s="9"/>
      <c r="S854" s="11"/>
    </row>
    <row r="855" spans="1:19" ht="15" customHeight="1">
      <c r="A855" s="13">
        <v>67206</v>
      </c>
      <c r="B855" s="8">
        <f>CHOOSE( CONTROL!$C$33, 29.4047, 29.4035) * CHOOSE(CONTROL!$C$16, $D$10, 100%, $F$10)</f>
        <v>29.404699999999998</v>
      </c>
      <c r="C855" s="8">
        <f>CHOOSE( CONTROL!$C$33, 29.4098, 29.4086) * CHOOSE(CONTROL!$C$16, $D$10, 100%, $F$10)</f>
        <v>29.409800000000001</v>
      </c>
      <c r="D855" s="8">
        <f>CHOOSE( CONTROL!$C$33, 29.3909, 29.3898) * CHOOSE( CONTROL!$C$16, $D$10, 100%, $F$10)</f>
        <v>29.390899999999998</v>
      </c>
      <c r="E855" s="12">
        <f>CHOOSE( CONTROL!$C$33, 29.3973, 29.3961) * CHOOSE( CONTROL!$C$16, $D$10, 100%, $F$10)</f>
        <v>29.397300000000001</v>
      </c>
      <c r="F855" s="4">
        <f>CHOOSE( CONTROL!$C$33, 30.0675, 30.0664) * CHOOSE(CONTROL!$C$16, $D$10, 100%, $F$10)</f>
        <v>30.067499999999999</v>
      </c>
      <c r="G855" s="8">
        <f>CHOOSE( CONTROL!$C$33, 29.0314, 29.0303) * CHOOSE( CONTROL!$C$16, $D$10, 100%, $F$10)</f>
        <v>29.031400000000001</v>
      </c>
      <c r="H855" s="4">
        <f>CHOOSE( CONTROL!$C$33, 29.9219, 29.9208) * CHOOSE(CONTROL!$C$16, $D$10, 100%, $F$10)</f>
        <v>29.921900000000001</v>
      </c>
      <c r="I855" s="8">
        <f>CHOOSE( CONTROL!$C$33, 28.6731, 28.6721) * CHOOSE(CONTROL!$C$16, $D$10, 100%, $F$10)</f>
        <v>28.673100000000002</v>
      </c>
      <c r="J855" s="4">
        <f>CHOOSE( CONTROL!$C$33, 28.4892, 28.4881) * CHOOSE(CONTROL!$C$16, $D$10, 100%, $F$10)</f>
        <v>28.4892</v>
      </c>
      <c r="K855" s="4"/>
      <c r="L855" s="9">
        <v>29.306000000000001</v>
      </c>
      <c r="M855" s="9">
        <v>12.063700000000001</v>
      </c>
      <c r="N855" s="9">
        <v>4.9444999999999997</v>
      </c>
      <c r="O855" s="9">
        <v>0.37409999999999999</v>
      </c>
      <c r="P855" s="9">
        <v>1.2927</v>
      </c>
      <c r="Q855" s="9">
        <v>19.688099999999999</v>
      </c>
      <c r="R855" s="9"/>
      <c r="S855" s="11"/>
    </row>
    <row r="856" spans="1:19" ht="15" customHeight="1">
      <c r="A856" s="13">
        <v>67237</v>
      </c>
      <c r="B856" s="8">
        <f>CHOOSE( CONTROL!$C$33, 30.2725, 30.2714) * CHOOSE(CONTROL!$C$16, $D$10, 100%, $F$10)</f>
        <v>30.272500000000001</v>
      </c>
      <c r="C856" s="8">
        <f>CHOOSE( CONTROL!$C$33, 30.2776, 30.2765) * CHOOSE(CONTROL!$C$16, $D$10, 100%, $F$10)</f>
        <v>30.2776</v>
      </c>
      <c r="D856" s="8">
        <f>CHOOSE( CONTROL!$C$33, 30.2699, 30.2688) * CHOOSE( CONTROL!$C$16, $D$10, 100%, $F$10)</f>
        <v>30.2699</v>
      </c>
      <c r="E856" s="12">
        <f>CHOOSE( CONTROL!$C$33, 30.2722, 30.2711) * CHOOSE( CONTROL!$C$16, $D$10, 100%, $F$10)</f>
        <v>30.272200000000002</v>
      </c>
      <c r="F856" s="4">
        <f>CHOOSE( CONTROL!$C$33, 30.9354, 30.9342) * CHOOSE(CONTROL!$C$16, $D$10, 100%, $F$10)</f>
        <v>30.935400000000001</v>
      </c>
      <c r="G856" s="8">
        <f>CHOOSE( CONTROL!$C$33, 29.893, 29.8919) * CHOOSE( CONTROL!$C$16, $D$10, 100%, $F$10)</f>
        <v>29.893000000000001</v>
      </c>
      <c r="H856" s="4">
        <f>CHOOSE( CONTROL!$C$33, 30.7776, 30.7765) * CHOOSE(CONTROL!$C$16, $D$10, 100%, $F$10)</f>
        <v>30.7776</v>
      </c>
      <c r="I856" s="8">
        <f>CHOOSE( CONTROL!$C$33, 29.5051, 29.504) * CHOOSE(CONTROL!$C$16, $D$10, 100%, $F$10)</f>
        <v>29.505099999999999</v>
      </c>
      <c r="J856" s="4">
        <f>CHOOSE( CONTROL!$C$33, 29.3295, 29.3284) * CHOOSE(CONTROL!$C$16, $D$10, 100%, $F$10)</f>
        <v>29.329499999999999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" customHeight="1">
      <c r="A857" s="13">
        <v>67266</v>
      </c>
      <c r="B857" s="8">
        <f>CHOOSE( CONTROL!$C$33, 28.3144, 28.3133) * CHOOSE(CONTROL!$C$16, $D$10, 100%, $F$10)</f>
        <v>28.314399999999999</v>
      </c>
      <c r="C857" s="8">
        <f>CHOOSE( CONTROL!$C$33, 28.3195, 28.3184) * CHOOSE(CONTROL!$C$16, $D$10, 100%, $F$10)</f>
        <v>28.319500000000001</v>
      </c>
      <c r="D857" s="8">
        <f>CHOOSE( CONTROL!$C$33, 28.3117, 28.3105) * CHOOSE( CONTROL!$C$16, $D$10, 100%, $F$10)</f>
        <v>28.311699999999998</v>
      </c>
      <c r="E857" s="12">
        <f>CHOOSE( CONTROL!$C$33, 28.314, 28.3128) * CHOOSE( CONTROL!$C$16, $D$10, 100%, $F$10)</f>
        <v>28.314</v>
      </c>
      <c r="F857" s="4">
        <f>CHOOSE( CONTROL!$C$33, 28.9773, 28.9761) * CHOOSE(CONTROL!$C$16, $D$10, 100%, $F$10)</f>
        <v>28.9773</v>
      </c>
      <c r="G857" s="8">
        <f>CHOOSE( CONTROL!$C$33, 27.9621, 27.961) * CHOOSE( CONTROL!$C$16, $D$10, 100%, $F$10)</f>
        <v>27.9621</v>
      </c>
      <c r="H857" s="4">
        <f>CHOOSE( CONTROL!$C$33, 28.8468, 28.8457) * CHOOSE(CONTROL!$C$16, $D$10, 100%, $F$10)</f>
        <v>28.846800000000002</v>
      </c>
      <c r="I857" s="8">
        <f>CHOOSE( CONTROL!$C$33, 27.6076, 27.6065) * CHOOSE(CONTROL!$C$16, $D$10, 100%, $F$10)</f>
        <v>27.607600000000001</v>
      </c>
      <c r="J857" s="4">
        <f>CHOOSE( CONTROL!$C$33, 27.4335, 27.4324) * CHOOSE(CONTROL!$C$16, $D$10, 100%, $F$10)</f>
        <v>27.433499999999999</v>
      </c>
      <c r="K857" s="4"/>
      <c r="L857" s="9">
        <v>27.415299999999998</v>
      </c>
      <c r="M857" s="9">
        <v>11.285299999999999</v>
      </c>
      <c r="N857" s="9">
        <v>4.6254999999999997</v>
      </c>
      <c r="O857" s="9">
        <v>0.34989999999999999</v>
      </c>
      <c r="P857" s="9">
        <v>1.2093</v>
      </c>
      <c r="Q857" s="9">
        <v>18.417899999999999</v>
      </c>
      <c r="R857" s="9"/>
      <c r="S857" s="11"/>
    </row>
    <row r="858" spans="1:19" ht="15" customHeight="1">
      <c r="A858" s="13">
        <v>67297</v>
      </c>
      <c r="B858" s="8">
        <f>CHOOSE( CONTROL!$C$33, 27.7113, 27.7102) * CHOOSE(CONTROL!$C$16, $D$10, 100%, $F$10)</f>
        <v>27.711300000000001</v>
      </c>
      <c r="C858" s="8">
        <f>CHOOSE( CONTROL!$C$33, 27.7164, 27.7153) * CHOOSE(CONTROL!$C$16, $D$10, 100%, $F$10)</f>
        <v>27.7164</v>
      </c>
      <c r="D858" s="8">
        <f>CHOOSE( CONTROL!$C$33, 27.7078, 27.7067) * CHOOSE( CONTROL!$C$16, $D$10, 100%, $F$10)</f>
        <v>27.707799999999999</v>
      </c>
      <c r="E858" s="12">
        <f>CHOOSE( CONTROL!$C$33, 27.7104, 27.7093) * CHOOSE( CONTROL!$C$16, $D$10, 100%, $F$10)</f>
        <v>27.7104</v>
      </c>
      <c r="F858" s="4">
        <f>CHOOSE( CONTROL!$C$33, 28.3742, 28.373) * CHOOSE(CONTROL!$C$16, $D$10, 100%, $F$10)</f>
        <v>28.374199999999998</v>
      </c>
      <c r="G858" s="8">
        <f>CHOOSE( CONTROL!$C$33, 27.3669, 27.3658) * CHOOSE( CONTROL!$C$16, $D$10, 100%, $F$10)</f>
        <v>27.366900000000001</v>
      </c>
      <c r="H858" s="4">
        <f>CHOOSE( CONTROL!$C$33, 28.2522, 28.251) * CHOOSE(CONTROL!$C$16, $D$10, 100%, $F$10)</f>
        <v>28.252199999999998</v>
      </c>
      <c r="I858" s="8">
        <f>CHOOSE( CONTROL!$C$33, 27.021, 27.0199) * CHOOSE(CONTROL!$C$16, $D$10, 100%, $F$10)</f>
        <v>27.021000000000001</v>
      </c>
      <c r="J858" s="4">
        <f>CHOOSE( CONTROL!$C$33, 26.8495, 26.8484) * CHOOSE(CONTROL!$C$16, $D$10, 100%, $F$10)</f>
        <v>26.849499999999999</v>
      </c>
      <c r="K858" s="4"/>
      <c r="L858" s="9">
        <v>29.306000000000001</v>
      </c>
      <c r="M858" s="9">
        <v>12.063700000000001</v>
      </c>
      <c r="N858" s="9">
        <v>4.9444999999999997</v>
      </c>
      <c r="O858" s="9">
        <v>0.37409999999999999</v>
      </c>
      <c r="P858" s="9">
        <v>1.2927</v>
      </c>
      <c r="Q858" s="9">
        <v>19.688099999999999</v>
      </c>
      <c r="R858" s="9"/>
      <c r="S858" s="11"/>
    </row>
    <row r="859" spans="1:19" ht="15" customHeight="1">
      <c r="A859" s="13">
        <v>67327</v>
      </c>
      <c r="B859" s="8">
        <f>CHOOSE( CONTROL!$C$33, 28.1335, 28.1324) * CHOOSE(CONTROL!$C$16, $D$10, 100%, $F$10)</f>
        <v>28.133500000000002</v>
      </c>
      <c r="C859" s="8">
        <f>CHOOSE( CONTROL!$C$33, 28.138, 28.1369) * CHOOSE(CONTROL!$C$16, $D$10, 100%, $F$10)</f>
        <v>28.138000000000002</v>
      </c>
      <c r="D859" s="8">
        <f>CHOOSE( CONTROL!$C$33, 28.1669, 28.1658) * CHOOSE( CONTROL!$C$16, $D$10, 100%, $F$10)</f>
        <v>28.166899999999998</v>
      </c>
      <c r="E859" s="12">
        <f>CHOOSE( CONTROL!$C$33, 28.1568, 28.1557) * CHOOSE( CONTROL!$C$16, $D$10, 100%, $F$10)</f>
        <v>28.1568</v>
      </c>
      <c r="F859" s="4">
        <f>CHOOSE( CONTROL!$C$33, 28.9118, 28.9106) * CHOOSE(CONTROL!$C$16, $D$10, 100%, $F$10)</f>
        <v>28.911799999999999</v>
      </c>
      <c r="G859" s="8">
        <f>CHOOSE( CONTROL!$C$33, 27.8034, 27.8023) * CHOOSE( CONTROL!$C$16, $D$10, 100%, $F$10)</f>
        <v>27.8034</v>
      </c>
      <c r="H859" s="4">
        <f>CHOOSE( CONTROL!$C$33, 28.7823, 28.7812) * CHOOSE(CONTROL!$C$16, $D$10, 100%, $F$10)</f>
        <v>28.782299999999999</v>
      </c>
      <c r="I859" s="8">
        <f>CHOOSE( CONTROL!$C$33, 27.3873, 27.3862) * CHOOSE(CONTROL!$C$16, $D$10, 100%, $F$10)</f>
        <v>27.3873</v>
      </c>
      <c r="J859" s="4">
        <f>CHOOSE( CONTROL!$C$33, 27.2576, 27.2565) * CHOOSE(CONTROL!$C$16, $D$10, 100%, $F$10)</f>
        <v>27.2576</v>
      </c>
      <c r="K859" s="4"/>
      <c r="L859" s="9">
        <v>30.092199999999998</v>
      </c>
      <c r="M859" s="9">
        <v>11.6745</v>
      </c>
      <c r="N859" s="9">
        <v>4.7850000000000001</v>
      </c>
      <c r="O859" s="9">
        <v>0.36199999999999999</v>
      </c>
      <c r="P859" s="9">
        <v>1.2509999999999999</v>
      </c>
      <c r="Q859" s="9">
        <v>19.053000000000001</v>
      </c>
      <c r="R859" s="9"/>
      <c r="S859" s="11"/>
    </row>
    <row r="860" spans="1:19" ht="15" customHeight="1">
      <c r="A860" s="13">
        <v>67358</v>
      </c>
      <c r="B860" s="8">
        <f>CHOOSE( CONTROL!$C$33, 28.8853, 28.8838) * CHOOSE(CONTROL!$C$16, $D$10, 100%, $F$10)</f>
        <v>28.885300000000001</v>
      </c>
      <c r="C860" s="8">
        <f>CHOOSE( CONTROL!$C$33, 28.8933, 28.8918) * CHOOSE(CONTROL!$C$16, $D$10, 100%, $F$10)</f>
        <v>28.8933</v>
      </c>
      <c r="D860" s="8">
        <f>CHOOSE( CONTROL!$C$33, 28.9156, 28.914) * CHOOSE( CONTROL!$C$16, $D$10, 100%, $F$10)</f>
        <v>28.915600000000001</v>
      </c>
      <c r="E860" s="12">
        <f>CHOOSE( CONTROL!$C$33, 28.9063, 28.9047) * CHOOSE( CONTROL!$C$16, $D$10, 100%, $F$10)</f>
        <v>28.906300000000002</v>
      </c>
      <c r="F860" s="4">
        <f>CHOOSE( CONTROL!$C$33, 29.6623, 29.6607) * CHOOSE(CONTROL!$C$16, $D$10, 100%, $F$10)</f>
        <v>29.662299999999998</v>
      </c>
      <c r="G860" s="8">
        <f>CHOOSE( CONTROL!$C$33, 28.5433, 28.5418) * CHOOSE( CONTROL!$C$16, $D$10, 100%, $F$10)</f>
        <v>28.543299999999999</v>
      </c>
      <c r="H860" s="4">
        <f>CHOOSE( CONTROL!$C$33, 29.5223, 29.5207) * CHOOSE(CONTROL!$C$16, $D$10, 100%, $F$10)</f>
        <v>29.522300000000001</v>
      </c>
      <c r="I860" s="8">
        <f>CHOOSE( CONTROL!$C$33, 28.114, 28.1124) * CHOOSE(CONTROL!$C$16, $D$10, 100%, $F$10)</f>
        <v>28.114000000000001</v>
      </c>
      <c r="J860" s="4">
        <f>CHOOSE( CONTROL!$C$33, 27.9843, 27.9827) * CHOOSE(CONTROL!$C$16, $D$10, 100%, $F$10)</f>
        <v>27.984300000000001</v>
      </c>
      <c r="K860" s="4"/>
      <c r="L860" s="9">
        <v>30.7165</v>
      </c>
      <c r="M860" s="9">
        <v>12.063700000000001</v>
      </c>
      <c r="N860" s="9">
        <v>4.9444999999999997</v>
      </c>
      <c r="O860" s="9">
        <v>0.37409999999999999</v>
      </c>
      <c r="P860" s="9">
        <v>1.2927</v>
      </c>
      <c r="Q860" s="9">
        <v>19.688099999999999</v>
      </c>
      <c r="R860" s="9"/>
      <c r="S860" s="11"/>
    </row>
    <row r="861" spans="1:19" ht="15" customHeight="1">
      <c r="A861" s="13">
        <v>67388</v>
      </c>
      <c r="B861" s="8">
        <f>CHOOSE( CONTROL!$C$33, 28.4207, 28.4191) * CHOOSE(CONTROL!$C$16, $D$10, 100%, $F$10)</f>
        <v>28.4207</v>
      </c>
      <c r="C861" s="8">
        <f>CHOOSE( CONTROL!$C$33, 28.4287, 28.4271) * CHOOSE(CONTROL!$C$16, $D$10, 100%, $F$10)</f>
        <v>28.428699999999999</v>
      </c>
      <c r="D861" s="8">
        <f>CHOOSE( CONTROL!$C$33, 28.4511, 28.4495) * CHOOSE( CONTROL!$C$16, $D$10, 100%, $F$10)</f>
        <v>28.4511</v>
      </c>
      <c r="E861" s="12">
        <f>CHOOSE( CONTROL!$C$33, 28.4418, 28.4402) * CHOOSE( CONTROL!$C$16, $D$10, 100%, $F$10)</f>
        <v>28.441800000000001</v>
      </c>
      <c r="F861" s="4">
        <f>CHOOSE( CONTROL!$C$33, 29.1976, 29.1961) * CHOOSE(CONTROL!$C$16, $D$10, 100%, $F$10)</f>
        <v>29.197600000000001</v>
      </c>
      <c r="G861" s="8">
        <f>CHOOSE( CONTROL!$C$33, 28.0853, 28.0838) * CHOOSE( CONTROL!$C$16, $D$10, 100%, $F$10)</f>
        <v>28.0853</v>
      </c>
      <c r="H861" s="4">
        <f>CHOOSE( CONTROL!$C$33, 29.0641, 29.0626) * CHOOSE(CONTROL!$C$16, $D$10, 100%, $F$10)</f>
        <v>29.0641</v>
      </c>
      <c r="I861" s="8">
        <f>CHOOSE( CONTROL!$C$33, 27.6644, 27.6629) * CHOOSE(CONTROL!$C$16, $D$10, 100%, $F$10)</f>
        <v>27.664400000000001</v>
      </c>
      <c r="J861" s="4">
        <f>CHOOSE( CONTROL!$C$33, 27.5344, 27.5329) * CHOOSE(CONTROL!$C$16, $D$10, 100%, $F$10)</f>
        <v>27.534400000000002</v>
      </c>
      <c r="K861" s="4"/>
      <c r="L861" s="9">
        <v>29.7257</v>
      </c>
      <c r="M861" s="9">
        <v>11.6745</v>
      </c>
      <c r="N861" s="9">
        <v>4.7850000000000001</v>
      </c>
      <c r="O861" s="9">
        <v>0.36199999999999999</v>
      </c>
      <c r="P861" s="9">
        <v>1.2509999999999999</v>
      </c>
      <c r="Q861" s="9">
        <v>19.053000000000001</v>
      </c>
      <c r="R861" s="9"/>
      <c r="S861" s="11"/>
    </row>
    <row r="862" spans="1:19" ht="15" customHeight="1">
      <c r="A862" s="13">
        <v>67419</v>
      </c>
      <c r="B862" s="8">
        <f>CHOOSE( CONTROL!$C$33, 29.6442, 29.6427) * CHOOSE(CONTROL!$C$16, $D$10, 100%, $F$10)</f>
        <v>29.644200000000001</v>
      </c>
      <c r="C862" s="8">
        <f>CHOOSE( CONTROL!$C$33, 29.6522, 29.6507) * CHOOSE(CONTROL!$C$16, $D$10, 100%, $F$10)</f>
        <v>29.652200000000001</v>
      </c>
      <c r="D862" s="8">
        <f>CHOOSE( CONTROL!$C$33, 29.6749, 29.6733) * CHOOSE( CONTROL!$C$16, $D$10, 100%, $F$10)</f>
        <v>29.674900000000001</v>
      </c>
      <c r="E862" s="12">
        <f>CHOOSE( CONTROL!$C$33, 29.6655, 29.6639) * CHOOSE( CONTROL!$C$16, $D$10, 100%, $F$10)</f>
        <v>29.665500000000002</v>
      </c>
      <c r="F862" s="4">
        <f>CHOOSE( CONTROL!$C$33, 30.4212, 30.4196) * CHOOSE(CONTROL!$C$16, $D$10, 100%, $F$10)</f>
        <v>30.421199999999999</v>
      </c>
      <c r="G862" s="8">
        <f>CHOOSE( CONTROL!$C$33, 29.292, 29.2904) * CHOOSE( CONTROL!$C$16, $D$10, 100%, $F$10)</f>
        <v>29.292000000000002</v>
      </c>
      <c r="H862" s="4">
        <f>CHOOSE( CONTROL!$C$33, 30.2706, 30.2691) * CHOOSE(CONTROL!$C$16, $D$10, 100%, $F$10)</f>
        <v>30.270600000000002</v>
      </c>
      <c r="I862" s="8">
        <f>CHOOSE( CONTROL!$C$33, 28.8505, 28.849) * CHOOSE(CONTROL!$C$16, $D$10, 100%, $F$10)</f>
        <v>28.8505</v>
      </c>
      <c r="J862" s="4">
        <f>CHOOSE( CONTROL!$C$33, 28.7191, 28.7176) * CHOOSE(CONTROL!$C$16, $D$10, 100%, $F$10)</f>
        <v>28.719100000000001</v>
      </c>
      <c r="K862" s="4"/>
      <c r="L862" s="9">
        <v>30.7165</v>
      </c>
      <c r="M862" s="9">
        <v>12.063700000000001</v>
      </c>
      <c r="N862" s="9">
        <v>4.9444999999999997</v>
      </c>
      <c r="O862" s="9">
        <v>0.37409999999999999</v>
      </c>
      <c r="P862" s="9">
        <v>1.2927</v>
      </c>
      <c r="Q862" s="9">
        <v>19.688099999999999</v>
      </c>
      <c r="R862" s="9"/>
      <c r="S862" s="11"/>
    </row>
    <row r="863" spans="1:19" ht="15" customHeight="1">
      <c r="A863" s="13">
        <v>67450</v>
      </c>
      <c r="B863" s="8">
        <f>CHOOSE( CONTROL!$C$33, 27.3549, 27.3533) * CHOOSE(CONTROL!$C$16, $D$10, 100%, $F$10)</f>
        <v>27.354900000000001</v>
      </c>
      <c r="C863" s="8">
        <f>CHOOSE( CONTROL!$C$33, 27.3629, 27.3613) * CHOOSE(CONTROL!$C$16, $D$10, 100%, $F$10)</f>
        <v>27.3629</v>
      </c>
      <c r="D863" s="8">
        <f>CHOOSE( CONTROL!$C$33, 27.3856, 27.384) * CHOOSE( CONTROL!$C$16, $D$10, 100%, $F$10)</f>
        <v>27.3856</v>
      </c>
      <c r="E863" s="12">
        <f>CHOOSE( CONTROL!$C$33, 27.3762, 27.3746) * CHOOSE( CONTROL!$C$16, $D$10, 100%, $F$10)</f>
        <v>27.376200000000001</v>
      </c>
      <c r="F863" s="4">
        <f>CHOOSE( CONTROL!$C$33, 28.1318, 28.1302) * CHOOSE(CONTROL!$C$16, $D$10, 100%, $F$10)</f>
        <v>28.131799999999998</v>
      </c>
      <c r="G863" s="8">
        <f>CHOOSE( CONTROL!$C$33, 27.0346, 27.033) * CHOOSE( CONTROL!$C$16, $D$10, 100%, $F$10)</f>
        <v>27.034600000000001</v>
      </c>
      <c r="H863" s="4">
        <f>CHOOSE( CONTROL!$C$33, 28.0132, 28.0116) * CHOOSE(CONTROL!$C$16, $D$10, 100%, $F$10)</f>
        <v>28.013200000000001</v>
      </c>
      <c r="I863" s="8">
        <f>CHOOSE( CONTROL!$C$33, 26.6328, 26.6313) * CHOOSE(CONTROL!$C$16, $D$10, 100%, $F$10)</f>
        <v>26.6328</v>
      </c>
      <c r="J863" s="4">
        <f>CHOOSE( CONTROL!$C$33, 26.5023, 26.5008) * CHOOSE(CONTROL!$C$16, $D$10, 100%, $F$10)</f>
        <v>26.502300000000002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1.2927</v>
      </c>
      <c r="Q863" s="9">
        <v>19.688099999999999</v>
      </c>
      <c r="R863" s="9"/>
      <c r="S863" s="11"/>
    </row>
    <row r="864" spans="1:19" ht="15" customHeight="1">
      <c r="A864" s="13">
        <v>67480</v>
      </c>
      <c r="B864" s="8">
        <f>CHOOSE( CONTROL!$C$33, 26.7816, 26.78) * CHOOSE(CONTROL!$C$16, $D$10, 100%, $F$10)</f>
        <v>26.781600000000001</v>
      </c>
      <c r="C864" s="8">
        <f>CHOOSE( CONTROL!$C$33, 26.7896, 26.788) * CHOOSE(CONTROL!$C$16, $D$10, 100%, $F$10)</f>
        <v>26.7896</v>
      </c>
      <c r="D864" s="8">
        <f>CHOOSE( CONTROL!$C$33, 26.8121, 26.8106) * CHOOSE( CONTROL!$C$16, $D$10, 100%, $F$10)</f>
        <v>26.812100000000001</v>
      </c>
      <c r="E864" s="12">
        <f>CHOOSE( CONTROL!$C$33, 26.8027, 26.8012) * CHOOSE( CONTROL!$C$16, $D$10, 100%, $F$10)</f>
        <v>26.802700000000002</v>
      </c>
      <c r="F864" s="4">
        <f>CHOOSE( CONTROL!$C$33, 27.5585, 27.557) * CHOOSE(CONTROL!$C$16, $D$10, 100%, $F$10)</f>
        <v>27.558499999999999</v>
      </c>
      <c r="G864" s="8">
        <f>CHOOSE( CONTROL!$C$33, 26.4692, 26.4676) * CHOOSE( CONTROL!$C$16, $D$10, 100%, $F$10)</f>
        <v>26.469200000000001</v>
      </c>
      <c r="H864" s="4">
        <f>CHOOSE( CONTROL!$C$33, 27.4479, 27.4463) * CHOOSE(CONTROL!$C$16, $D$10, 100%, $F$10)</f>
        <v>27.447900000000001</v>
      </c>
      <c r="I864" s="8">
        <f>CHOOSE( CONTROL!$C$33, 26.077, 26.0755) * CHOOSE(CONTROL!$C$16, $D$10, 100%, $F$10)</f>
        <v>26.077000000000002</v>
      </c>
      <c r="J864" s="4">
        <f>CHOOSE( CONTROL!$C$33, 25.9472, 25.9457) * CHOOSE(CONTROL!$C$16, $D$10, 100%, $F$10)</f>
        <v>25.947199999999999</v>
      </c>
      <c r="K864" s="4"/>
      <c r="L864" s="9">
        <v>29.7257</v>
      </c>
      <c r="M864" s="9">
        <v>11.6745</v>
      </c>
      <c r="N864" s="9">
        <v>4.7850000000000001</v>
      </c>
      <c r="O864" s="9">
        <v>0.36199999999999999</v>
      </c>
      <c r="P864" s="9">
        <v>1.2509999999999999</v>
      </c>
      <c r="Q864" s="9">
        <v>19.053000000000001</v>
      </c>
      <c r="R864" s="9"/>
      <c r="S864" s="11"/>
    </row>
    <row r="865" spans="1:19" ht="15" customHeight="1">
      <c r="A865" s="13">
        <v>67511</v>
      </c>
      <c r="B865" s="8">
        <f>CHOOSE( CONTROL!$C$33, 27.9698, 27.9686) * CHOOSE(CONTROL!$C$16, $D$10, 100%, $F$10)</f>
        <v>27.969799999999999</v>
      </c>
      <c r="C865" s="8">
        <f>CHOOSE( CONTROL!$C$33, 27.9751, 27.974) * CHOOSE(CONTROL!$C$16, $D$10, 100%, $F$10)</f>
        <v>27.975100000000001</v>
      </c>
      <c r="D865" s="8">
        <f>CHOOSE( CONTROL!$C$33, 28.0039, 28.0028) * CHOOSE( CONTROL!$C$16, $D$10, 100%, $F$10)</f>
        <v>28.003900000000002</v>
      </c>
      <c r="E865" s="12">
        <f>CHOOSE( CONTROL!$C$33, 27.9938, 27.9927) * CHOOSE( CONTROL!$C$16, $D$10, 100%, $F$10)</f>
        <v>27.9938</v>
      </c>
      <c r="F865" s="4">
        <f>CHOOSE( CONTROL!$C$33, 28.7484, 28.7473) * CHOOSE(CONTROL!$C$16, $D$10, 100%, $F$10)</f>
        <v>28.7484</v>
      </c>
      <c r="G865" s="8">
        <f>CHOOSE( CONTROL!$C$33, 27.6426, 27.6415) * CHOOSE( CONTROL!$C$16, $D$10, 100%, $F$10)</f>
        <v>27.642600000000002</v>
      </c>
      <c r="H865" s="4">
        <f>CHOOSE( CONTROL!$C$33, 28.6212, 28.6201) * CHOOSE(CONTROL!$C$16, $D$10, 100%, $F$10)</f>
        <v>28.621200000000002</v>
      </c>
      <c r="I865" s="8">
        <f>CHOOSE( CONTROL!$C$33, 27.2303, 27.2292) * CHOOSE(CONTROL!$C$16, $D$10, 100%, $F$10)</f>
        <v>27.2303</v>
      </c>
      <c r="J865" s="4">
        <f>CHOOSE( CONTROL!$C$33, 27.0994, 27.0983) * CHOOSE(CONTROL!$C$16, $D$10, 100%, $F$10)</f>
        <v>27.099399999999999</v>
      </c>
      <c r="K865" s="4"/>
      <c r="L865" s="9">
        <v>31.095300000000002</v>
      </c>
      <c r="M865" s="9">
        <v>12.063700000000001</v>
      </c>
      <c r="N865" s="9">
        <v>4.9444999999999997</v>
      </c>
      <c r="O865" s="9">
        <v>0.37409999999999999</v>
      </c>
      <c r="P865" s="9">
        <v>1.2927</v>
      </c>
      <c r="Q865" s="9">
        <v>19.688099999999999</v>
      </c>
      <c r="R865" s="9"/>
      <c r="S865" s="11"/>
    </row>
    <row r="866" spans="1:19" ht="15" customHeight="1">
      <c r="A866" s="13">
        <v>67541</v>
      </c>
      <c r="B866" s="8">
        <f>CHOOSE( CONTROL!$C$33, 30.1665, 30.1653) * CHOOSE(CONTROL!$C$16, $D$10, 100%, $F$10)</f>
        <v>30.166499999999999</v>
      </c>
      <c r="C866" s="8">
        <f>CHOOSE( CONTROL!$C$33, 30.1716, 30.1704) * CHOOSE(CONTROL!$C$16, $D$10, 100%, $F$10)</f>
        <v>30.171600000000002</v>
      </c>
      <c r="D866" s="8">
        <f>CHOOSE( CONTROL!$C$33, 30.1512, 30.1501) * CHOOSE( CONTROL!$C$16, $D$10, 100%, $F$10)</f>
        <v>30.151199999999999</v>
      </c>
      <c r="E866" s="12">
        <f>CHOOSE( CONTROL!$C$33, 30.1581, 30.157) * CHOOSE( CONTROL!$C$16, $D$10, 100%, $F$10)</f>
        <v>30.158100000000001</v>
      </c>
      <c r="F866" s="4">
        <f>CHOOSE( CONTROL!$C$33, 30.8293, 30.8282) * CHOOSE(CONTROL!$C$16, $D$10, 100%, $F$10)</f>
        <v>30.8293</v>
      </c>
      <c r="G866" s="8">
        <f>CHOOSE( CONTROL!$C$33, 29.7816, 29.7805) * CHOOSE( CONTROL!$C$16, $D$10, 100%, $F$10)</f>
        <v>29.781600000000001</v>
      </c>
      <c r="H866" s="4">
        <f>CHOOSE( CONTROL!$C$33, 30.6731, 30.672) * CHOOSE(CONTROL!$C$16, $D$10, 100%, $F$10)</f>
        <v>30.673100000000002</v>
      </c>
      <c r="I866" s="8">
        <f>CHOOSE( CONTROL!$C$33, 29.4066, 29.4055) * CHOOSE(CONTROL!$C$16, $D$10, 100%, $F$10)</f>
        <v>29.406600000000001</v>
      </c>
      <c r="J866" s="4">
        <f>CHOOSE( CONTROL!$C$33, 29.2269, 29.2258) * CHOOSE(CONTROL!$C$16, $D$10, 100%, $F$10)</f>
        <v>29.226900000000001</v>
      </c>
      <c r="K866" s="4"/>
      <c r="L866" s="9">
        <v>28.360600000000002</v>
      </c>
      <c r="M866" s="9">
        <v>11.6745</v>
      </c>
      <c r="N866" s="9">
        <v>4.7850000000000001</v>
      </c>
      <c r="O866" s="9">
        <v>0.36199999999999999</v>
      </c>
      <c r="P866" s="9">
        <v>1.2509999999999999</v>
      </c>
      <c r="Q866" s="9">
        <v>19.053000000000001</v>
      </c>
      <c r="R866" s="9"/>
      <c r="S866" s="11"/>
    </row>
    <row r="867" spans="1:19" ht="15" customHeight="1">
      <c r="A867" s="13">
        <v>67572</v>
      </c>
      <c r="B867" s="8">
        <f>CHOOSE( CONTROL!$C$33, 30.1116, 30.1105) * CHOOSE(CONTROL!$C$16, $D$10, 100%, $F$10)</f>
        <v>30.111599999999999</v>
      </c>
      <c r="C867" s="8">
        <f>CHOOSE( CONTROL!$C$33, 30.1167, 30.1156) * CHOOSE(CONTROL!$C$16, $D$10, 100%, $F$10)</f>
        <v>30.116700000000002</v>
      </c>
      <c r="D867" s="8">
        <f>CHOOSE( CONTROL!$C$33, 30.0978, 30.0967) * CHOOSE( CONTROL!$C$16, $D$10, 100%, $F$10)</f>
        <v>30.097799999999999</v>
      </c>
      <c r="E867" s="12">
        <f>CHOOSE( CONTROL!$C$33, 30.1042, 30.1031) * CHOOSE( CONTROL!$C$16, $D$10, 100%, $F$10)</f>
        <v>30.104199999999999</v>
      </c>
      <c r="F867" s="4">
        <f>CHOOSE( CONTROL!$C$33, 30.7744, 30.7733) * CHOOSE(CONTROL!$C$16, $D$10, 100%, $F$10)</f>
        <v>30.7744</v>
      </c>
      <c r="G867" s="8">
        <f>CHOOSE( CONTROL!$C$33, 29.7285, 29.7274) * CHOOSE( CONTROL!$C$16, $D$10, 100%, $F$10)</f>
        <v>29.7285</v>
      </c>
      <c r="H867" s="4">
        <f>CHOOSE( CONTROL!$C$33, 30.6189, 30.6178) * CHOOSE(CONTROL!$C$16, $D$10, 100%, $F$10)</f>
        <v>30.6189</v>
      </c>
      <c r="I867" s="8">
        <f>CHOOSE( CONTROL!$C$33, 29.358, 29.3569) * CHOOSE(CONTROL!$C$16, $D$10, 100%, $F$10)</f>
        <v>29.358000000000001</v>
      </c>
      <c r="J867" s="4">
        <f>CHOOSE( CONTROL!$C$33, 29.1737, 29.1726) * CHOOSE(CONTROL!$C$16, $D$10, 100%, $F$10)</f>
        <v>29.1737</v>
      </c>
      <c r="K867" s="4"/>
      <c r="L867" s="9">
        <v>29.306000000000001</v>
      </c>
      <c r="M867" s="9">
        <v>12.063700000000001</v>
      </c>
      <c r="N867" s="9">
        <v>4.9444999999999997</v>
      </c>
      <c r="O867" s="9">
        <v>0.37409999999999999</v>
      </c>
      <c r="P867" s="9">
        <v>1.2927</v>
      </c>
      <c r="Q867" s="9">
        <v>19.688099999999999</v>
      </c>
      <c r="R867" s="9"/>
      <c r="S867" s="11"/>
    </row>
    <row r="868" spans="1:19" ht="15" customHeight="1">
      <c r="A868" s="13">
        <v>67603</v>
      </c>
      <c r="B868" s="8">
        <f>CHOOSE( CONTROL!$C$33, 31.0002, 30.9991) * CHOOSE(CONTROL!$C$16, $D$10, 100%, $F$10)</f>
        <v>31.0002</v>
      </c>
      <c r="C868" s="8">
        <f>CHOOSE( CONTROL!$C$33, 31.0053, 31.0042) * CHOOSE(CONTROL!$C$16, $D$10, 100%, $F$10)</f>
        <v>31.005299999999998</v>
      </c>
      <c r="D868" s="8">
        <f>CHOOSE( CONTROL!$C$33, 30.9977, 30.9966) * CHOOSE( CONTROL!$C$16, $D$10, 100%, $F$10)</f>
        <v>30.997699999999998</v>
      </c>
      <c r="E868" s="12">
        <f>CHOOSE( CONTROL!$C$33, 30.9999, 30.9988) * CHOOSE( CONTROL!$C$16, $D$10, 100%, $F$10)</f>
        <v>30.9999</v>
      </c>
      <c r="F868" s="4">
        <f>CHOOSE( CONTROL!$C$33, 31.6631, 31.662) * CHOOSE(CONTROL!$C$16, $D$10, 100%, $F$10)</f>
        <v>31.6631</v>
      </c>
      <c r="G868" s="8">
        <f>CHOOSE( CONTROL!$C$33, 30.6106, 30.6095) * CHOOSE( CONTROL!$C$16, $D$10, 100%, $F$10)</f>
        <v>30.610600000000002</v>
      </c>
      <c r="H868" s="4">
        <f>CHOOSE( CONTROL!$C$33, 31.4952, 31.4941) * CHOOSE(CONTROL!$C$16, $D$10, 100%, $F$10)</f>
        <v>31.495200000000001</v>
      </c>
      <c r="I868" s="8">
        <f>CHOOSE( CONTROL!$C$33, 30.2102, 30.2091) * CHOOSE(CONTROL!$C$16, $D$10, 100%, $F$10)</f>
        <v>30.2102</v>
      </c>
      <c r="J868" s="4">
        <f>CHOOSE( CONTROL!$C$33, 30.0342, 30.0331) * CHOOSE(CONTROL!$C$16, $D$10, 100%, $F$10)</f>
        <v>30.034199999999998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" customHeight="1">
      <c r="A869" s="13">
        <v>67631</v>
      </c>
      <c r="B869" s="8">
        <f>CHOOSE( CONTROL!$C$33, 28.9951, 28.994) * CHOOSE(CONTROL!$C$16, $D$10, 100%, $F$10)</f>
        <v>28.995100000000001</v>
      </c>
      <c r="C869" s="8">
        <f>CHOOSE( CONTROL!$C$33, 29.0002, 28.9991) * CHOOSE(CONTROL!$C$16, $D$10, 100%, $F$10)</f>
        <v>29.0002</v>
      </c>
      <c r="D869" s="8">
        <f>CHOOSE( CONTROL!$C$33, 28.9924, 28.9912) * CHOOSE( CONTROL!$C$16, $D$10, 100%, $F$10)</f>
        <v>28.9924</v>
      </c>
      <c r="E869" s="12">
        <f>CHOOSE( CONTROL!$C$33, 28.9947, 28.9935) * CHOOSE( CONTROL!$C$16, $D$10, 100%, $F$10)</f>
        <v>28.994700000000002</v>
      </c>
      <c r="F869" s="4">
        <f>CHOOSE( CONTROL!$C$33, 29.658, 29.6568) * CHOOSE(CONTROL!$C$16, $D$10, 100%, $F$10)</f>
        <v>29.658000000000001</v>
      </c>
      <c r="G869" s="8">
        <f>CHOOSE( CONTROL!$C$33, 28.6333, 28.6322) * CHOOSE( CONTROL!$C$16, $D$10, 100%, $F$10)</f>
        <v>28.633299999999998</v>
      </c>
      <c r="H869" s="4">
        <f>CHOOSE( CONTROL!$C$33, 29.518, 29.5169) * CHOOSE(CONTROL!$C$16, $D$10, 100%, $F$10)</f>
        <v>29.518000000000001</v>
      </c>
      <c r="I869" s="8">
        <f>CHOOSE( CONTROL!$C$33, 28.267, 28.2659) * CHOOSE(CONTROL!$C$16, $D$10, 100%, $F$10)</f>
        <v>28.266999999999999</v>
      </c>
      <c r="J869" s="4">
        <f>CHOOSE( CONTROL!$C$33, 28.0926, 28.0915) * CHOOSE(CONTROL!$C$16, $D$10, 100%, $F$10)</f>
        <v>28.092600000000001</v>
      </c>
      <c r="K869" s="4"/>
      <c r="L869" s="9">
        <v>26.469899999999999</v>
      </c>
      <c r="M869" s="9">
        <v>10.8962</v>
      </c>
      <c r="N869" s="9">
        <v>4.4660000000000002</v>
      </c>
      <c r="O869" s="9">
        <v>0.33789999999999998</v>
      </c>
      <c r="P869" s="9">
        <v>1.1676</v>
      </c>
      <c r="Q869" s="9">
        <v>17.782800000000002</v>
      </c>
      <c r="R869" s="9"/>
      <c r="S869" s="11"/>
    </row>
    <row r="870" spans="1:19" ht="15" customHeight="1">
      <c r="A870" s="13">
        <v>67662</v>
      </c>
      <c r="B870" s="8">
        <f>CHOOSE( CONTROL!$C$33, 28.3775, 28.3764) * CHOOSE(CONTROL!$C$16, $D$10, 100%, $F$10)</f>
        <v>28.377500000000001</v>
      </c>
      <c r="C870" s="8">
        <f>CHOOSE( CONTROL!$C$33, 28.3826, 28.3815) * CHOOSE(CONTROL!$C$16, $D$10, 100%, $F$10)</f>
        <v>28.3826</v>
      </c>
      <c r="D870" s="8">
        <f>CHOOSE( CONTROL!$C$33, 28.3741, 28.3729) * CHOOSE( CONTROL!$C$16, $D$10, 100%, $F$10)</f>
        <v>28.374099999999999</v>
      </c>
      <c r="E870" s="12">
        <f>CHOOSE( CONTROL!$C$33, 28.3767, 28.3755) * CHOOSE( CONTROL!$C$16, $D$10, 100%, $F$10)</f>
        <v>28.3767</v>
      </c>
      <c r="F870" s="4">
        <f>CHOOSE( CONTROL!$C$33, 29.0404, 29.0393) * CHOOSE(CONTROL!$C$16, $D$10, 100%, $F$10)</f>
        <v>29.040400000000002</v>
      </c>
      <c r="G870" s="8">
        <f>CHOOSE( CONTROL!$C$33, 28.0238, 28.0227) * CHOOSE( CONTROL!$C$16, $D$10, 100%, $F$10)</f>
        <v>28.023800000000001</v>
      </c>
      <c r="H870" s="4">
        <f>CHOOSE( CONTROL!$C$33, 28.9091, 28.908) * CHOOSE(CONTROL!$C$16, $D$10, 100%, $F$10)</f>
        <v>28.909099999999999</v>
      </c>
      <c r="I870" s="8">
        <f>CHOOSE( CONTROL!$C$33, 27.6664, 27.6654) * CHOOSE(CONTROL!$C$16, $D$10, 100%, $F$10)</f>
        <v>27.666399999999999</v>
      </c>
      <c r="J870" s="4">
        <f>CHOOSE( CONTROL!$C$33, 27.4946, 27.4935) * CHOOSE(CONTROL!$C$16, $D$10, 100%, $F$10)</f>
        <v>27.494599999999998</v>
      </c>
      <c r="K870" s="4"/>
      <c r="L870" s="9">
        <v>29.306000000000001</v>
      </c>
      <c r="M870" s="9">
        <v>12.063700000000001</v>
      </c>
      <c r="N870" s="9">
        <v>4.9444999999999997</v>
      </c>
      <c r="O870" s="9">
        <v>0.37409999999999999</v>
      </c>
      <c r="P870" s="9">
        <v>1.2927</v>
      </c>
      <c r="Q870" s="9">
        <v>19.688099999999999</v>
      </c>
      <c r="R870" s="9"/>
      <c r="S870" s="11"/>
    </row>
    <row r="871" spans="1:19" ht="15" customHeight="1">
      <c r="A871" s="13">
        <v>67692</v>
      </c>
      <c r="B871" s="8">
        <f>CHOOSE( CONTROL!$C$33, 28.8098, 28.8087) * CHOOSE(CONTROL!$C$16, $D$10, 100%, $F$10)</f>
        <v>28.809799999999999</v>
      </c>
      <c r="C871" s="8">
        <f>CHOOSE( CONTROL!$C$33, 28.8144, 28.8132) * CHOOSE(CONTROL!$C$16, $D$10, 100%, $F$10)</f>
        <v>28.814399999999999</v>
      </c>
      <c r="D871" s="8">
        <f>CHOOSE( CONTROL!$C$33, 28.8432, 28.8421) * CHOOSE( CONTROL!$C$16, $D$10, 100%, $F$10)</f>
        <v>28.8432</v>
      </c>
      <c r="E871" s="12">
        <f>CHOOSE( CONTROL!$C$33, 28.8332, 28.832) * CHOOSE( CONTROL!$C$16, $D$10, 100%, $F$10)</f>
        <v>28.833200000000001</v>
      </c>
      <c r="F871" s="4">
        <f>CHOOSE( CONTROL!$C$33, 29.5881, 29.587) * CHOOSE(CONTROL!$C$16, $D$10, 100%, $F$10)</f>
        <v>29.588100000000001</v>
      </c>
      <c r="G871" s="8">
        <f>CHOOSE( CONTROL!$C$33, 28.4703, 28.4692) * CHOOSE( CONTROL!$C$16, $D$10, 100%, $F$10)</f>
        <v>28.470300000000002</v>
      </c>
      <c r="H871" s="4">
        <f>CHOOSE( CONTROL!$C$33, 29.4492, 29.4481) * CHOOSE(CONTROL!$C$16, $D$10, 100%, $F$10)</f>
        <v>29.449200000000001</v>
      </c>
      <c r="I871" s="8">
        <f>CHOOSE( CONTROL!$C$33, 28.0425, 28.0414) * CHOOSE(CONTROL!$C$16, $D$10, 100%, $F$10)</f>
        <v>28.0425</v>
      </c>
      <c r="J871" s="4">
        <f>CHOOSE( CONTROL!$C$33, 27.9125, 27.9114) * CHOOSE(CONTROL!$C$16, $D$10, 100%, $F$10)</f>
        <v>27.912500000000001</v>
      </c>
      <c r="K871" s="4"/>
      <c r="L871" s="9">
        <v>30.092199999999998</v>
      </c>
      <c r="M871" s="9">
        <v>11.6745</v>
      </c>
      <c r="N871" s="9">
        <v>4.7850000000000001</v>
      </c>
      <c r="O871" s="9">
        <v>0.36199999999999999</v>
      </c>
      <c r="P871" s="9">
        <v>1.2509999999999999</v>
      </c>
      <c r="Q871" s="9">
        <v>19.053000000000001</v>
      </c>
      <c r="R871" s="9"/>
      <c r="S871" s="11"/>
    </row>
    <row r="872" spans="1:19" ht="15" customHeight="1">
      <c r="A872" s="13">
        <v>67723</v>
      </c>
      <c r="B872" s="8">
        <f>CHOOSE( CONTROL!$C$33, 29.5797, 29.5781) * CHOOSE(CONTROL!$C$16, $D$10, 100%, $F$10)</f>
        <v>29.579699999999999</v>
      </c>
      <c r="C872" s="8">
        <f>CHOOSE( CONTROL!$C$33, 29.5877, 29.5861) * CHOOSE(CONTROL!$C$16, $D$10, 100%, $F$10)</f>
        <v>29.587700000000002</v>
      </c>
      <c r="D872" s="8">
        <f>CHOOSE( CONTROL!$C$33, 29.6099, 29.6084) * CHOOSE( CONTROL!$C$16, $D$10, 100%, $F$10)</f>
        <v>29.6099</v>
      </c>
      <c r="E872" s="12">
        <f>CHOOSE( CONTROL!$C$33, 29.6006, 29.5991) * CHOOSE( CONTROL!$C$16, $D$10, 100%, $F$10)</f>
        <v>29.6006</v>
      </c>
      <c r="F872" s="4">
        <f>CHOOSE( CONTROL!$C$33, 30.3566, 30.3551) * CHOOSE(CONTROL!$C$16, $D$10, 100%, $F$10)</f>
        <v>30.3566</v>
      </c>
      <c r="G872" s="8">
        <f>CHOOSE( CONTROL!$C$33, 29.228, 29.2265) * CHOOSE( CONTROL!$C$16, $D$10, 100%, $F$10)</f>
        <v>29.228000000000002</v>
      </c>
      <c r="H872" s="4">
        <f>CHOOSE( CONTROL!$C$33, 30.207, 30.2054) * CHOOSE(CONTROL!$C$16, $D$10, 100%, $F$10)</f>
        <v>30.207000000000001</v>
      </c>
      <c r="I872" s="8">
        <f>CHOOSE( CONTROL!$C$33, 28.7867, 28.7851) * CHOOSE(CONTROL!$C$16, $D$10, 100%, $F$10)</f>
        <v>28.7867</v>
      </c>
      <c r="J872" s="4">
        <f>CHOOSE( CONTROL!$C$33, 28.6566, 28.6551) * CHOOSE(CONTROL!$C$16, $D$10, 100%, $F$10)</f>
        <v>28.656600000000001</v>
      </c>
      <c r="K872" s="4"/>
      <c r="L872" s="9">
        <v>30.7165</v>
      </c>
      <c r="M872" s="9">
        <v>12.063700000000001</v>
      </c>
      <c r="N872" s="9">
        <v>4.9444999999999997</v>
      </c>
      <c r="O872" s="9">
        <v>0.37409999999999999</v>
      </c>
      <c r="P872" s="9">
        <v>1.2927</v>
      </c>
      <c r="Q872" s="9">
        <v>19.688099999999999</v>
      </c>
      <c r="R872" s="9"/>
      <c r="S872" s="11"/>
    </row>
    <row r="873" spans="1:19" ht="15" customHeight="1">
      <c r="A873" s="13">
        <v>67753</v>
      </c>
      <c r="B873" s="8">
        <f>CHOOSE( CONTROL!$C$33, 29.1039, 29.1023) * CHOOSE(CONTROL!$C$16, $D$10, 100%, $F$10)</f>
        <v>29.103899999999999</v>
      </c>
      <c r="C873" s="8">
        <f>CHOOSE( CONTROL!$C$33, 29.1119, 29.1103) * CHOOSE(CONTROL!$C$16, $D$10, 100%, $F$10)</f>
        <v>29.111899999999999</v>
      </c>
      <c r="D873" s="8">
        <f>CHOOSE( CONTROL!$C$33, 29.1343, 29.1327) * CHOOSE( CONTROL!$C$16, $D$10, 100%, $F$10)</f>
        <v>29.1343</v>
      </c>
      <c r="E873" s="12">
        <f>CHOOSE( CONTROL!$C$33, 29.125, 29.1234) * CHOOSE( CONTROL!$C$16, $D$10, 100%, $F$10)</f>
        <v>29.125</v>
      </c>
      <c r="F873" s="4">
        <f>CHOOSE( CONTROL!$C$33, 29.8808, 29.8793) * CHOOSE(CONTROL!$C$16, $D$10, 100%, $F$10)</f>
        <v>29.880800000000001</v>
      </c>
      <c r="G873" s="8">
        <f>CHOOSE( CONTROL!$C$33, 28.759, 28.7574) * CHOOSE( CONTROL!$C$16, $D$10, 100%, $F$10)</f>
        <v>28.759</v>
      </c>
      <c r="H873" s="4">
        <f>CHOOSE( CONTROL!$C$33, 29.7378, 29.7363) * CHOOSE(CONTROL!$C$16, $D$10, 100%, $F$10)</f>
        <v>29.7378</v>
      </c>
      <c r="I873" s="8">
        <f>CHOOSE( CONTROL!$C$33, 28.3263, 28.3248) * CHOOSE(CONTROL!$C$16, $D$10, 100%, $F$10)</f>
        <v>28.3263</v>
      </c>
      <c r="J873" s="4">
        <f>CHOOSE( CONTROL!$C$33, 28.1959, 28.1944) * CHOOSE(CONTROL!$C$16, $D$10, 100%, $F$10)</f>
        <v>28.195900000000002</v>
      </c>
      <c r="K873" s="4"/>
      <c r="L873" s="9">
        <v>29.7257</v>
      </c>
      <c r="M873" s="9">
        <v>11.6745</v>
      </c>
      <c r="N873" s="9">
        <v>4.7850000000000001</v>
      </c>
      <c r="O873" s="9">
        <v>0.36199999999999999</v>
      </c>
      <c r="P873" s="9">
        <v>1.2509999999999999</v>
      </c>
      <c r="Q873" s="9">
        <v>19.053000000000001</v>
      </c>
      <c r="R873" s="9"/>
      <c r="S873" s="11"/>
    </row>
    <row r="874" spans="1:19" ht="15" customHeight="1">
      <c r="A874" s="13">
        <v>67784</v>
      </c>
      <c r="B874" s="8">
        <f>CHOOSE( CONTROL!$C$33, 30.3568, 30.3553) * CHOOSE(CONTROL!$C$16, $D$10, 100%, $F$10)</f>
        <v>30.3568</v>
      </c>
      <c r="C874" s="8">
        <f>CHOOSE( CONTROL!$C$33, 30.3648, 30.3633) * CHOOSE(CONTROL!$C$16, $D$10, 100%, $F$10)</f>
        <v>30.364799999999999</v>
      </c>
      <c r="D874" s="8">
        <f>CHOOSE( CONTROL!$C$33, 30.3875, 30.3859) * CHOOSE( CONTROL!$C$16, $D$10, 100%, $F$10)</f>
        <v>30.387499999999999</v>
      </c>
      <c r="E874" s="12">
        <f>CHOOSE( CONTROL!$C$33, 30.3781, 30.3765) * CHOOSE( CONTROL!$C$16, $D$10, 100%, $F$10)</f>
        <v>30.3781</v>
      </c>
      <c r="F874" s="4">
        <f>CHOOSE( CONTROL!$C$33, 31.1338, 31.1322) * CHOOSE(CONTROL!$C$16, $D$10, 100%, $F$10)</f>
        <v>31.133800000000001</v>
      </c>
      <c r="G874" s="8">
        <f>CHOOSE( CONTROL!$C$33, 29.9946, 29.9931) * CHOOSE( CONTROL!$C$16, $D$10, 100%, $F$10)</f>
        <v>29.994599999999998</v>
      </c>
      <c r="H874" s="4">
        <f>CHOOSE( CONTROL!$C$33, 30.9733, 30.9717) * CHOOSE(CONTROL!$C$16, $D$10, 100%, $F$10)</f>
        <v>30.973299999999998</v>
      </c>
      <c r="I874" s="8">
        <f>CHOOSE( CONTROL!$C$33, 29.5409, 29.5394) * CHOOSE(CONTROL!$C$16, $D$10, 100%, $F$10)</f>
        <v>29.540900000000001</v>
      </c>
      <c r="J874" s="4">
        <f>CHOOSE( CONTROL!$C$33, 29.4091, 29.4076) * CHOOSE(CONTROL!$C$16, $D$10, 100%, $F$10)</f>
        <v>29.409099999999999</v>
      </c>
      <c r="K874" s="4"/>
      <c r="L874" s="9">
        <v>30.7165</v>
      </c>
      <c r="M874" s="9">
        <v>12.063700000000001</v>
      </c>
      <c r="N874" s="9">
        <v>4.9444999999999997</v>
      </c>
      <c r="O874" s="9">
        <v>0.37409999999999999</v>
      </c>
      <c r="P874" s="9">
        <v>1.2927</v>
      </c>
      <c r="Q874" s="9">
        <v>19.688099999999999</v>
      </c>
      <c r="R874" s="9"/>
      <c r="S874" s="11"/>
    </row>
    <row r="875" spans="1:19" ht="15" customHeight="1">
      <c r="A875" s="13">
        <v>67815</v>
      </c>
      <c r="B875" s="8">
        <f>CHOOSE( CONTROL!$C$33, 28.0125, 28.0109) * CHOOSE(CONTROL!$C$16, $D$10, 100%, $F$10)</f>
        <v>28.012499999999999</v>
      </c>
      <c r="C875" s="8">
        <f>CHOOSE( CONTROL!$C$33, 28.0205, 28.0189) * CHOOSE(CONTROL!$C$16, $D$10, 100%, $F$10)</f>
        <v>28.020499999999998</v>
      </c>
      <c r="D875" s="8">
        <f>CHOOSE( CONTROL!$C$33, 28.0431, 28.0416) * CHOOSE( CONTROL!$C$16, $D$10, 100%, $F$10)</f>
        <v>28.043099999999999</v>
      </c>
      <c r="E875" s="12">
        <f>CHOOSE( CONTROL!$C$33, 28.0337, 28.0322) * CHOOSE( CONTROL!$C$16, $D$10, 100%, $F$10)</f>
        <v>28.0337</v>
      </c>
      <c r="F875" s="4">
        <f>CHOOSE( CONTROL!$C$33, 28.7894, 28.7878) * CHOOSE(CONTROL!$C$16, $D$10, 100%, $F$10)</f>
        <v>28.789400000000001</v>
      </c>
      <c r="G875" s="8">
        <f>CHOOSE( CONTROL!$C$33, 27.683, 27.6814) * CHOOSE( CONTROL!$C$16, $D$10, 100%, $F$10)</f>
        <v>27.683</v>
      </c>
      <c r="H875" s="4">
        <f>CHOOSE( CONTROL!$C$33, 28.6616, 28.66) * CHOOSE(CONTROL!$C$16, $D$10, 100%, $F$10)</f>
        <v>28.6616</v>
      </c>
      <c r="I875" s="8">
        <f>CHOOSE( CONTROL!$C$33, 27.2699, 27.2684) * CHOOSE(CONTROL!$C$16, $D$10, 100%, $F$10)</f>
        <v>27.2699</v>
      </c>
      <c r="J875" s="4">
        <f>CHOOSE( CONTROL!$C$33, 27.1391, 27.1376) * CHOOSE(CONTROL!$C$16, $D$10, 100%, $F$10)</f>
        <v>27.139099999999999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1.2927</v>
      </c>
      <c r="Q875" s="9">
        <v>19.688099999999999</v>
      </c>
      <c r="R875" s="9"/>
      <c r="S875" s="11"/>
    </row>
    <row r="876" spans="1:19" ht="15" customHeight="1">
      <c r="A876" s="13">
        <v>67845</v>
      </c>
      <c r="B876" s="8">
        <f>CHOOSE( CONTROL!$C$33, 27.4254, 27.4238) * CHOOSE(CONTROL!$C$16, $D$10, 100%, $F$10)</f>
        <v>27.4254</v>
      </c>
      <c r="C876" s="8">
        <f>CHOOSE( CONTROL!$C$33, 27.4334, 27.4318) * CHOOSE(CONTROL!$C$16, $D$10, 100%, $F$10)</f>
        <v>27.433399999999999</v>
      </c>
      <c r="D876" s="8">
        <f>CHOOSE( CONTROL!$C$33, 27.456, 27.4544) * CHOOSE( CONTROL!$C$16, $D$10, 100%, $F$10)</f>
        <v>27.456</v>
      </c>
      <c r="E876" s="12">
        <f>CHOOSE( CONTROL!$C$33, 27.4466, 27.445) * CHOOSE( CONTROL!$C$16, $D$10, 100%, $F$10)</f>
        <v>27.4466</v>
      </c>
      <c r="F876" s="4">
        <f>CHOOSE( CONTROL!$C$33, 28.2023, 28.2008) * CHOOSE(CONTROL!$C$16, $D$10, 100%, $F$10)</f>
        <v>28.202300000000001</v>
      </c>
      <c r="G876" s="8">
        <f>CHOOSE( CONTROL!$C$33, 27.104, 27.1025) * CHOOSE( CONTROL!$C$16, $D$10, 100%, $F$10)</f>
        <v>27.103999999999999</v>
      </c>
      <c r="H876" s="4">
        <f>CHOOSE( CONTROL!$C$33, 28.0827, 28.0812) * CHOOSE(CONTROL!$C$16, $D$10, 100%, $F$10)</f>
        <v>28.082699999999999</v>
      </c>
      <c r="I876" s="8">
        <f>CHOOSE( CONTROL!$C$33, 26.7007, 26.6992) * CHOOSE(CONTROL!$C$16, $D$10, 100%, $F$10)</f>
        <v>26.700700000000001</v>
      </c>
      <c r="J876" s="4">
        <f>CHOOSE( CONTROL!$C$33, 26.5706, 26.5691) * CHOOSE(CONTROL!$C$16, $D$10, 100%, $F$10)</f>
        <v>26.570599999999999</v>
      </c>
      <c r="K876" s="4"/>
      <c r="L876" s="9">
        <v>29.7257</v>
      </c>
      <c r="M876" s="9">
        <v>11.6745</v>
      </c>
      <c r="N876" s="9">
        <v>4.7850000000000001</v>
      </c>
      <c r="O876" s="9">
        <v>0.36199999999999999</v>
      </c>
      <c r="P876" s="9">
        <v>1.2509999999999999</v>
      </c>
      <c r="Q876" s="9">
        <v>19.053000000000001</v>
      </c>
      <c r="R876" s="9"/>
      <c r="S876" s="11"/>
    </row>
    <row r="877" spans="1:19" ht="15" customHeight="1">
      <c r="A877" s="13">
        <v>67876</v>
      </c>
      <c r="B877" s="8">
        <f>CHOOSE( CONTROL!$C$33, 28.6422, 28.6411) * CHOOSE(CONTROL!$C$16, $D$10, 100%, $F$10)</f>
        <v>28.642199999999999</v>
      </c>
      <c r="C877" s="8">
        <f>CHOOSE( CONTROL!$C$33, 28.6475, 28.6464) * CHOOSE(CONTROL!$C$16, $D$10, 100%, $F$10)</f>
        <v>28.647500000000001</v>
      </c>
      <c r="D877" s="8">
        <f>CHOOSE( CONTROL!$C$33, 28.6763, 28.6752) * CHOOSE( CONTROL!$C$16, $D$10, 100%, $F$10)</f>
        <v>28.676300000000001</v>
      </c>
      <c r="E877" s="12">
        <f>CHOOSE( CONTROL!$C$33, 28.6662, 28.6651) * CHOOSE( CONTROL!$C$16, $D$10, 100%, $F$10)</f>
        <v>28.6662</v>
      </c>
      <c r="F877" s="4">
        <f>CHOOSE( CONTROL!$C$33, 29.4208, 29.4197) * CHOOSE(CONTROL!$C$16, $D$10, 100%, $F$10)</f>
        <v>29.4208</v>
      </c>
      <c r="G877" s="8">
        <f>CHOOSE( CONTROL!$C$33, 28.3056, 28.3045) * CHOOSE( CONTROL!$C$16, $D$10, 100%, $F$10)</f>
        <v>28.305599999999998</v>
      </c>
      <c r="H877" s="4">
        <f>CHOOSE( CONTROL!$C$33, 29.2842, 29.2831) * CHOOSE(CONTROL!$C$16, $D$10, 100%, $F$10)</f>
        <v>29.284199999999998</v>
      </c>
      <c r="I877" s="8">
        <f>CHOOSE( CONTROL!$C$33, 27.8817, 27.8807) * CHOOSE(CONTROL!$C$16, $D$10, 100%, $F$10)</f>
        <v>27.881699999999999</v>
      </c>
      <c r="J877" s="4">
        <f>CHOOSE( CONTROL!$C$33, 27.7505, 27.7494) * CHOOSE(CONTROL!$C$16, $D$10, 100%, $F$10)</f>
        <v>27.750499999999999</v>
      </c>
      <c r="K877" s="4"/>
      <c r="L877" s="9">
        <v>31.095300000000002</v>
      </c>
      <c r="M877" s="9">
        <v>12.063700000000001</v>
      </c>
      <c r="N877" s="9">
        <v>4.9444999999999997</v>
      </c>
      <c r="O877" s="9">
        <v>0.37409999999999999</v>
      </c>
      <c r="P877" s="9">
        <v>1.2927</v>
      </c>
      <c r="Q877" s="9">
        <v>19.688099999999999</v>
      </c>
      <c r="R877" s="9"/>
      <c r="S877" s="11"/>
    </row>
    <row r="878" spans="1:19" ht="15" customHeight="1">
      <c r="A878" s="13">
        <v>67906</v>
      </c>
      <c r="B878" s="8">
        <f>CHOOSE( CONTROL!$C$33, 30.8917, 30.8906) * CHOOSE(CONTROL!$C$16, $D$10, 100%, $F$10)</f>
        <v>30.8917</v>
      </c>
      <c r="C878" s="8">
        <f>CHOOSE( CONTROL!$C$33, 30.8968, 30.8957) * CHOOSE(CONTROL!$C$16, $D$10, 100%, $F$10)</f>
        <v>30.896799999999999</v>
      </c>
      <c r="D878" s="8">
        <f>CHOOSE( CONTROL!$C$33, 30.8765, 30.8753) * CHOOSE( CONTROL!$C$16, $D$10, 100%, $F$10)</f>
        <v>30.8765</v>
      </c>
      <c r="E878" s="12">
        <f>CHOOSE( CONTROL!$C$33, 30.8834, 30.8822) * CHOOSE( CONTROL!$C$16, $D$10, 100%, $F$10)</f>
        <v>30.883400000000002</v>
      </c>
      <c r="F878" s="4">
        <f>CHOOSE( CONTROL!$C$33, 31.5545, 31.5534) * CHOOSE(CONTROL!$C$16, $D$10, 100%, $F$10)</f>
        <v>31.554500000000001</v>
      </c>
      <c r="G878" s="8">
        <f>CHOOSE( CONTROL!$C$33, 30.4967, 30.4956) * CHOOSE( CONTROL!$C$16, $D$10, 100%, $F$10)</f>
        <v>30.496700000000001</v>
      </c>
      <c r="H878" s="4">
        <f>CHOOSE( CONTROL!$C$33, 31.3882, 31.3871) * CHOOSE(CONTROL!$C$16, $D$10, 100%, $F$10)</f>
        <v>31.388200000000001</v>
      </c>
      <c r="I878" s="8">
        <f>CHOOSE( CONTROL!$C$33, 30.1092, 30.1081) * CHOOSE(CONTROL!$C$16, $D$10, 100%, $F$10)</f>
        <v>30.109200000000001</v>
      </c>
      <c r="J878" s="4">
        <f>CHOOSE( CONTROL!$C$33, 29.9291, 29.928) * CHOOSE(CONTROL!$C$16, $D$10, 100%, $F$10)</f>
        <v>29.929099999999998</v>
      </c>
      <c r="K878" s="4"/>
      <c r="L878" s="9">
        <v>28.360600000000002</v>
      </c>
      <c r="M878" s="9">
        <v>11.6745</v>
      </c>
      <c r="N878" s="9">
        <v>4.7850000000000001</v>
      </c>
      <c r="O878" s="9">
        <v>0.36199999999999999</v>
      </c>
      <c r="P878" s="9">
        <v>1.2509999999999999</v>
      </c>
      <c r="Q878" s="9">
        <v>19.053000000000001</v>
      </c>
      <c r="R878" s="9"/>
      <c r="S878" s="11"/>
    </row>
    <row r="879" spans="1:19" ht="15" customHeight="1">
      <c r="A879" s="13">
        <v>67937</v>
      </c>
      <c r="B879" s="8">
        <f>CHOOSE( CONTROL!$C$33, 30.8355, 30.8343) * CHOOSE(CONTROL!$C$16, $D$10, 100%, $F$10)</f>
        <v>30.8355</v>
      </c>
      <c r="C879" s="8">
        <f>CHOOSE( CONTROL!$C$33, 30.8406, 30.8394) * CHOOSE(CONTROL!$C$16, $D$10, 100%, $F$10)</f>
        <v>30.840599999999998</v>
      </c>
      <c r="D879" s="8">
        <f>CHOOSE( CONTROL!$C$33, 30.8217, 30.8206) * CHOOSE( CONTROL!$C$16, $D$10, 100%, $F$10)</f>
        <v>30.8217</v>
      </c>
      <c r="E879" s="12">
        <f>CHOOSE( CONTROL!$C$33, 30.8281, 30.8269) * CHOOSE( CONTROL!$C$16, $D$10, 100%, $F$10)</f>
        <v>30.828099999999999</v>
      </c>
      <c r="F879" s="4">
        <f>CHOOSE( CONTROL!$C$33, 31.4983, 31.4972) * CHOOSE(CONTROL!$C$16, $D$10, 100%, $F$10)</f>
        <v>31.4983</v>
      </c>
      <c r="G879" s="8">
        <f>CHOOSE( CONTROL!$C$33, 30.4423, 30.4412) * CHOOSE( CONTROL!$C$16, $D$10, 100%, $F$10)</f>
        <v>30.442299999999999</v>
      </c>
      <c r="H879" s="4">
        <f>CHOOSE( CONTROL!$C$33, 31.3327, 31.3316) * CHOOSE(CONTROL!$C$16, $D$10, 100%, $F$10)</f>
        <v>31.332699999999999</v>
      </c>
      <c r="I879" s="8">
        <f>CHOOSE( CONTROL!$C$33, 30.0593, 30.0582) * CHOOSE(CONTROL!$C$16, $D$10, 100%, $F$10)</f>
        <v>30.0593</v>
      </c>
      <c r="J879" s="4">
        <f>CHOOSE( CONTROL!$C$33, 29.8746, 29.8736) * CHOOSE(CONTROL!$C$16, $D$10, 100%, $F$10)</f>
        <v>29.874600000000001</v>
      </c>
      <c r="K879" s="4"/>
      <c r="L879" s="9">
        <v>29.306000000000001</v>
      </c>
      <c r="M879" s="9">
        <v>12.063700000000001</v>
      </c>
      <c r="N879" s="9">
        <v>4.9444999999999997</v>
      </c>
      <c r="O879" s="9">
        <v>0.37409999999999999</v>
      </c>
      <c r="P879" s="9">
        <v>1.2927</v>
      </c>
      <c r="Q879" s="9">
        <v>19.688099999999999</v>
      </c>
      <c r="R879" s="9"/>
      <c r="S879" s="11"/>
    </row>
    <row r="880" spans="1:19" ht="15" customHeight="1">
      <c r="A880" s="13">
        <v>67968</v>
      </c>
      <c r="B880" s="8">
        <f>CHOOSE( CONTROL!$C$33, 31.7455, 31.7444) * CHOOSE(CONTROL!$C$16, $D$10, 100%, $F$10)</f>
        <v>31.7455</v>
      </c>
      <c r="C880" s="8">
        <f>CHOOSE( CONTROL!$C$33, 31.7506, 31.7495) * CHOOSE(CONTROL!$C$16, $D$10, 100%, $F$10)</f>
        <v>31.750599999999999</v>
      </c>
      <c r="D880" s="8">
        <f>CHOOSE( CONTROL!$C$33, 31.743, 31.7418) * CHOOSE( CONTROL!$C$16, $D$10, 100%, $F$10)</f>
        <v>31.742999999999999</v>
      </c>
      <c r="E880" s="12">
        <f>CHOOSE( CONTROL!$C$33, 31.7452, 31.7441) * CHOOSE( CONTROL!$C$16, $D$10, 100%, $F$10)</f>
        <v>31.745200000000001</v>
      </c>
      <c r="F880" s="4">
        <f>CHOOSE( CONTROL!$C$33, 32.4084, 32.4072) * CHOOSE(CONTROL!$C$16, $D$10, 100%, $F$10)</f>
        <v>32.4084</v>
      </c>
      <c r="G880" s="8">
        <f>CHOOSE( CONTROL!$C$33, 31.3455, 31.3443) * CHOOSE( CONTROL!$C$16, $D$10, 100%, $F$10)</f>
        <v>31.345500000000001</v>
      </c>
      <c r="H880" s="4">
        <f>CHOOSE( CONTROL!$C$33, 32.2301, 32.229) * CHOOSE(CONTROL!$C$16, $D$10, 100%, $F$10)</f>
        <v>32.2301</v>
      </c>
      <c r="I880" s="8">
        <f>CHOOSE( CONTROL!$C$33, 30.9321, 30.9311) * CHOOSE(CONTROL!$C$16, $D$10, 100%, $F$10)</f>
        <v>30.932099999999998</v>
      </c>
      <c r="J880" s="4">
        <f>CHOOSE( CONTROL!$C$33, 30.7558, 30.7547) * CHOOSE(CONTROL!$C$16, $D$10, 100%, $F$10)</f>
        <v>30.755800000000001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" customHeight="1">
      <c r="A881" s="13">
        <v>67996</v>
      </c>
      <c r="B881" s="8">
        <f>CHOOSE( CONTROL!$C$33, 29.6922, 29.691) * CHOOSE(CONTROL!$C$16, $D$10, 100%, $F$10)</f>
        <v>29.6922</v>
      </c>
      <c r="C881" s="8">
        <f>CHOOSE( CONTROL!$C$33, 29.6973, 29.6961) * CHOOSE(CONTROL!$C$16, $D$10, 100%, $F$10)</f>
        <v>29.697299999999998</v>
      </c>
      <c r="D881" s="8">
        <f>CHOOSE( CONTROL!$C$33, 29.6894, 29.6883) * CHOOSE( CONTROL!$C$16, $D$10, 100%, $F$10)</f>
        <v>29.689399999999999</v>
      </c>
      <c r="E881" s="12">
        <f>CHOOSE( CONTROL!$C$33, 29.6917, 29.6906) * CHOOSE( CONTROL!$C$16, $D$10, 100%, $F$10)</f>
        <v>29.691700000000001</v>
      </c>
      <c r="F881" s="4">
        <f>CHOOSE( CONTROL!$C$33, 30.355, 30.3539) * CHOOSE(CONTROL!$C$16, $D$10, 100%, $F$10)</f>
        <v>30.355</v>
      </c>
      <c r="G881" s="8">
        <f>CHOOSE( CONTROL!$C$33, 29.3206, 29.3195) * CHOOSE( CONTROL!$C$16, $D$10, 100%, $F$10)</f>
        <v>29.320599999999999</v>
      </c>
      <c r="H881" s="4">
        <f>CHOOSE( CONTROL!$C$33, 30.2054, 30.2043) * CHOOSE(CONTROL!$C$16, $D$10, 100%, $F$10)</f>
        <v>30.205400000000001</v>
      </c>
      <c r="I881" s="8">
        <f>CHOOSE( CONTROL!$C$33, 28.9423, 28.9412) * CHOOSE(CONTROL!$C$16, $D$10, 100%, $F$10)</f>
        <v>28.942299999999999</v>
      </c>
      <c r="J881" s="4">
        <f>CHOOSE( CONTROL!$C$33, 28.7676, 28.7665) * CHOOSE(CONTROL!$C$16, $D$10, 100%, $F$10)</f>
        <v>28.767600000000002</v>
      </c>
      <c r="K881" s="4"/>
      <c r="L881" s="9">
        <v>26.469899999999999</v>
      </c>
      <c r="M881" s="9">
        <v>10.8962</v>
      </c>
      <c r="N881" s="9">
        <v>4.4660000000000002</v>
      </c>
      <c r="O881" s="9">
        <v>0.33789999999999998</v>
      </c>
      <c r="P881" s="9">
        <v>1.1676</v>
      </c>
      <c r="Q881" s="9">
        <v>17.782800000000002</v>
      </c>
      <c r="R881" s="9"/>
      <c r="S881" s="11"/>
    </row>
    <row r="882" spans="1:19" ht="15" customHeight="1">
      <c r="A882" s="13">
        <v>68027</v>
      </c>
      <c r="B882" s="8">
        <f>CHOOSE( CONTROL!$C$33, 29.0597, 29.0586) * CHOOSE(CONTROL!$C$16, $D$10, 100%, $F$10)</f>
        <v>29.059699999999999</v>
      </c>
      <c r="C882" s="8">
        <f>CHOOSE( CONTROL!$C$33, 29.0648, 29.0637) * CHOOSE(CONTROL!$C$16, $D$10, 100%, $F$10)</f>
        <v>29.064800000000002</v>
      </c>
      <c r="D882" s="8">
        <f>CHOOSE( CONTROL!$C$33, 29.0563, 29.0552) * CHOOSE( CONTROL!$C$16, $D$10, 100%, $F$10)</f>
        <v>29.0563</v>
      </c>
      <c r="E882" s="12">
        <f>CHOOSE( CONTROL!$C$33, 29.0589, 29.0578) * CHOOSE( CONTROL!$C$16, $D$10, 100%, $F$10)</f>
        <v>29.058900000000001</v>
      </c>
      <c r="F882" s="4">
        <f>CHOOSE( CONTROL!$C$33, 29.7226, 29.7215) * CHOOSE(CONTROL!$C$16, $D$10, 100%, $F$10)</f>
        <v>29.7226</v>
      </c>
      <c r="G882" s="8">
        <f>CHOOSE( CONTROL!$C$33, 28.6965, 28.6954) * CHOOSE( CONTROL!$C$16, $D$10, 100%, $F$10)</f>
        <v>28.6965</v>
      </c>
      <c r="H882" s="4">
        <f>CHOOSE( CONTROL!$C$33, 29.5818, 29.5807) * CHOOSE(CONTROL!$C$16, $D$10, 100%, $F$10)</f>
        <v>29.581800000000001</v>
      </c>
      <c r="I882" s="8">
        <f>CHOOSE( CONTROL!$C$33, 28.3274, 28.3263) * CHOOSE(CONTROL!$C$16, $D$10, 100%, $F$10)</f>
        <v>28.327400000000001</v>
      </c>
      <c r="J882" s="4">
        <f>CHOOSE( CONTROL!$C$33, 28.1552, 28.1541) * CHOOSE(CONTROL!$C$16, $D$10, 100%, $F$10)</f>
        <v>28.155200000000001</v>
      </c>
      <c r="K882" s="4"/>
      <c r="L882" s="9">
        <v>29.306000000000001</v>
      </c>
      <c r="M882" s="9">
        <v>12.063700000000001</v>
      </c>
      <c r="N882" s="9">
        <v>4.9444999999999997</v>
      </c>
      <c r="O882" s="9">
        <v>0.37409999999999999</v>
      </c>
      <c r="P882" s="9">
        <v>1.2927</v>
      </c>
      <c r="Q882" s="9">
        <v>19.688099999999999</v>
      </c>
      <c r="R882" s="9"/>
      <c r="S882" s="11"/>
    </row>
    <row r="883" spans="1:19" ht="15" customHeight="1">
      <c r="A883" s="13">
        <v>68057</v>
      </c>
      <c r="B883" s="8">
        <f>CHOOSE( CONTROL!$C$33, 29.5024, 29.5013) * CHOOSE(CONTROL!$C$16, $D$10, 100%, $F$10)</f>
        <v>29.502400000000002</v>
      </c>
      <c r="C883" s="8">
        <f>CHOOSE( CONTROL!$C$33, 29.507, 29.5058) * CHOOSE(CONTROL!$C$16, $D$10, 100%, $F$10)</f>
        <v>29.507000000000001</v>
      </c>
      <c r="D883" s="8">
        <f>CHOOSE( CONTROL!$C$33, 29.5358, 29.5347) * CHOOSE( CONTROL!$C$16, $D$10, 100%, $F$10)</f>
        <v>29.535799999999998</v>
      </c>
      <c r="E883" s="12">
        <f>CHOOSE( CONTROL!$C$33, 29.5258, 29.5246) * CHOOSE( CONTROL!$C$16, $D$10, 100%, $F$10)</f>
        <v>29.5258</v>
      </c>
      <c r="F883" s="4">
        <f>CHOOSE( CONTROL!$C$33, 30.2807, 30.2796) * CHOOSE(CONTROL!$C$16, $D$10, 100%, $F$10)</f>
        <v>30.2807</v>
      </c>
      <c r="G883" s="8">
        <f>CHOOSE( CONTROL!$C$33, 29.1532, 29.1521) * CHOOSE( CONTROL!$C$16, $D$10, 100%, $F$10)</f>
        <v>29.153199999999998</v>
      </c>
      <c r="H883" s="4">
        <f>CHOOSE( CONTROL!$C$33, 30.1321, 30.131) * CHOOSE(CONTROL!$C$16, $D$10, 100%, $F$10)</f>
        <v>30.132100000000001</v>
      </c>
      <c r="I883" s="8">
        <f>CHOOSE( CONTROL!$C$33, 28.7135, 28.7124) * CHOOSE(CONTROL!$C$16, $D$10, 100%, $F$10)</f>
        <v>28.7135</v>
      </c>
      <c r="J883" s="4">
        <f>CHOOSE( CONTROL!$C$33, 28.5831, 28.582) * CHOOSE(CONTROL!$C$16, $D$10, 100%, $F$10)</f>
        <v>28.583100000000002</v>
      </c>
      <c r="K883" s="4"/>
      <c r="L883" s="9">
        <v>30.092199999999998</v>
      </c>
      <c r="M883" s="9">
        <v>11.6745</v>
      </c>
      <c r="N883" s="9">
        <v>4.7850000000000001</v>
      </c>
      <c r="O883" s="9">
        <v>0.36199999999999999</v>
      </c>
      <c r="P883" s="9">
        <v>1.2509999999999999</v>
      </c>
      <c r="Q883" s="9">
        <v>19.053000000000001</v>
      </c>
      <c r="R883" s="9"/>
      <c r="S883" s="11"/>
    </row>
    <row r="884" spans="1:19" ht="15" customHeight="1">
      <c r="A884" s="13">
        <v>68088</v>
      </c>
      <c r="B884" s="8">
        <f>CHOOSE( CONTROL!$C$33, 30.2908, 30.2892) * CHOOSE(CONTROL!$C$16, $D$10, 100%, $F$10)</f>
        <v>30.290800000000001</v>
      </c>
      <c r="C884" s="8">
        <f>CHOOSE( CONTROL!$C$33, 30.2988, 30.2972) * CHOOSE(CONTROL!$C$16, $D$10, 100%, $F$10)</f>
        <v>30.2988</v>
      </c>
      <c r="D884" s="8">
        <f>CHOOSE( CONTROL!$C$33, 30.321, 30.3194) * CHOOSE( CONTROL!$C$16, $D$10, 100%, $F$10)</f>
        <v>30.321000000000002</v>
      </c>
      <c r="E884" s="12">
        <f>CHOOSE( CONTROL!$C$33, 30.3117, 30.3101) * CHOOSE( CONTROL!$C$16, $D$10, 100%, $F$10)</f>
        <v>30.311699999999998</v>
      </c>
      <c r="F884" s="4">
        <f>CHOOSE( CONTROL!$C$33, 31.0677, 31.0661) * CHOOSE(CONTROL!$C$16, $D$10, 100%, $F$10)</f>
        <v>31.067699999999999</v>
      </c>
      <c r="G884" s="8">
        <f>CHOOSE( CONTROL!$C$33, 29.9291, 29.9276) * CHOOSE( CONTROL!$C$16, $D$10, 100%, $F$10)</f>
        <v>29.929099999999998</v>
      </c>
      <c r="H884" s="4">
        <f>CHOOSE( CONTROL!$C$33, 30.9081, 30.9065) * CHOOSE(CONTROL!$C$16, $D$10, 100%, $F$10)</f>
        <v>30.908100000000001</v>
      </c>
      <c r="I884" s="8">
        <f>CHOOSE( CONTROL!$C$33, 29.4755, 29.474) * CHOOSE(CONTROL!$C$16, $D$10, 100%, $F$10)</f>
        <v>29.4755</v>
      </c>
      <c r="J884" s="4">
        <f>CHOOSE( CONTROL!$C$33, 29.3451, 29.3436) * CHOOSE(CONTROL!$C$16, $D$10, 100%, $F$10)</f>
        <v>29.345099999999999</v>
      </c>
      <c r="K884" s="4"/>
      <c r="L884" s="9">
        <v>30.7165</v>
      </c>
      <c r="M884" s="9">
        <v>12.063700000000001</v>
      </c>
      <c r="N884" s="9">
        <v>4.9444999999999997</v>
      </c>
      <c r="O884" s="9">
        <v>0.37409999999999999</v>
      </c>
      <c r="P884" s="9">
        <v>1.2927</v>
      </c>
      <c r="Q884" s="9">
        <v>19.688099999999999</v>
      </c>
      <c r="R884" s="9"/>
      <c r="S884" s="11"/>
    </row>
    <row r="885" spans="1:19" ht="15" customHeight="1">
      <c r="A885" s="13">
        <v>68118</v>
      </c>
      <c r="B885" s="8">
        <f>CHOOSE( CONTROL!$C$33, 29.8035, 29.802) * CHOOSE(CONTROL!$C$16, $D$10, 100%, $F$10)</f>
        <v>29.8035</v>
      </c>
      <c r="C885" s="8">
        <f>CHOOSE( CONTROL!$C$33, 29.8115, 29.81) * CHOOSE(CONTROL!$C$16, $D$10, 100%, $F$10)</f>
        <v>29.811499999999999</v>
      </c>
      <c r="D885" s="8">
        <f>CHOOSE( CONTROL!$C$33, 29.8339, 29.8324) * CHOOSE( CONTROL!$C$16, $D$10, 100%, $F$10)</f>
        <v>29.8339</v>
      </c>
      <c r="E885" s="12">
        <f>CHOOSE( CONTROL!$C$33, 29.8246, 29.8231) * CHOOSE( CONTROL!$C$16, $D$10, 100%, $F$10)</f>
        <v>29.8246</v>
      </c>
      <c r="F885" s="4">
        <f>CHOOSE( CONTROL!$C$33, 30.5805, 30.5789) * CHOOSE(CONTROL!$C$16, $D$10, 100%, $F$10)</f>
        <v>30.580500000000001</v>
      </c>
      <c r="G885" s="8">
        <f>CHOOSE( CONTROL!$C$33, 29.4488, 29.4473) * CHOOSE( CONTROL!$C$16, $D$10, 100%, $F$10)</f>
        <v>29.448799999999999</v>
      </c>
      <c r="H885" s="4">
        <f>CHOOSE( CONTROL!$C$33, 30.4277, 30.4261) * CHOOSE(CONTROL!$C$16, $D$10, 100%, $F$10)</f>
        <v>30.427700000000002</v>
      </c>
      <c r="I885" s="8">
        <f>CHOOSE( CONTROL!$C$33, 29.0041, 29.0026) * CHOOSE(CONTROL!$C$16, $D$10, 100%, $F$10)</f>
        <v>29.004100000000001</v>
      </c>
      <c r="J885" s="4">
        <f>CHOOSE( CONTROL!$C$33, 28.8734, 28.8718) * CHOOSE(CONTROL!$C$16, $D$10, 100%, $F$10)</f>
        <v>28.8734</v>
      </c>
      <c r="K885" s="4"/>
      <c r="L885" s="9">
        <v>29.7257</v>
      </c>
      <c r="M885" s="9">
        <v>11.6745</v>
      </c>
      <c r="N885" s="9">
        <v>4.7850000000000001</v>
      </c>
      <c r="O885" s="9">
        <v>0.36199999999999999</v>
      </c>
      <c r="P885" s="9">
        <v>1.2509999999999999</v>
      </c>
      <c r="Q885" s="9">
        <v>19.053000000000001</v>
      </c>
      <c r="R885" s="9"/>
      <c r="S885" s="11"/>
    </row>
    <row r="886" spans="1:19" ht="15" customHeight="1">
      <c r="A886" s="13">
        <v>68149</v>
      </c>
      <c r="B886" s="8">
        <f>CHOOSE( CONTROL!$C$33, 31.0866, 31.085) * CHOOSE(CONTROL!$C$16, $D$10, 100%, $F$10)</f>
        <v>31.086600000000001</v>
      </c>
      <c r="C886" s="8">
        <f>CHOOSE( CONTROL!$C$33, 31.0946, 31.093) * CHOOSE(CONTROL!$C$16, $D$10, 100%, $F$10)</f>
        <v>31.0946</v>
      </c>
      <c r="D886" s="8">
        <f>CHOOSE( CONTROL!$C$33, 31.1172, 31.1156) * CHOOSE( CONTROL!$C$16, $D$10, 100%, $F$10)</f>
        <v>31.1172</v>
      </c>
      <c r="E886" s="12">
        <f>CHOOSE( CONTROL!$C$33, 31.1078, 31.1062) * CHOOSE( CONTROL!$C$16, $D$10, 100%, $F$10)</f>
        <v>31.107800000000001</v>
      </c>
      <c r="F886" s="4">
        <f>CHOOSE( CONTROL!$C$33, 31.8635, 31.8619) * CHOOSE(CONTROL!$C$16, $D$10, 100%, $F$10)</f>
        <v>31.863499999999998</v>
      </c>
      <c r="G886" s="8">
        <f>CHOOSE( CONTROL!$C$33, 30.7142, 30.7126) * CHOOSE( CONTROL!$C$16, $D$10, 100%, $F$10)</f>
        <v>30.714200000000002</v>
      </c>
      <c r="H886" s="4">
        <f>CHOOSE( CONTROL!$C$33, 31.6928, 31.6913) * CHOOSE(CONTROL!$C$16, $D$10, 100%, $F$10)</f>
        <v>31.692799999999998</v>
      </c>
      <c r="I886" s="8">
        <f>CHOOSE( CONTROL!$C$33, 30.2478, 30.2463) * CHOOSE(CONTROL!$C$16, $D$10, 100%, $F$10)</f>
        <v>30.247800000000002</v>
      </c>
      <c r="J886" s="4">
        <f>CHOOSE( CONTROL!$C$33, 30.1157, 30.1142) * CHOOSE(CONTROL!$C$16, $D$10, 100%, $F$10)</f>
        <v>30.1157</v>
      </c>
      <c r="K886" s="4"/>
      <c r="L886" s="9">
        <v>30.7165</v>
      </c>
      <c r="M886" s="9">
        <v>12.063700000000001</v>
      </c>
      <c r="N886" s="9">
        <v>4.9444999999999997</v>
      </c>
      <c r="O886" s="9">
        <v>0.37409999999999999</v>
      </c>
      <c r="P886" s="9">
        <v>1.2927</v>
      </c>
      <c r="Q886" s="9">
        <v>19.688099999999999</v>
      </c>
      <c r="R886" s="9"/>
      <c r="S886" s="11"/>
    </row>
    <row r="887" spans="1:19" ht="15" customHeight="1">
      <c r="A887" s="13">
        <v>68180</v>
      </c>
      <c r="B887" s="8">
        <f>CHOOSE( CONTROL!$C$33, 28.6859, 28.6843) * CHOOSE(CONTROL!$C$16, $D$10, 100%, $F$10)</f>
        <v>28.6859</v>
      </c>
      <c r="C887" s="8">
        <f>CHOOSE( CONTROL!$C$33, 28.6939, 28.6923) * CHOOSE(CONTROL!$C$16, $D$10, 100%, $F$10)</f>
        <v>28.693899999999999</v>
      </c>
      <c r="D887" s="8">
        <f>CHOOSE( CONTROL!$C$33, 28.7165, 28.715) * CHOOSE( CONTROL!$C$16, $D$10, 100%, $F$10)</f>
        <v>28.7165</v>
      </c>
      <c r="E887" s="12">
        <f>CHOOSE( CONTROL!$C$33, 28.7071, 28.7056) * CHOOSE( CONTROL!$C$16, $D$10, 100%, $F$10)</f>
        <v>28.707100000000001</v>
      </c>
      <c r="F887" s="4">
        <f>CHOOSE( CONTROL!$C$33, 29.4628, 29.4612) * CHOOSE(CONTROL!$C$16, $D$10, 100%, $F$10)</f>
        <v>29.462800000000001</v>
      </c>
      <c r="G887" s="8">
        <f>CHOOSE( CONTROL!$C$33, 28.347, 28.3454) * CHOOSE( CONTROL!$C$16, $D$10, 100%, $F$10)</f>
        <v>28.347000000000001</v>
      </c>
      <c r="H887" s="4">
        <f>CHOOSE( CONTROL!$C$33, 29.3256, 29.324) * CHOOSE(CONTROL!$C$16, $D$10, 100%, $F$10)</f>
        <v>29.325600000000001</v>
      </c>
      <c r="I887" s="8">
        <f>CHOOSE( CONTROL!$C$33, 27.9223, 27.9207) * CHOOSE(CONTROL!$C$16, $D$10, 100%, $F$10)</f>
        <v>27.9223</v>
      </c>
      <c r="J887" s="4">
        <f>CHOOSE( CONTROL!$C$33, 27.7911, 27.7896) * CHOOSE(CONTROL!$C$16, $D$10, 100%, $F$10)</f>
        <v>27.7911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1.2927</v>
      </c>
      <c r="Q887" s="9">
        <v>19.688099999999999</v>
      </c>
      <c r="R887" s="9"/>
      <c r="S887" s="11"/>
    </row>
    <row r="888" spans="1:19" ht="15" customHeight="1">
      <c r="A888" s="13">
        <v>68210</v>
      </c>
      <c r="B888" s="8">
        <f>CHOOSE( CONTROL!$C$33, 28.0847, 28.0831) * CHOOSE(CONTROL!$C$16, $D$10, 100%, $F$10)</f>
        <v>28.084700000000002</v>
      </c>
      <c r="C888" s="8">
        <f>CHOOSE( CONTROL!$C$33, 28.0927, 28.0911) * CHOOSE(CONTROL!$C$16, $D$10, 100%, $F$10)</f>
        <v>28.092700000000001</v>
      </c>
      <c r="D888" s="8">
        <f>CHOOSE( CONTROL!$C$33, 28.1153, 28.1137) * CHOOSE( CONTROL!$C$16, $D$10, 100%, $F$10)</f>
        <v>28.115300000000001</v>
      </c>
      <c r="E888" s="12">
        <f>CHOOSE( CONTROL!$C$33, 28.1059, 28.1043) * CHOOSE( CONTROL!$C$16, $D$10, 100%, $F$10)</f>
        <v>28.105899999999998</v>
      </c>
      <c r="F888" s="4">
        <f>CHOOSE( CONTROL!$C$33, 28.8616, 28.8601) * CHOOSE(CONTROL!$C$16, $D$10, 100%, $F$10)</f>
        <v>28.861599999999999</v>
      </c>
      <c r="G888" s="8">
        <f>CHOOSE( CONTROL!$C$33, 27.7541, 27.7526) * CHOOSE( CONTROL!$C$16, $D$10, 100%, $F$10)</f>
        <v>27.754100000000001</v>
      </c>
      <c r="H888" s="4">
        <f>CHOOSE( CONTROL!$C$33, 28.7328, 28.7313) * CHOOSE(CONTROL!$C$16, $D$10, 100%, $F$10)</f>
        <v>28.732800000000001</v>
      </c>
      <c r="I888" s="8">
        <f>CHOOSE( CONTROL!$C$33, 27.3394, 27.3379) * CHOOSE(CONTROL!$C$16, $D$10, 100%, $F$10)</f>
        <v>27.339400000000001</v>
      </c>
      <c r="J888" s="4">
        <f>CHOOSE( CONTROL!$C$33, 27.209, 27.2075) * CHOOSE(CONTROL!$C$16, $D$10, 100%, $F$10)</f>
        <v>27.209</v>
      </c>
      <c r="K888" s="4"/>
      <c r="L888" s="9">
        <v>29.7257</v>
      </c>
      <c r="M888" s="9">
        <v>11.6745</v>
      </c>
      <c r="N888" s="9">
        <v>4.7850000000000001</v>
      </c>
      <c r="O888" s="9">
        <v>0.36199999999999999</v>
      </c>
      <c r="P888" s="9">
        <v>1.2509999999999999</v>
      </c>
      <c r="Q888" s="9">
        <v>19.053000000000001</v>
      </c>
      <c r="R888" s="9"/>
      <c r="S888" s="11"/>
    </row>
    <row r="889" spans="1:19" ht="15" customHeight="1">
      <c r="A889" s="13">
        <v>68241</v>
      </c>
      <c r="B889" s="8">
        <f>CHOOSE( CONTROL!$C$33, 29.3308, 29.3296) * CHOOSE(CONTROL!$C$16, $D$10, 100%, $F$10)</f>
        <v>29.3308</v>
      </c>
      <c r="C889" s="8">
        <f>CHOOSE( CONTROL!$C$33, 29.3361, 29.335) * CHOOSE(CONTROL!$C$16, $D$10, 100%, $F$10)</f>
        <v>29.336099999999998</v>
      </c>
      <c r="D889" s="8">
        <f>CHOOSE( CONTROL!$C$33, 29.3649, 29.3638) * CHOOSE( CONTROL!$C$16, $D$10, 100%, $F$10)</f>
        <v>29.364899999999999</v>
      </c>
      <c r="E889" s="12">
        <f>CHOOSE( CONTROL!$C$33, 29.3548, 29.3537) * CHOOSE( CONTROL!$C$16, $D$10, 100%, $F$10)</f>
        <v>29.354800000000001</v>
      </c>
      <c r="F889" s="4">
        <f>CHOOSE( CONTROL!$C$33, 30.1094, 30.1083) * CHOOSE(CONTROL!$C$16, $D$10, 100%, $F$10)</f>
        <v>30.109400000000001</v>
      </c>
      <c r="G889" s="8">
        <f>CHOOSE( CONTROL!$C$33, 28.9846, 28.9835) * CHOOSE( CONTROL!$C$16, $D$10, 100%, $F$10)</f>
        <v>28.9846</v>
      </c>
      <c r="H889" s="4">
        <f>CHOOSE( CONTROL!$C$33, 29.9632, 29.9621) * CHOOSE(CONTROL!$C$16, $D$10, 100%, $F$10)</f>
        <v>29.963200000000001</v>
      </c>
      <c r="I889" s="8">
        <f>CHOOSE( CONTROL!$C$33, 28.5488, 28.5477) * CHOOSE(CONTROL!$C$16, $D$10, 100%, $F$10)</f>
        <v>28.5488</v>
      </c>
      <c r="J889" s="4">
        <f>CHOOSE( CONTROL!$C$33, 28.4172, 28.4161) * CHOOSE(CONTROL!$C$16, $D$10, 100%, $F$10)</f>
        <v>28.417200000000001</v>
      </c>
      <c r="K889" s="4"/>
      <c r="L889" s="9">
        <v>31.095300000000002</v>
      </c>
      <c r="M889" s="9">
        <v>12.063700000000001</v>
      </c>
      <c r="N889" s="9">
        <v>4.9444999999999997</v>
      </c>
      <c r="O889" s="9">
        <v>0.37409999999999999</v>
      </c>
      <c r="P889" s="9">
        <v>1.2927</v>
      </c>
      <c r="Q889" s="9">
        <v>19.688099999999999</v>
      </c>
      <c r="R889" s="9"/>
      <c r="S889" s="11"/>
    </row>
    <row r="890" spans="1:19" ht="15" customHeight="1">
      <c r="A890" s="13">
        <v>68271</v>
      </c>
      <c r="B890" s="8">
        <f>CHOOSE( CONTROL!$C$33, 31.6343, 31.6332) * CHOOSE(CONTROL!$C$16, $D$10, 100%, $F$10)</f>
        <v>31.6343</v>
      </c>
      <c r="C890" s="8">
        <f>CHOOSE( CONTROL!$C$33, 31.6394, 31.6383) * CHOOSE(CONTROL!$C$16, $D$10, 100%, $F$10)</f>
        <v>31.639399999999998</v>
      </c>
      <c r="D890" s="8">
        <f>CHOOSE( CONTROL!$C$33, 31.6191, 31.618) * CHOOSE( CONTROL!$C$16, $D$10, 100%, $F$10)</f>
        <v>31.6191</v>
      </c>
      <c r="E890" s="12">
        <f>CHOOSE( CONTROL!$C$33, 31.626, 31.6249) * CHOOSE( CONTROL!$C$16, $D$10, 100%, $F$10)</f>
        <v>31.626000000000001</v>
      </c>
      <c r="F890" s="4">
        <f>CHOOSE( CONTROL!$C$33, 32.2972, 32.2961) * CHOOSE(CONTROL!$C$16, $D$10, 100%, $F$10)</f>
        <v>32.297199999999997</v>
      </c>
      <c r="G890" s="8">
        <f>CHOOSE( CONTROL!$C$33, 31.2289, 31.2278) * CHOOSE( CONTROL!$C$16, $D$10, 100%, $F$10)</f>
        <v>31.228899999999999</v>
      </c>
      <c r="H890" s="4">
        <f>CHOOSE( CONTROL!$C$33, 32.1204, 32.1193) * CHOOSE(CONTROL!$C$16, $D$10, 100%, $F$10)</f>
        <v>32.120399999999997</v>
      </c>
      <c r="I890" s="8">
        <f>CHOOSE( CONTROL!$C$33, 30.8287, 30.8276) * CHOOSE(CONTROL!$C$16, $D$10, 100%, $F$10)</f>
        <v>30.828700000000001</v>
      </c>
      <c r="J890" s="4">
        <f>CHOOSE( CONTROL!$C$33, 30.6482, 30.6471) * CHOOSE(CONTROL!$C$16, $D$10, 100%, $F$10)</f>
        <v>30.648199999999999</v>
      </c>
      <c r="K890" s="4"/>
      <c r="L890" s="9">
        <v>28.360600000000002</v>
      </c>
      <c r="M890" s="9">
        <v>11.6745</v>
      </c>
      <c r="N890" s="9">
        <v>4.7850000000000001</v>
      </c>
      <c r="O890" s="9">
        <v>0.36199999999999999</v>
      </c>
      <c r="P890" s="9">
        <v>1.2509999999999999</v>
      </c>
      <c r="Q890" s="9">
        <v>19.053000000000001</v>
      </c>
      <c r="R890" s="9"/>
      <c r="S890" s="11"/>
    </row>
    <row r="891" spans="1:19" ht="15" customHeight="1">
      <c r="A891" s="13">
        <v>68302</v>
      </c>
      <c r="B891" s="8">
        <f>CHOOSE( CONTROL!$C$33, 31.5768, 31.5756) * CHOOSE(CONTROL!$C$16, $D$10, 100%, $F$10)</f>
        <v>31.576799999999999</v>
      </c>
      <c r="C891" s="8">
        <f>CHOOSE( CONTROL!$C$33, 31.5818, 31.5807) * CHOOSE(CONTROL!$C$16, $D$10, 100%, $F$10)</f>
        <v>31.581800000000001</v>
      </c>
      <c r="D891" s="8">
        <f>CHOOSE( CONTROL!$C$33, 31.563, 31.5619) * CHOOSE( CONTROL!$C$16, $D$10, 100%, $F$10)</f>
        <v>31.562999999999999</v>
      </c>
      <c r="E891" s="12">
        <f>CHOOSE( CONTROL!$C$33, 31.5693, 31.5682) * CHOOSE( CONTROL!$C$16, $D$10, 100%, $F$10)</f>
        <v>31.569299999999998</v>
      </c>
      <c r="F891" s="4">
        <f>CHOOSE( CONTROL!$C$33, 32.2396, 32.2385) * CHOOSE(CONTROL!$C$16, $D$10, 100%, $F$10)</f>
        <v>32.239600000000003</v>
      </c>
      <c r="G891" s="8">
        <f>CHOOSE( CONTROL!$C$33, 31.1732, 31.1721) * CHOOSE( CONTROL!$C$16, $D$10, 100%, $F$10)</f>
        <v>31.173200000000001</v>
      </c>
      <c r="H891" s="4">
        <f>CHOOSE( CONTROL!$C$33, 32.0637, 32.0626) * CHOOSE(CONTROL!$C$16, $D$10, 100%, $F$10)</f>
        <v>32.063699999999997</v>
      </c>
      <c r="I891" s="8">
        <f>CHOOSE( CONTROL!$C$33, 30.7774, 30.7763) * CHOOSE(CONTROL!$C$16, $D$10, 100%, $F$10)</f>
        <v>30.7774</v>
      </c>
      <c r="J891" s="4">
        <f>CHOOSE( CONTROL!$C$33, 30.5924, 30.5913) * CHOOSE(CONTROL!$C$16, $D$10, 100%, $F$10)</f>
        <v>30.592400000000001</v>
      </c>
      <c r="K891" s="4"/>
      <c r="L891" s="9">
        <v>29.306000000000001</v>
      </c>
      <c r="M891" s="9">
        <v>12.063700000000001</v>
      </c>
      <c r="N891" s="9">
        <v>4.9444999999999997</v>
      </c>
      <c r="O891" s="9">
        <v>0.37409999999999999</v>
      </c>
      <c r="P891" s="9">
        <v>1.2927</v>
      </c>
      <c r="Q891" s="9">
        <v>19.688099999999999</v>
      </c>
      <c r="R891" s="9"/>
      <c r="S891" s="11"/>
    </row>
    <row r="892" spans="1:19" ht="15" customHeight="1">
      <c r="A892" s="13">
        <v>68333</v>
      </c>
      <c r="B892" s="8">
        <f>CHOOSE( CONTROL!$C$33, 32.5086, 32.5075) * CHOOSE(CONTROL!$C$16, $D$10, 100%, $F$10)</f>
        <v>32.508600000000001</v>
      </c>
      <c r="C892" s="8">
        <f>CHOOSE( CONTROL!$C$33, 32.5137, 32.5126) * CHOOSE(CONTROL!$C$16, $D$10, 100%, $F$10)</f>
        <v>32.5137</v>
      </c>
      <c r="D892" s="8">
        <f>CHOOSE( CONTROL!$C$33, 32.5061, 32.505) * CHOOSE( CONTROL!$C$16, $D$10, 100%, $F$10)</f>
        <v>32.506100000000004</v>
      </c>
      <c r="E892" s="12">
        <f>CHOOSE( CONTROL!$C$33, 32.5083, 32.5072) * CHOOSE( CONTROL!$C$16, $D$10, 100%, $F$10)</f>
        <v>32.508299999999998</v>
      </c>
      <c r="F892" s="4">
        <f>CHOOSE( CONTROL!$C$33, 33.1715, 33.1704) * CHOOSE(CONTROL!$C$16, $D$10, 100%, $F$10)</f>
        <v>33.171500000000002</v>
      </c>
      <c r="G892" s="8">
        <f>CHOOSE( CONTROL!$C$33, 32.098, 32.0968) * CHOOSE( CONTROL!$C$16, $D$10, 100%, $F$10)</f>
        <v>32.097999999999999</v>
      </c>
      <c r="H892" s="4">
        <f>CHOOSE( CONTROL!$C$33, 32.9826, 32.9815) * CHOOSE(CONTROL!$C$16, $D$10, 100%, $F$10)</f>
        <v>32.982599999999998</v>
      </c>
      <c r="I892" s="8">
        <f>CHOOSE( CONTROL!$C$33, 31.6715, 31.6704) * CHOOSE(CONTROL!$C$16, $D$10, 100%, $F$10)</f>
        <v>31.671500000000002</v>
      </c>
      <c r="J892" s="4">
        <f>CHOOSE( CONTROL!$C$33, 31.4948, 31.4937) * CHOOSE(CONTROL!$C$16, $D$10, 100%, $F$10)</f>
        <v>31.494800000000001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" customHeight="1">
      <c r="A893" s="13">
        <v>68361</v>
      </c>
      <c r="B893" s="8">
        <f>CHOOSE( CONTROL!$C$33, 30.406, 30.4048) * CHOOSE(CONTROL!$C$16, $D$10, 100%, $F$10)</f>
        <v>30.405999999999999</v>
      </c>
      <c r="C893" s="8">
        <f>CHOOSE( CONTROL!$C$33, 30.4111, 30.4099) * CHOOSE(CONTROL!$C$16, $D$10, 100%, $F$10)</f>
        <v>30.411100000000001</v>
      </c>
      <c r="D893" s="8">
        <f>CHOOSE( CONTROL!$C$33, 30.4032, 30.4021) * CHOOSE( CONTROL!$C$16, $D$10, 100%, $F$10)</f>
        <v>30.403199999999998</v>
      </c>
      <c r="E893" s="12">
        <f>CHOOSE( CONTROL!$C$33, 30.4055, 30.4044) * CHOOSE( CONTROL!$C$16, $D$10, 100%, $F$10)</f>
        <v>30.4055</v>
      </c>
      <c r="F893" s="4">
        <f>CHOOSE( CONTROL!$C$33, 31.0688, 31.0677) * CHOOSE(CONTROL!$C$16, $D$10, 100%, $F$10)</f>
        <v>31.0688</v>
      </c>
      <c r="G893" s="8">
        <f>CHOOSE( CONTROL!$C$33, 30.0245, 30.0234) * CHOOSE( CONTROL!$C$16, $D$10, 100%, $F$10)</f>
        <v>30.0245</v>
      </c>
      <c r="H893" s="4">
        <f>CHOOSE( CONTROL!$C$33, 30.9092, 30.9081) * CHOOSE(CONTROL!$C$16, $D$10, 100%, $F$10)</f>
        <v>30.909199999999998</v>
      </c>
      <c r="I893" s="8">
        <f>CHOOSE( CONTROL!$C$33, 29.6339, 29.6328) * CHOOSE(CONTROL!$C$16, $D$10, 100%, $F$10)</f>
        <v>29.633900000000001</v>
      </c>
      <c r="J893" s="4">
        <f>CHOOSE( CONTROL!$C$33, 29.4588, 29.4577) * CHOOSE(CONTROL!$C$16, $D$10, 100%, $F$10)</f>
        <v>29.4588</v>
      </c>
      <c r="K893" s="4"/>
      <c r="L893" s="9">
        <v>26.469899999999999</v>
      </c>
      <c r="M893" s="9">
        <v>10.8962</v>
      </c>
      <c r="N893" s="9">
        <v>4.4660000000000002</v>
      </c>
      <c r="O893" s="9">
        <v>0.33789999999999998</v>
      </c>
      <c r="P893" s="9">
        <v>1.1676</v>
      </c>
      <c r="Q893" s="9">
        <v>17.782800000000002</v>
      </c>
      <c r="R893" s="9"/>
      <c r="S893" s="11"/>
    </row>
    <row r="894" spans="1:19" ht="15" customHeight="1">
      <c r="A894" s="13">
        <v>68392</v>
      </c>
      <c r="B894" s="8">
        <f>CHOOSE( CONTROL!$C$33, 29.7584, 29.7572) * CHOOSE(CONTROL!$C$16, $D$10, 100%, $F$10)</f>
        <v>29.758400000000002</v>
      </c>
      <c r="C894" s="8">
        <f>CHOOSE( CONTROL!$C$33, 29.7635, 29.7623) * CHOOSE(CONTROL!$C$16, $D$10, 100%, $F$10)</f>
        <v>29.763500000000001</v>
      </c>
      <c r="D894" s="8">
        <f>CHOOSE( CONTROL!$C$33, 29.7549, 29.7538) * CHOOSE( CONTROL!$C$16, $D$10, 100%, $F$10)</f>
        <v>29.754899999999999</v>
      </c>
      <c r="E894" s="12">
        <f>CHOOSE( CONTROL!$C$33, 29.7575, 29.7564) * CHOOSE( CONTROL!$C$16, $D$10, 100%, $F$10)</f>
        <v>29.7575</v>
      </c>
      <c r="F894" s="4">
        <f>CHOOSE( CONTROL!$C$33, 30.4212, 30.4201) * CHOOSE(CONTROL!$C$16, $D$10, 100%, $F$10)</f>
        <v>30.421199999999999</v>
      </c>
      <c r="G894" s="8">
        <f>CHOOSE( CONTROL!$C$33, 29.3854, 29.3843) * CHOOSE( CONTROL!$C$16, $D$10, 100%, $F$10)</f>
        <v>29.385400000000001</v>
      </c>
      <c r="H894" s="4">
        <f>CHOOSE( CONTROL!$C$33, 30.2707, 30.2695) * CHOOSE(CONTROL!$C$16, $D$10, 100%, $F$10)</f>
        <v>30.270700000000001</v>
      </c>
      <c r="I894" s="8">
        <f>CHOOSE( CONTROL!$C$33, 29.0042, 29.0031) * CHOOSE(CONTROL!$C$16, $D$10, 100%, $F$10)</f>
        <v>29.004200000000001</v>
      </c>
      <c r="J894" s="4">
        <f>CHOOSE( CONTROL!$C$33, 28.8317, 28.8306) * CHOOSE(CONTROL!$C$16, $D$10, 100%, $F$10)</f>
        <v>28.831700000000001</v>
      </c>
      <c r="K894" s="4"/>
      <c r="L894" s="9">
        <v>29.306000000000001</v>
      </c>
      <c r="M894" s="9">
        <v>12.063700000000001</v>
      </c>
      <c r="N894" s="9">
        <v>4.9444999999999997</v>
      </c>
      <c r="O894" s="9">
        <v>0.37409999999999999</v>
      </c>
      <c r="P894" s="9">
        <v>1.2927</v>
      </c>
      <c r="Q894" s="9">
        <v>19.688099999999999</v>
      </c>
      <c r="R894" s="9"/>
      <c r="S894" s="11"/>
    </row>
    <row r="895" spans="1:19" ht="15" customHeight="1">
      <c r="A895" s="13">
        <v>68422</v>
      </c>
      <c r="B895" s="8">
        <f>CHOOSE( CONTROL!$C$33, 30.2117, 30.2105) * CHOOSE(CONTROL!$C$16, $D$10, 100%, $F$10)</f>
        <v>30.2117</v>
      </c>
      <c r="C895" s="8">
        <f>CHOOSE( CONTROL!$C$33, 30.2162, 30.2151) * CHOOSE(CONTROL!$C$16, $D$10, 100%, $F$10)</f>
        <v>30.216200000000001</v>
      </c>
      <c r="D895" s="8">
        <f>CHOOSE( CONTROL!$C$33, 30.2451, 30.2439) * CHOOSE( CONTROL!$C$16, $D$10, 100%, $F$10)</f>
        <v>30.245100000000001</v>
      </c>
      <c r="E895" s="12">
        <f>CHOOSE( CONTROL!$C$33, 30.235, 30.2339) * CHOOSE( CONTROL!$C$16, $D$10, 100%, $F$10)</f>
        <v>30.234999999999999</v>
      </c>
      <c r="F895" s="4">
        <f>CHOOSE( CONTROL!$C$33, 30.9899, 30.9888) * CHOOSE(CONTROL!$C$16, $D$10, 100%, $F$10)</f>
        <v>30.989899999999999</v>
      </c>
      <c r="G895" s="8">
        <f>CHOOSE( CONTROL!$C$33, 29.8526, 29.8514) * CHOOSE( CONTROL!$C$16, $D$10, 100%, $F$10)</f>
        <v>29.852599999999999</v>
      </c>
      <c r="H895" s="4">
        <f>CHOOSE( CONTROL!$C$33, 30.8314, 30.8303) * CHOOSE(CONTROL!$C$16, $D$10, 100%, $F$10)</f>
        <v>30.831399999999999</v>
      </c>
      <c r="I895" s="8">
        <f>CHOOSE( CONTROL!$C$33, 29.4006, 29.3995) * CHOOSE(CONTROL!$C$16, $D$10, 100%, $F$10)</f>
        <v>29.400600000000001</v>
      </c>
      <c r="J895" s="4">
        <f>CHOOSE( CONTROL!$C$33, 29.2699, 29.2688) * CHOOSE(CONTROL!$C$16, $D$10, 100%, $F$10)</f>
        <v>29.2699</v>
      </c>
      <c r="K895" s="4"/>
      <c r="L895" s="9">
        <v>30.092199999999998</v>
      </c>
      <c r="M895" s="9">
        <v>11.6745</v>
      </c>
      <c r="N895" s="9">
        <v>4.7850000000000001</v>
      </c>
      <c r="O895" s="9">
        <v>0.36199999999999999</v>
      </c>
      <c r="P895" s="9">
        <v>1.2509999999999999</v>
      </c>
      <c r="Q895" s="9">
        <v>19.053000000000001</v>
      </c>
      <c r="R895" s="9"/>
      <c r="S895" s="11"/>
    </row>
    <row r="896" spans="1:19" ht="15" customHeight="1">
      <c r="A896" s="13">
        <v>68453</v>
      </c>
      <c r="B896" s="8">
        <f>CHOOSE( CONTROL!$C$33, 31.0189, 31.0173) * CHOOSE(CONTROL!$C$16, $D$10, 100%, $F$10)</f>
        <v>31.018899999999999</v>
      </c>
      <c r="C896" s="8">
        <f>CHOOSE( CONTROL!$C$33, 31.0269, 31.0253) * CHOOSE(CONTROL!$C$16, $D$10, 100%, $F$10)</f>
        <v>31.026900000000001</v>
      </c>
      <c r="D896" s="8">
        <f>CHOOSE( CONTROL!$C$33, 31.0491, 31.0475) * CHOOSE( CONTROL!$C$16, $D$10, 100%, $F$10)</f>
        <v>31.049099999999999</v>
      </c>
      <c r="E896" s="12">
        <f>CHOOSE( CONTROL!$C$33, 31.0398, 31.0382) * CHOOSE( CONTROL!$C$16, $D$10, 100%, $F$10)</f>
        <v>31.0398</v>
      </c>
      <c r="F896" s="4">
        <f>CHOOSE( CONTROL!$C$33, 31.7958, 31.7942) * CHOOSE(CONTROL!$C$16, $D$10, 100%, $F$10)</f>
        <v>31.7958</v>
      </c>
      <c r="G896" s="8">
        <f>CHOOSE( CONTROL!$C$33, 30.6471, 30.6456) * CHOOSE( CONTROL!$C$16, $D$10, 100%, $F$10)</f>
        <v>30.647099999999998</v>
      </c>
      <c r="H896" s="4">
        <f>CHOOSE( CONTROL!$C$33, 31.6261, 31.6245) * CHOOSE(CONTROL!$C$16, $D$10, 100%, $F$10)</f>
        <v>31.626100000000001</v>
      </c>
      <c r="I896" s="8">
        <f>CHOOSE( CONTROL!$C$33, 30.1809, 30.1794) * CHOOSE(CONTROL!$C$16, $D$10, 100%, $F$10)</f>
        <v>30.180900000000001</v>
      </c>
      <c r="J896" s="4">
        <f>CHOOSE( CONTROL!$C$33, 30.0502, 30.0487) * CHOOSE(CONTROL!$C$16, $D$10, 100%, $F$10)</f>
        <v>30.0502</v>
      </c>
      <c r="K896" s="4"/>
      <c r="L896" s="9">
        <v>30.7165</v>
      </c>
      <c r="M896" s="9">
        <v>12.063700000000001</v>
      </c>
      <c r="N896" s="9">
        <v>4.9444999999999997</v>
      </c>
      <c r="O896" s="9">
        <v>0.37409999999999999</v>
      </c>
      <c r="P896" s="9">
        <v>1.2927</v>
      </c>
      <c r="Q896" s="9">
        <v>19.688099999999999</v>
      </c>
      <c r="R896" s="9"/>
      <c r="S896" s="11"/>
    </row>
    <row r="897" spans="1:19" ht="15" customHeight="1">
      <c r="A897" s="13">
        <v>68483</v>
      </c>
      <c r="B897" s="8">
        <f>CHOOSE( CONTROL!$C$33, 30.52, 30.5184) * CHOOSE(CONTROL!$C$16, $D$10, 100%, $F$10)</f>
        <v>30.52</v>
      </c>
      <c r="C897" s="8">
        <f>CHOOSE( CONTROL!$C$33, 30.528, 30.5264) * CHOOSE(CONTROL!$C$16, $D$10, 100%, $F$10)</f>
        <v>30.527999999999999</v>
      </c>
      <c r="D897" s="8">
        <f>CHOOSE( CONTROL!$C$33, 30.5504, 30.5488) * CHOOSE( CONTROL!$C$16, $D$10, 100%, $F$10)</f>
        <v>30.5504</v>
      </c>
      <c r="E897" s="12">
        <f>CHOOSE( CONTROL!$C$33, 30.5411, 30.5395) * CHOOSE( CONTROL!$C$16, $D$10, 100%, $F$10)</f>
        <v>30.5411</v>
      </c>
      <c r="F897" s="4">
        <f>CHOOSE( CONTROL!$C$33, 31.2969, 31.2953) * CHOOSE(CONTROL!$C$16, $D$10, 100%, $F$10)</f>
        <v>31.296900000000001</v>
      </c>
      <c r="G897" s="8">
        <f>CHOOSE( CONTROL!$C$33, 30.1553, 30.1537) * CHOOSE( CONTROL!$C$16, $D$10, 100%, $F$10)</f>
        <v>30.1553</v>
      </c>
      <c r="H897" s="4">
        <f>CHOOSE( CONTROL!$C$33, 31.1341, 31.1325) * CHOOSE(CONTROL!$C$16, $D$10, 100%, $F$10)</f>
        <v>31.1341</v>
      </c>
      <c r="I897" s="8">
        <f>CHOOSE( CONTROL!$C$33, 29.6981, 29.6966) * CHOOSE(CONTROL!$C$16, $D$10, 100%, $F$10)</f>
        <v>29.6981</v>
      </c>
      <c r="J897" s="4">
        <f>CHOOSE( CONTROL!$C$33, 29.5671, 29.5656) * CHOOSE(CONTROL!$C$16, $D$10, 100%, $F$10)</f>
        <v>29.5671</v>
      </c>
      <c r="K897" s="4"/>
      <c r="L897" s="9">
        <v>29.7257</v>
      </c>
      <c r="M897" s="9">
        <v>11.6745</v>
      </c>
      <c r="N897" s="9">
        <v>4.7850000000000001</v>
      </c>
      <c r="O897" s="9">
        <v>0.36199999999999999</v>
      </c>
      <c r="P897" s="9">
        <v>1.2509999999999999</v>
      </c>
      <c r="Q897" s="9">
        <v>19.053000000000001</v>
      </c>
      <c r="R897" s="9"/>
      <c r="S897" s="11"/>
    </row>
    <row r="898" spans="1:19" ht="15" customHeight="1">
      <c r="A898" s="13">
        <v>68514</v>
      </c>
      <c r="B898" s="8">
        <f>CHOOSE( CONTROL!$C$33, 31.8338, 31.8323) * CHOOSE(CONTROL!$C$16, $D$10, 100%, $F$10)</f>
        <v>31.8338</v>
      </c>
      <c r="C898" s="8">
        <f>CHOOSE( CONTROL!$C$33, 31.8418, 31.8403) * CHOOSE(CONTROL!$C$16, $D$10, 100%, $F$10)</f>
        <v>31.841799999999999</v>
      </c>
      <c r="D898" s="8">
        <f>CHOOSE( CONTROL!$C$33, 31.8644, 31.8629) * CHOOSE( CONTROL!$C$16, $D$10, 100%, $F$10)</f>
        <v>31.8644</v>
      </c>
      <c r="E898" s="12">
        <f>CHOOSE( CONTROL!$C$33, 31.855, 31.8535) * CHOOSE( CONTROL!$C$16, $D$10, 100%, $F$10)</f>
        <v>31.855</v>
      </c>
      <c r="F898" s="4">
        <f>CHOOSE( CONTROL!$C$33, 32.6107, 32.6092) * CHOOSE(CONTROL!$C$16, $D$10, 100%, $F$10)</f>
        <v>32.610700000000001</v>
      </c>
      <c r="G898" s="8">
        <f>CHOOSE( CONTROL!$C$33, 31.451, 31.4494) * CHOOSE( CONTROL!$C$16, $D$10, 100%, $F$10)</f>
        <v>31.451000000000001</v>
      </c>
      <c r="H898" s="4">
        <f>CHOOSE( CONTROL!$C$33, 32.4296, 32.4281) * CHOOSE(CONTROL!$C$16, $D$10, 100%, $F$10)</f>
        <v>32.429600000000001</v>
      </c>
      <c r="I898" s="8">
        <f>CHOOSE( CONTROL!$C$33, 30.9718, 30.9702) * CHOOSE(CONTROL!$C$16, $D$10, 100%, $F$10)</f>
        <v>30.971800000000002</v>
      </c>
      <c r="J898" s="4">
        <f>CHOOSE( CONTROL!$C$33, 30.8393, 30.8378) * CHOOSE(CONTROL!$C$16, $D$10, 100%, $F$10)</f>
        <v>30.839300000000001</v>
      </c>
      <c r="K898" s="4"/>
      <c r="L898" s="9">
        <v>30.7165</v>
      </c>
      <c r="M898" s="9">
        <v>12.063700000000001</v>
      </c>
      <c r="N898" s="9">
        <v>4.9444999999999997</v>
      </c>
      <c r="O898" s="9">
        <v>0.37409999999999999</v>
      </c>
      <c r="P898" s="9">
        <v>1.2927</v>
      </c>
      <c r="Q898" s="9">
        <v>19.688099999999999</v>
      </c>
      <c r="R898" s="9"/>
      <c r="S898" s="11"/>
    </row>
    <row r="899" spans="1:19" ht="15" customHeight="1">
      <c r="A899" s="13">
        <v>68545</v>
      </c>
      <c r="B899" s="8">
        <f>CHOOSE( CONTROL!$C$33, 29.3754, 29.3739) * CHOOSE(CONTROL!$C$16, $D$10, 100%, $F$10)</f>
        <v>29.375399999999999</v>
      </c>
      <c r="C899" s="8">
        <f>CHOOSE( CONTROL!$C$33, 29.3834, 29.3819) * CHOOSE(CONTROL!$C$16, $D$10, 100%, $F$10)</f>
        <v>29.383400000000002</v>
      </c>
      <c r="D899" s="8">
        <f>CHOOSE( CONTROL!$C$33, 29.4061, 29.4045) * CHOOSE( CONTROL!$C$16, $D$10, 100%, $F$10)</f>
        <v>29.406099999999999</v>
      </c>
      <c r="E899" s="12">
        <f>CHOOSE( CONTROL!$C$33, 29.3967, 29.3951) * CHOOSE( CONTROL!$C$16, $D$10, 100%, $F$10)</f>
        <v>29.396699999999999</v>
      </c>
      <c r="F899" s="4">
        <f>CHOOSE( CONTROL!$C$33, 30.1524, 30.1508) * CHOOSE(CONTROL!$C$16, $D$10, 100%, $F$10)</f>
        <v>30.1524</v>
      </c>
      <c r="G899" s="8">
        <f>CHOOSE( CONTROL!$C$33, 29.0269, 29.0254) * CHOOSE( CONTROL!$C$16, $D$10, 100%, $F$10)</f>
        <v>29.026900000000001</v>
      </c>
      <c r="H899" s="4">
        <f>CHOOSE( CONTROL!$C$33, 30.0055, 30.004) * CHOOSE(CONTROL!$C$16, $D$10, 100%, $F$10)</f>
        <v>30.005500000000001</v>
      </c>
      <c r="I899" s="8">
        <f>CHOOSE( CONTROL!$C$33, 28.5903, 28.5888) * CHOOSE(CONTROL!$C$16, $D$10, 100%, $F$10)</f>
        <v>28.590299999999999</v>
      </c>
      <c r="J899" s="4">
        <f>CHOOSE( CONTROL!$C$33, 28.4588, 28.4573) * CHOOSE(CONTROL!$C$16, $D$10, 100%, $F$10)</f>
        <v>28.4588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1.2927</v>
      </c>
      <c r="Q899" s="9">
        <v>19.688099999999999</v>
      </c>
      <c r="R899" s="9"/>
      <c r="S899" s="11"/>
    </row>
    <row r="900" spans="1:19" ht="15" customHeight="1">
      <c r="A900" s="13">
        <v>68575</v>
      </c>
      <c r="B900" s="8">
        <f>CHOOSE( CONTROL!$C$33, 28.7598, 28.7583) * CHOOSE(CONTROL!$C$16, $D$10, 100%, $F$10)</f>
        <v>28.759799999999998</v>
      </c>
      <c r="C900" s="8">
        <f>CHOOSE( CONTROL!$C$33, 28.7678, 28.7663) * CHOOSE(CONTROL!$C$16, $D$10, 100%, $F$10)</f>
        <v>28.767800000000001</v>
      </c>
      <c r="D900" s="8">
        <f>CHOOSE( CONTROL!$C$33, 28.7904, 28.7888) * CHOOSE( CONTROL!$C$16, $D$10, 100%, $F$10)</f>
        <v>28.790400000000002</v>
      </c>
      <c r="E900" s="12">
        <f>CHOOSE( CONTROL!$C$33, 28.781, 28.7794) * CHOOSE( CONTROL!$C$16, $D$10, 100%, $F$10)</f>
        <v>28.780999999999999</v>
      </c>
      <c r="F900" s="4">
        <f>CHOOSE( CONTROL!$C$33, 29.5368, 29.5352) * CHOOSE(CONTROL!$C$16, $D$10, 100%, $F$10)</f>
        <v>29.536799999999999</v>
      </c>
      <c r="G900" s="8">
        <f>CHOOSE( CONTROL!$C$33, 28.4198, 28.4183) * CHOOSE( CONTROL!$C$16, $D$10, 100%, $F$10)</f>
        <v>28.419799999999999</v>
      </c>
      <c r="H900" s="4">
        <f>CHOOSE( CONTROL!$C$33, 29.3985, 29.397) * CHOOSE(CONTROL!$C$16, $D$10, 100%, $F$10)</f>
        <v>29.398499999999999</v>
      </c>
      <c r="I900" s="8">
        <f>CHOOSE( CONTROL!$C$33, 27.9935, 27.992) * CHOOSE(CONTROL!$C$16, $D$10, 100%, $F$10)</f>
        <v>27.993500000000001</v>
      </c>
      <c r="J900" s="4">
        <f>CHOOSE( CONTROL!$C$33, 27.8627, 27.8612) * CHOOSE(CONTROL!$C$16, $D$10, 100%, $F$10)</f>
        <v>27.8627</v>
      </c>
      <c r="K900" s="4"/>
      <c r="L900" s="9">
        <v>29.7257</v>
      </c>
      <c r="M900" s="9">
        <v>11.6745</v>
      </c>
      <c r="N900" s="9">
        <v>4.7850000000000001</v>
      </c>
      <c r="O900" s="9">
        <v>0.36199999999999999</v>
      </c>
      <c r="P900" s="9">
        <v>1.2509999999999999</v>
      </c>
      <c r="Q900" s="9">
        <v>19.053000000000001</v>
      </c>
      <c r="R900" s="9"/>
      <c r="S900" s="11"/>
    </row>
    <row r="901" spans="1:19" ht="15" customHeight="1">
      <c r="A901" s="13">
        <v>68606</v>
      </c>
      <c r="B901" s="8">
        <f>CHOOSE( CONTROL!$C$33, 30.0359, 30.0348) * CHOOSE(CONTROL!$C$16, $D$10, 100%, $F$10)</f>
        <v>30.035900000000002</v>
      </c>
      <c r="C901" s="8">
        <f>CHOOSE( CONTROL!$C$33, 30.0412, 30.0401) * CHOOSE(CONTROL!$C$16, $D$10, 100%, $F$10)</f>
        <v>30.0412</v>
      </c>
      <c r="D901" s="8">
        <f>CHOOSE( CONTROL!$C$33, 30.07, 30.0689) * CHOOSE( CONTROL!$C$16, $D$10, 100%, $F$10)</f>
        <v>30.07</v>
      </c>
      <c r="E901" s="12">
        <f>CHOOSE( CONTROL!$C$33, 30.0599, 30.0588) * CHOOSE( CONTROL!$C$16, $D$10, 100%, $F$10)</f>
        <v>30.059899999999999</v>
      </c>
      <c r="F901" s="4">
        <f>CHOOSE( CONTROL!$C$33, 30.8145, 30.8134) * CHOOSE(CONTROL!$C$16, $D$10, 100%, $F$10)</f>
        <v>30.814499999999999</v>
      </c>
      <c r="G901" s="8">
        <f>CHOOSE( CONTROL!$C$33, 29.6799, 29.6788) * CHOOSE( CONTROL!$C$16, $D$10, 100%, $F$10)</f>
        <v>29.6799</v>
      </c>
      <c r="H901" s="4">
        <f>CHOOSE( CONTROL!$C$33, 30.6585, 30.6574) * CHOOSE(CONTROL!$C$16, $D$10, 100%, $F$10)</f>
        <v>30.6585</v>
      </c>
      <c r="I901" s="8">
        <f>CHOOSE( CONTROL!$C$33, 29.2319, 29.2308) * CHOOSE(CONTROL!$C$16, $D$10, 100%, $F$10)</f>
        <v>29.2319</v>
      </c>
      <c r="J901" s="4">
        <f>CHOOSE( CONTROL!$C$33, 29.1, 29.0989) * CHOOSE(CONTROL!$C$16, $D$10, 100%, $F$10)</f>
        <v>29.1</v>
      </c>
      <c r="K901" s="4"/>
      <c r="L901" s="9">
        <v>31.095300000000002</v>
      </c>
      <c r="M901" s="9">
        <v>12.063700000000001</v>
      </c>
      <c r="N901" s="9">
        <v>4.9444999999999997</v>
      </c>
      <c r="O901" s="9">
        <v>0.37409999999999999</v>
      </c>
      <c r="P901" s="9">
        <v>1.2927</v>
      </c>
      <c r="Q901" s="9">
        <v>19.688099999999999</v>
      </c>
      <c r="R901" s="9"/>
      <c r="S901" s="11"/>
    </row>
    <row r="902" spans="1:19" ht="15" customHeight="1">
      <c r="A902" s="13">
        <v>68636</v>
      </c>
      <c r="B902" s="8">
        <f>CHOOSE( CONTROL!$C$33, 32.3948, 32.3937) * CHOOSE(CONTROL!$C$16, $D$10, 100%, $F$10)</f>
        <v>32.394799999999996</v>
      </c>
      <c r="C902" s="8">
        <f>CHOOSE( CONTROL!$C$33, 32.3999, 32.3988) * CHOOSE(CONTROL!$C$16, $D$10, 100%, $F$10)</f>
        <v>32.399900000000002</v>
      </c>
      <c r="D902" s="8">
        <f>CHOOSE( CONTROL!$C$33, 32.3796, 32.3784) * CHOOSE( CONTROL!$C$16, $D$10, 100%, $F$10)</f>
        <v>32.379600000000003</v>
      </c>
      <c r="E902" s="12">
        <f>CHOOSE( CONTROL!$C$33, 32.3865, 32.3853) * CHOOSE( CONTROL!$C$16, $D$10, 100%, $F$10)</f>
        <v>32.386499999999998</v>
      </c>
      <c r="F902" s="4">
        <f>CHOOSE( CONTROL!$C$33, 33.0577, 33.0565) * CHOOSE(CONTROL!$C$16, $D$10, 100%, $F$10)</f>
        <v>33.057699999999997</v>
      </c>
      <c r="G902" s="8">
        <f>CHOOSE( CONTROL!$C$33, 31.9788, 31.9777) * CHOOSE( CONTROL!$C$16, $D$10, 100%, $F$10)</f>
        <v>31.9788</v>
      </c>
      <c r="H902" s="4">
        <f>CHOOSE( CONTROL!$C$33, 32.8703, 32.8692) * CHOOSE(CONTROL!$C$16, $D$10, 100%, $F$10)</f>
        <v>32.8703</v>
      </c>
      <c r="I902" s="8">
        <f>CHOOSE( CONTROL!$C$33, 31.5654, 31.5643) * CHOOSE(CONTROL!$C$16, $D$10, 100%, $F$10)</f>
        <v>31.5654</v>
      </c>
      <c r="J902" s="4">
        <f>CHOOSE( CONTROL!$C$33, 31.3845, 31.3835) * CHOOSE(CONTROL!$C$16, $D$10, 100%, $F$10)</f>
        <v>31.384499999999999</v>
      </c>
      <c r="K902" s="4"/>
      <c r="L902" s="9">
        <v>28.360600000000002</v>
      </c>
      <c r="M902" s="9">
        <v>11.6745</v>
      </c>
      <c r="N902" s="9">
        <v>4.7850000000000001</v>
      </c>
      <c r="O902" s="9">
        <v>0.36199999999999999</v>
      </c>
      <c r="P902" s="9">
        <v>1.2509999999999999</v>
      </c>
      <c r="Q902" s="9">
        <v>19.053000000000001</v>
      </c>
      <c r="R902" s="9"/>
      <c r="S902" s="11"/>
    </row>
    <row r="903" spans="1:19" ht="15" customHeight="1">
      <c r="A903" s="13">
        <v>68667</v>
      </c>
      <c r="B903" s="8">
        <f>CHOOSE( CONTROL!$C$33, 32.3358, 32.3347) * CHOOSE(CONTROL!$C$16, $D$10, 100%, $F$10)</f>
        <v>32.335799999999999</v>
      </c>
      <c r="C903" s="8">
        <f>CHOOSE( CONTROL!$C$33, 32.3409, 32.3398) * CHOOSE(CONTROL!$C$16, $D$10, 100%, $F$10)</f>
        <v>32.340899999999998</v>
      </c>
      <c r="D903" s="8">
        <f>CHOOSE( CONTROL!$C$33, 32.3221, 32.321) * CHOOSE( CONTROL!$C$16, $D$10, 100%, $F$10)</f>
        <v>32.322099999999999</v>
      </c>
      <c r="E903" s="12">
        <f>CHOOSE( CONTROL!$C$33, 32.3284, 32.3273) * CHOOSE( CONTROL!$C$16, $D$10, 100%, $F$10)</f>
        <v>32.328400000000002</v>
      </c>
      <c r="F903" s="4">
        <f>CHOOSE( CONTROL!$C$33, 32.9987, 32.9976) * CHOOSE(CONTROL!$C$16, $D$10, 100%, $F$10)</f>
        <v>32.998699999999999</v>
      </c>
      <c r="G903" s="8">
        <f>CHOOSE( CONTROL!$C$33, 31.9217, 31.9206) * CHOOSE( CONTROL!$C$16, $D$10, 100%, $F$10)</f>
        <v>31.921700000000001</v>
      </c>
      <c r="H903" s="4">
        <f>CHOOSE( CONTROL!$C$33, 32.8122, 32.8111) * CHOOSE(CONTROL!$C$16, $D$10, 100%, $F$10)</f>
        <v>32.812199999999997</v>
      </c>
      <c r="I903" s="8">
        <f>CHOOSE( CONTROL!$C$33, 31.5128, 31.5117) * CHOOSE(CONTROL!$C$16, $D$10, 100%, $F$10)</f>
        <v>31.512799999999999</v>
      </c>
      <c r="J903" s="4">
        <f>CHOOSE( CONTROL!$C$33, 31.3275, 31.3264) * CHOOSE(CONTROL!$C$16, $D$10, 100%, $F$10)</f>
        <v>31.327500000000001</v>
      </c>
      <c r="K903" s="4"/>
      <c r="L903" s="9">
        <v>29.306000000000001</v>
      </c>
      <c r="M903" s="9">
        <v>12.063700000000001</v>
      </c>
      <c r="N903" s="9">
        <v>4.9444999999999997</v>
      </c>
      <c r="O903" s="9">
        <v>0.37409999999999999</v>
      </c>
      <c r="P903" s="9">
        <v>1.2927</v>
      </c>
      <c r="Q903" s="9">
        <v>19.688099999999999</v>
      </c>
      <c r="R903" s="9"/>
      <c r="S903" s="11"/>
    </row>
    <row r="904" spans="1:19" ht="15" customHeight="1">
      <c r="A904" s="13">
        <v>68698</v>
      </c>
      <c r="B904" s="8">
        <f>CHOOSE( CONTROL!$C$33, 33.2901, 33.289) * CHOOSE(CONTROL!$C$16, $D$10, 100%, $F$10)</f>
        <v>33.290100000000002</v>
      </c>
      <c r="C904" s="8">
        <f>CHOOSE( CONTROL!$C$33, 33.2952, 33.2941) * CHOOSE(CONTROL!$C$16, $D$10, 100%, $F$10)</f>
        <v>33.295200000000001</v>
      </c>
      <c r="D904" s="8">
        <f>CHOOSE( CONTROL!$C$33, 33.2876, 33.2865) * CHOOSE( CONTROL!$C$16, $D$10, 100%, $F$10)</f>
        <v>33.287599999999998</v>
      </c>
      <c r="E904" s="12">
        <f>CHOOSE( CONTROL!$C$33, 33.2898, 33.2887) * CHOOSE( CONTROL!$C$16, $D$10, 100%, $F$10)</f>
        <v>33.2898</v>
      </c>
      <c r="F904" s="4">
        <f>CHOOSE( CONTROL!$C$33, 33.953, 33.9519) * CHOOSE(CONTROL!$C$16, $D$10, 100%, $F$10)</f>
        <v>33.953000000000003</v>
      </c>
      <c r="G904" s="8">
        <f>CHOOSE( CONTROL!$C$33, 32.8685, 32.8674) * CHOOSE( CONTROL!$C$16, $D$10, 100%, $F$10)</f>
        <v>32.868499999999997</v>
      </c>
      <c r="H904" s="4">
        <f>CHOOSE( CONTROL!$C$33, 33.7532, 33.752) * CHOOSE(CONTROL!$C$16, $D$10, 100%, $F$10)</f>
        <v>33.7532</v>
      </c>
      <c r="I904" s="8">
        <f>CHOOSE( CONTROL!$C$33, 32.4286, 32.4275) * CHOOSE(CONTROL!$C$16, $D$10, 100%, $F$10)</f>
        <v>32.428600000000003</v>
      </c>
      <c r="J904" s="4">
        <f>CHOOSE( CONTROL!$C$33, 32.2515, 32.2504) * CHOOSE(CONTROL!$C$16, $D$10, 100%, $F$10)</f>
        <v>32.2515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" customHeight="1">
      <c r="A905" s="13">
        <v>68727</v>
      </c>
      <c r="B905" s="8">
        <f>CHOOSE( CONTROL!$C$33, 31.1369, 31.1358) * CHOOSE(CONTROL!$C$16, $D$10, 100%, $F$10)</f>
        <v>31.136900000000001</v>
      </c>
      <c r="C905" s="8">
        <f>CHOOSE( CONTROL!$C$33, 31.142, 31.1409) * CHOOSE(CONTROL!$C$16, $D$10, 100%, $F$10)</f>
        <v>31.141999999999999</v>
      </c>
      <c r="D905" s="8">
        <f>CHOOSE( CONTROL!$C$33, 31.1342, 31.1331) * CHOOSE( CONTROL!$C$16, $D$10, 100%, $F$10)</f>
        <v>31.1342</v>
      </c>
      <c r="E905" s="12">
        <f>CHOOSE( CONTROL!$C$33, 31.1365, 31.1354) * CHOOSE( CONTROL!$C$16, $D$10, 100%, $F$10)</f>
        <v>31.136500000000002</v>
      </c>
      <c r="F905" s="4">
        <f>CHOOSE( CONTROL!$C$33, 31.7998, 31.7987) * CHOOSE(CONTROL!$C$16, $D$10, 100%, $F$10)</f>
        <v>31.799800000000001</v>
      </c>
      <c r="G905" s="8">
        <f>CHOOSE( CONTROL!$C$33, 30.7453, 30.7441) * CHOOSE( CONTROL!$C$16, $D$10, 100%, $F$10)</f>
        <v>30.7453</v>
      </c>
      <c r="H905" s="4">
        <f>CHOOSE( CONTROL!$C$33, 31.63, 31.6289) * CHOOSE(CONTROL!$C$16, $D$10, 100%, $F$10)</f>
        <v>31.63</v>
      </c>
      <c r="I905" s="8">
        <f>CHOOSE( CONTROL!$C$33, 30.342, 30.3409) * CHOOSE(CONTROL!$C$16, $D$10, 100%, $F$10)</f>
        <v>30.341999999999999</v>
      </c>
      <c r="J905" s="4">
        <f>CHOOSE( CONTROL!$C$33, 30.1666, 30.1655) * CHOOSE(CONTROL!$C$16, $D$10, 100%, $F$10)</f>
        <v>30.166599999999999</v>
      </c>
      <c r="K905" s="4"/>
      <c r="L905" s="9">
        <v>27.415299999999998</v>
      </c>
      <c r="M905" s="9">
        <v>11.285299999999999</v>
      </c>
      <c r="N905" s="9">
        <v>4.6254999999999997</v>
      </c>
      <c r="O905" s="9">
        <v>0.34989999999999999</v>
      </c>
      <c r="P905" s="9">
        <v>1.2093</v>
      </c>
      <c r="Q905" s="9">
        <v>18.417899999999999</v>
      </c>
      <c r="R905" s="9"/>
      <c r="S905" s="11"/>
    </row>
    <row r="906" spans="1:19" ht="15" customHeight="1">
      <c r="A906" s="13">
        <v>68758</v>
      </c>
      <c r="B906" s="8">
        <f>CHOOSE( CONTROL!$C$33, 30.4738, 30.4726) * CHOOSE(CONTROL!$C$16, $D$10, 100%, $F$10)</f>
        <v>30.473800000000001</v>
      </c>
      <c r="C906" s="8">
        <f>CHOOSE( CONTROL!$C$33, 30.4789, 30.4777) * CHOOSE(CONTROL!$C$16, $D$10, 100%, $F$10)</f>
        <v>30.478899999999999</v>
      </c>
      <c r="D906" s="8">
        <f>CHOOSE( CONTROL!$C$33, 30.4703, 30.4692) * CHOOSE( CONTROL!$C$16, $D$10, 100%, $F$10)</f>
        <v>30.470300000000002</v>
      </c>
      <c r="E906" s="12">
        <f>CHOOSE( CONTROL!$C$33, 30.4729, 30.4718) * CHOOSE( CONTROL!$C$16, $D$10, 100%, $F$10)</f>
        <v>30.472899999999999</v>
      </c>
      <c r="F906" s="4">
        <f>CHOOSE( CONTROL!$C$33, 31.1366, 31.1355) * CHOOSE(CONTROL!$C$16, $D$10, 100%, $F$10)</f>
        <v>31.136600000000001</v>
      </c>
      <c r="G906" s="8">
        <f>CHOOSE( CONTROL!$C$33, 30.0908, 30.0897) * CHOOSE( CONTROL!$C$16, $D$10, 100%, $F$10)</f>
        <v>30.090800000000002</v>
      </c>
      <c r="H906" s="4">
        <f>CHOOSE( CONTROL!$C$33, 30.9761, 30.975) * CHOOSE(CONTROL!$C$16, $D$10, 100%, $F$10)</f>
        <v>30.976099999999999</v>
      </c>
      <c r="I906" s="8">
        <f>CHOOSE( CONTROL!$C$33, 29.6973, 29.6962) * CHOOSE(CONTROL!$C$16, $D$10, 100%, $F$10)</f>
        <v>29.697299999999998</v>
      </c>
      <c r="J906" s="4">
        <f>CHOOSE( CONTROL!$C$33, 29.5244, 29.5233) * CHOOSE(CONTROL!$C$16, $D$10, 100%, $F$10)</f>
        <v>29.5244</v>
      </c>
      <c r="K906" s="4"/>
      <c r="L906" s="9">
        <v>29.306000000000001</v>
      </c>
      <c r="M906" s="9">
        <v>12.063700000000001</v>
      </c>
      <c r="N906" s="9">
        <v>4.9444999999999997</v>
      </c>
      <c r="O906" s="9">
        <v>0.37409999999999999</v>
      </c>
      <c r="P906" s="9">
        <v>1.2927</v>
      </c>
      <c r="Q906" s="9">
        <v>19.688099999999999</v>
      </c>
      <c r="R906" s="9"/>
      <c r="S906" s="11"/>
    </row>
    <row r="907" spans="1:19" ht="15" customHeight="1">
      <c r="A907" s="13">
        <v>68788</v>
      </c>
      <c r="B907" s="8">
        <f>CHOOSE( CONTROL!$C$33, 30.9379, 30.9368) * CHOOSE(CONTROL!$C$16, $D$10, 100%, $F$10)</f>
        <v>30.937899999999999</v>
      </c>
      <c r="C907" s="8">
        <f>CHOOSE( CONTROL!$C$33, 30.9425, 30.9413) * CHOOSE(CONTROL!$C$16, $D$10, 100%, $F$10)</f>
        <v>30.942499999999999</v>
      </c>
      <c r="D907" s="8">
        <f>CHOOSE( CONTROL!$C$33, 30.9713, 30.9702) * CHOOSE( CONTROL!$C$16, $D$10, 100%, $F$10)</f>
        <v>30.971299999999999</v>
      </c>
      <c r="E907" s="12">
        <f>CHOOSE( CONTROL!$C$33, 30.9613, 30.9601) * CHOOSE( CONTROL!$C$16, $D$10, 100%, $F$10)</f>
        <v>30.961300000000001</v>
      </c>
      <c r="F907" s="4">
        <f>CHOOSE( CONTROL!$C$33, 31.7162, 31.7151) * CHOOSE(CONTROL!$C$16, $D$10, 100%, $F$10)</f>
        <v>31.716200000000001</v>
      </c>
      <c r="G907" s="8">
        <f>CHOOSE( CONTROL!$C$33, 30.5687, 30.5676) * CHOOSE( CONTROL!$C$16, $D$10, 100%, $F$10)</f>
        <v>30.5687</v>
      </c>
      <c r="H907" s="4">
        <f>CHOOSE( CONTROL!$C$33, 31.5476, 31.5465) * CHOOSE(CONTROL!$C$16, $D$10, 100%, $F$10)</f>
        <v>31.547599999999999</v>
      </c>
      <c r="I907" s="8">
        <f>CHOOSE( CONTROL!$C$33, 30.1042, 30.1031) * CHOOSE(CONTROL!$C$16, $D$10, 100%, $F$10)</f>
        <v>30.104199999999999</v>
      </c>
      <c r="J907" s="4">
        <f>CHOOSE( CONTROL!$C$33, 29.9731, 29.972) * CHOOSE(CONTROL!$C$16, $D$10, 100%, $F$10)</f>
        <v>29.973099999999999</v>
      </c>
      <c r="K907" s="4"/>
      <c r="L907" s="9">
        <v>30.092199999999998</v>
      </c>
      <c r="M907" s="9">
        <v>11.6745</v>
      </c>
      <c r="N907" s="9">
        <v>4.7850000000000001</v>
      </c>
      <c r="O907" s="9">
        <v>0.36199999999999999</v>
      </c>
      <c r="P907" s="9">
        <v>1.2509999999999999</v>
      </c>
      <c r="Q907" s="9">
        <v>19.053000000000001</v>
      </c>
      <c r="R907" s="9"/>
      <c r="S907" s="11"/>
    </row>
    <row r="908" spans="1:19" ht="15" customHeight="1">
      <c r="A908" s="13">
        <v>68819</v>
      </c>
      <c r="B908" s="8">
        <f>CHOOSE( CONTROL!$C$33, 31.7645, 31.7629) * CHOOSE(CONTROL!$C$16, $D$10, 100%, $F$10)</f>
        <v>31.764500000000002</v>
      </c>
      <c r="C908" s="8">
        <f>CHOOSE( CONTROL!$C$33, 31.7725, 31.7709) * CHOOSE(CONTROL!$C$16, $D$10, 100%, $F$10)</f>
        <v>31.772500000000001</v>
      </c>
      <c r="D908" s="8">
        <f>CHOOSE( CONTROL!$C$33, 31.7947, 31.7932) * CHOOSE( CONTROL!$C$16, $D$10, 100%, $F$10)</f>
        <v>31.794699999999999</v>
      </c>
      <c r="E908" s="12">
        <f>CHOOSE( CONTROL!$C$33, 31.7854, 31.7839) * CHOOSE( CONTROL!$C$16, $D$10, 100%, $F$10)</f>
        <v>31.785399999999999</v>
      </c>
      <c r="F908" s="4">
        <f>CHOOSE( CONTROL!$C$33, 32.5414, 32.5399) * CHOOSE(CONTROL!$C$16, $D$10, 100%, $F$10)</f>
        <v>32.541400000000003</v>
      </c>
      <c r="G908" s="8">
        <f>CHOOSE( CONTROL!$C$33, 31.3823, 31.3808) * CHOOSE( CONTROL!$C$16, $D$10, 100%, $F$10)</f>
        <v>31.382300000000001</v>
      </c>
      <c r="H908" s="4">
        <f>CHOOSE( CONTROL!$C$33, 32.3613, 32.3597) * CHOOSE(CONTROL!$C$16, $D$10, 100%, $F$10)</f>
        <v>32.3613</v>
      </c>
      <c r="I908" s="8">
        <f>CHOOSE( CONTROL!$C$33, 30.9033, 30.9018) * CHOOSE(CONTROL!$C$16, $D$10, 100%, $F$10)</f>
        <v>30.903300000000002</v>
      </c>
      <c r="J908" s="4">
        <f>CHOOSE( CONTROL!$C$33, 30.7722, 30.7707) * CHOOSE(CONTROL!$C$16, $D$10, 100%, $F$10)</f>
        <v>30.772200000000002</v>
      </c>
      <c r="K908" s="4"/>
      <c r="L908" s="9">
        <v>30.7165</v>
      </c>
      <c r="M908" s="9">
        <v>12.063700000000001</v>
      </c>
      <c r="N908" s="9">
        <v>4.9444999999999997</v>
      </c>
      <c r="O908" s="9">
        <v>0.37409999999999999</v>
      </c>
      <c r="P908" s="9">
        <v>1.2927</v>
      </c>
      <c r="Q908" s="9">
        <v>19.688099999999999</v>
      </c>
      <c r="R908" s="9"/>
      <c r="S908" s="11"/>
    </row>
    <row r="909" spans="1:19" ht="15" customHeight="1">
      <c r="A909" s="13">
        <v>68849</v>
      </c>
      <c r="B909" s="8">
        <f>CHOOSE( CONTROL!$C$33, 31.2536, 31.252) * CHOOSE(CONTROL!$C$16, $D$10, 100%, $F$10)</f>
        <v>31.253599999999999</v>
      </c>
      <c r="C909" s="8">
        <f>CHOOSE( CONTROL!$C$33, 31.2616, 31.26) * CHOOSE(CONTROL!$C$16, $D$10, 100%, $F$10)</f>
        <v>31.261600000000001</v>
      </c>
      <c r="D909" s="8">
        <f>CHOOSE( CONTROL!$C$33, 31.284, 31.2824) * CHOOSE( CONTROL!$C$16, $D$10, 100%, $F$10)</f>
        <v>31.283999999999999</v>
      </c>
      <c r="E909" s="12">
        <f>CHOOSE( CONTROL!$C$33, 31.2747, 31.2731) * CHOOSE( CONTROL!$C$16, $D$10, 100%, $F$10)</f>
        <v>31.274699999999999</v>
      </c>
      <c r="F909" s="4">
        <f>CHOOSE( CONTROL!$C$33, 32.0305, 32.029) * CHOOSE(CONTROL!$C$16, $D$10, 100%, $F$10)</f>
        <v>32.030500000000004</v>
      </c>
      <c r="G909" s="8">
        <f>CHOOSE( CONTROL!$C$33, 30.8787, 30.8771) * CHOOSE( CONTROL!$C$16, $D$10, 100%, $F$10)</f>
        <v>30.878699999999998</v>
      </c>
      <c r="H909" s="4">
        <f>CHOOSE( CONTROL!$C$33, 31.8575, 31.856) * CHOOSE(CONTROL!$C$16, $D$10, 100%, $F$10)</f>
        <v>31.857500000000002</v>
      </c>
      <c r="I909" s="8">
        <f>CHOOSE( CONTROL!$C$33, 30.4089, 30.4074) * CHOOSE(CONTROL!$C$16, $D$10, 100%, $F$10)</f>
        <v>30.408899999999999</v>
      </c>
      <c r="J909" s="4">
        <f>CHOOSE( CONTROL!$C$33, 30.2775, 30.2759) * CHOOSE(CONTROL!$C$16, $D$10, 100%, $F$10)</f>
        <v>30.2775</v>
      </c>
      <c r="K909" s="4"/>
      <c r="L909" s="9">
        <v>29.7257</v>
      </c>
      <c r="M909" s="9">
        <v>11.6745</v>
      </c>
      <c r="N909" s="9">
        <v>4.7850000000000001</v>
      </c>
      <c r="O909" s="9">
        <v>0.36199999999999999</v>
      </c>
      <c r="P909" s="9">
        <v>1.2509999999999999</v>
      </c>
      <c r="Q909" s="9">
        <v>19.053000000000001</v>
      </c>
      <c r="R909" s="9"/>
      <c r="S909" s="11"/>
    </row>
    <row r="910" spans="1:19" ht="15" customHeight="1">
      <c r="A910" s="13">
        <v>68880</v>
      </c>
      <c r="B910" s="8">
        <f>CHOOSE( CONTROL!$C$33, 32.599, 32.5975) * CHOOSE(CONTROL!$C$16, $D$10, 100%, $F$10)</f>
        <v>32.598999999999997</v>
      </c>
      <c r="C910" s="8">
        <f>CHOOSE( CONTROL!$C$33, 32.607, 32.6055) * CHOOSE(CONTROL!$C$16, $D$10, 100%, $F$10)</f>
        <v>32.606999999999999</v>
      </c>
      <c r="D910" s="8">
        <f>CHOOSE( CONTROL!$C$33, 32.6297, 32.6281) * CHOOSE( CONTROL!$C$16, $D$10, 100%, $F$10)</f>
        <v>32.6297</v>
      </c>
      <c r="E910" s="12">
        <f>CHOOSE( CONTROL!$C$33, 32.6203, 32.6187) * CHOOSE( CONTROL!$C$16, $D$10, 100%, $F$10)</f>
        <v>32.6203</v>
      </c>
      <c r="F910" s="4">
        <f>CHOOSE( CONTROL!$C$33, 33.376, 33.3744) * CHOOSE(CONTROL!$C$16, $D$10, 100%, $F$10)</f>
        <v>33.375999999999998</v>
      </c>
      <c r="G910" s="8">
        <f>CHOOSE( CONTROL!$C$33, 32.2055, 32.204) * CHOOSE( CONTROL!$C$16, $D$10, 100%, $F$10)</f>
        <v>32.205500000000001</v>
      </c>
      <c r="H910" s="4">
        <f>CHOOSE( CONTROL!$C$33, 33.1842, 33.1826) * CHOOSE(CONTROL!$C$16, $D$10, 100%, $F$10)</f>
        <v>33.184199999999997</v>
      </c>
      <c r="I910" s="8">
        <f>CHOOSE( CONTROL!$C$33, 31.7131, 31.7116) * CHOOSE(CONTROL!$C$16, $D$10, 100%, $F$10)</f>
        <v>31.713100000000001</v>
      </c>
      <c r="J910" s="4">
        <f>CHOOSE( CONTROL!$C$33, 31.5802, 31.5787) * CHOOSE(CONTROL!$C$16, $D$10, 100%, $F$10)</f>
        <v>31.580200000000001</v>
      </c>
      <c r="K910" s="4"/>
      <c r="L910" s="9">
        <v>30.7165</v>
      </c>
      <c r="M910" s="9">
        <v>12.063700000000001</v>
      </c>
      <c r="N910" s="9">
        <v>4.9444999999999997</v>
      </c>
      <c r="O910" s="9">
        <v>0.37409999999999999</v>
      </c>
      <c r="P910" s="9">
        <v>1.2927</v>
      </c>
      <c r="Q910" s="9">
        <v>19.688099999999999</v>
      </c>
      <c r="R910" s="9"/>
      <c r="S910" s="11"/>
    </row>
    <row r="911" spans="1:19" ht="15" customHeight="1">
      <c r="A911" s="13">
        <v>68911</v>
      </c>
      <c r="B911" s="8">
        <f>CHOOSE( CONTROL!$C$33, 30.0816, 30.08) * CHOOSE(CONTROL!$C$16, $D$10, 100%, $F$10)</f>
        <v>30.081600000000002</v>
      </c>
      <c r="C911" s="8">
        <f>CHOOSE( CONTROL!$C$33, 30.0896, 30.088) * CHOOSE(CONTROL!$C$16, $D$10, 100%, $F$10)</f>
        <v>30.089600000000001</v>
      </c>
      <c r="D911" s="8">
        <f>CHOOSE( CONTROL!$C$33, 30.1123, 30.1107) * CHOOSE( CONTROL!$C$16, $D$10, 100%, $F$10)</f>
        <v>30.112300000000001</v>
      </c>
      <c r="E911" s="12">
        <f>CHOOSE( CONTROL!$C$33, 30.1029, 30.1013) * CHOOSE( CONTROL!$C$16, $D$10, 100%, $F$10)</f>
        <v>30.102900000000002</v>
      </c>
      <c r="F911" s="4">
        <f>CHOOSE( CONTROL!$C$33, 30.8585, 30.8569) * CHOOSE(CONTROL!$C$16, $D$10, 100%, $F$10)</f>
        <v>30.858499999999999</v>
      </c>
      <c r="G911" s="8">
        <f>CHOOSE( CONTROL!$C$33, 29.7232, 29.7217) * CHOOSE( CONTROL!$C$16, $D$10, 100%, $F$10)</f>
        <v>29.723199999999999</v>
      </c>
      <c r="H911" s="4">
        <f>CHOOSE( CONTROL!$C$33, 30.7018, 30.7003) * CHOOSE(CONTROL!$C$16, $D$10, 100%, $F$10)</f>
        <v>30.701799999999999</v>
      </c>
      <c r="I911" s="8">
        <f>CHOOSE( CONTROL!$C$33, 29.2744, 29.2729) * CHOOSE(CONTROL!$C$16, $D$10, 100%, $F$10)</f>
        <v>29.2744</v>
      </c>
      <c r="J911" s="4">
        <f>CHOOSE( CONTROL!$C$33, 29.1426, 29.1411) * CHOOSE(CONTROL!$C$16, $D$10, 100%, $F$10)</f>
        <v>29.142600000000002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1.2927</v>
      </c>
      <c r="Q911" s="9">
        <v>19.688099999999999</v>
      </c>
      <c r="R911" s="9"/>
      <c r="S911" s="11"/>
    </row>
    <row r="912" spans="1:19" ht="15" customHeight="1">
      <c r="A912" s="13">
        <v>68941</v>
      </c>
      <c r="B912" s="8">
        <f>CHOOSE( CONTROL!$C$33, 29.4512, 29.4496) * CHOOSE(CONTROL!$C$16, $D$10, 100%, $F$10)</f>
        <v>29.4512</v>
      </c>
      <c r="C912" s="8">
        <f>CHOOSE( CONTROL!$C$33, 29.4592, 29.4576) * CHOOSE(CONTROL!$C$16, $D$10, 100%, $F$10)</f>
        <v>29.459199999999999</v>
      </c>
      <c r="D912" s="8">
        <f>CHOOSE( CONTROL!$C$33, 29.4817, 29.4802) * CHOOSE( CONTROL!$C$16, $D$10, 100%, $F$10)</f>
        <v>29.4817</v>
      </c>
      <c r="E912" s="12">
        <f>CHOOSE( CONTROL!$C$33, 29.4723, 29.4708) * CHOOSE( CONTROL!$C$16, $D$10, 100%, $F$10)</f>
        <v>29.472300000000001</v>
      </c>
      <c r="F912" s="4">
        <f>CHOOSE( CONTROL!$C$33, 30.2281, 30.2265) * CHOOSE(CONTROL!$C$16, $D$10, 100%, $F$10)</f>
        <v>30.228100000000001</v>
      </c>
      <c r="G912" s="8">
        <f>CHOOSE( CONTROL!$C$33, 29.1015, 29.1) * CHOOSE( CONTROL!$C$16, $D$10, 100%, $F$10)</f>
        <v>29.101500000000001</v>
      </c>
      <c r="H912" s="4">
        <f>CHOOSE( CONTROL!$C$33, 30.0802, 30.0787) * CHOOSE(CONTROL!$C$16, $D$10, 100%, $F$10)</f>
        <v>30.080200000000001</v>
      </c>
      <c r="I912" s="8">
        <f>CHOOSE( CONTROL!$C$33, 28.6632, 28.6617) * CHOOSE(CONTROL!$C$16, $D$10, 100%, $F$10)</f>
        <v>28.6632</v>
      </c>
      <c r="J912" s="4">
        <f>CHOOSE( CONTROL!$C$33, 28.5322, 28.5307) * CHOOSE(CONTROL!$C$16, $D$10, 100%, $F$10)</f>
        <v>28.5322</v>
      </c>
      <c r="K912" s="4"/>
      <c r="L912" s="9">
        <v>29.7257</v>
      </c>
      <c r="M912" s="9">
        <v>11.6745</v>
      </c>
      <c r="N912" s="9">
        <v>4.7850000000000001</v>
      </c>
      <c r="O912" s="9">
        <v>0.36199999999999999</v>
      </c>
      <c r="P912" s="9">
        <v>1.2509999999999999</v>
      </c>
      <c r="Q912" s="9">
        <v>19.053000000000001</v>
      </c>
      <c r="R912" s="9"/>
      <c r="S912" s="11"/>
    </row>
    <row r="913" spans="1:19" ht="15" customHeight="1">
      <c r="A913" s="13">
        <v>68972</v>
      </c>
      <c r="B913" s="8">
        <f>CHOOSE( CONTROL!$C$33, 30.7579, 30.7568) * CHOOSE(CONTROL!$C$16, $D$10, 100%, $F$10)</f>
        <v>30.757899999999999</v>
      </c>
      <c r="C913" s="8">
        <f>CHOOSE( CONTROL!$C$33, 30.7633, 30.7622) * CHOOSE(CONTROL!$C$16, $D$10, 100%, $F$10)</f>
        <v>30.763300000000001</v>
      </c>
      <c r="D913" s="8">
        <f>CHOOSE( CONTROL!$C$33, 30.7921, 30.7909) * CHOOSE( CONTROL!$C$16, $D$10, 100%, $F$10)</f>
        <v>30.792100000000001</v>
      </c>
      <c r="E913" s="12">
        <f>CHOOSE( CONTROL!$C$33, 30.782, 30.7809) * CHOOSE( CONTROL!$C$16, $D$10, 100%, $F$10)</f>
        <v>30.782</v>
      </c>
      <c r="F913" s="4">
        <f>CHOOSE( CONTROL!$C$33, 31.5366, 31.5355) * CHOOSE(CONTROL!$C$16, $D$10, 100%, $F$10)</f>
        <v>31.5366</v>
      </c>
      <c r="G913" s="8">
        <f>CHOOSE( CONTROL!$C$33, 30.3919, 30.3908) * CHOOSE( CONTROL!$C$16, $D$10, 100%, $F$10)</f>
        <v>30.3919</v>
      </c>
      <c r="H913" s="4">
        <f>CHOOSE( CONTROL!$C$33, 31.3705, 31.3693) * CHOOSE(CONTROL!$C$16, $D$10, 100%, $F$10)</f>
        <v>31.3705</v>
      </c>
      <c r="I913" s="8">
        <f>CHOOSE( CONTROL!$C$33, 29.9315, 29.9304) * CHOOSE(CONTROL!$C$16, $D$10, 100%, $F$10)</f>
        <v>29.9315</v>
      </c>
      <c r="J913" s="4">
        <f>CHOOSE( CONTROL!$C$33, 29.7992, 29.7981) * CHOOSE(CONTROL!$C$16, $D$10, 100%, $F$10)</f>
        <v>29.799199999999999</v>
      </c>
      <c r="K913" s="4"/>
      <c r="L913" s="9">
        <v>31.095300000000002</v>
      </c>
      <c r="M913" s="9">
        <v>12.063700000000001</v>
      </c>
      <c r="N913" s="9">
        <v>4.9444999999999997</v>
      </c>
      <c r="O913" s="9">
        <v>0.37409999999999999</v>
      </c>
      <c r="P913" s="9">
        <v>1.2927</v>
      </c>
      <c r="Q913" s="9">
        <v>19.688099999999999</v>
      </c>
      <c r="R913" s="9"/>
      <c r="S913" s="11"/>
    </row>
    <row r="914" spans="1:19" ht="15" customHeight="1">
      <c r="A914" s="13">
        <v>69002</v>
      </c>
      <c r="B914" s="8">
        <f>CHOOSE( CONTROL!$C$33, 33.1735, 33.1724) * CHOOSE(CONTROL!$C$16, $D$10, 100%, $F$10)</f>
        <v>33.173499999999997</v>
      </c>
      <c r="C914" s="8">
        <f>CHOOSE( CONTROL!$C$33, 33.1786, 33.1775) * CHOOSE(CONTROL!$C$16, $D$10, 100%, $F$10)</f>
        <v>33.178600000000003</v>
      </c>
      <c r="D914" s="8">
        <f>CHOOSE( CONTROL!$C$33, 33.1583, 33.1572) * CHOOSE( CONTROL!$C$16, $D$10, 100%, $F$10)</f>
        <v>33.158299999999997</v>
      </c>
      <c r="E914" s="12">
        <f>CHOOSE( CONTROL!$C$33, 33.1652, 33.1641) * CHOOSE( CONTROL!$C$16, $D$10, 100%, $F$10)</f>
        <v>33.165199999999999</v>
      </c>
      <c r="F914" s="4">
        <f>CHOOSE( CONTROL!$C$33, 33.8364, 33.8353) * CHOOSE(CONTROL!$C$16, $D$10, 100%, $F$10)</f>
        <v>33.836399999999998</v>
      </c>
      <c r="G914" s="8">
        <f>CHOOSE( CONTROL!$C$33, 32.7467, 32.7456) * CHOOSE( CONTROL!$C$16, $D$10, 100%, $F$10)</f>
        <v>32.746699999999997</v>
      </c>
      <c r="H914" s="4">
        <f>CHOOSE( CONTROL!$C$33, 33.6382, 33.6371) * CHOOSE(CONTROL!$C$16, $D$10, 100%, $F$10)</f>
        <v>33.638199999999998</v>
      </c>
      <c r="I914" s="8">
        <f>CHOOSE( CONTROL!$C$33, 32.3198, 32.3188) * CHOOSE(CONTROL!$C$16, $D$10, 100%, $F$10)</f>
        <v>32.319800000000001</v>
      </c>
      <c r="J914" s="4">
        <f>CHOOSE( CONTROL!$C$33, 32.1386, 32.1375) * CHOOSE(CONTROL!$C$16, $D$10, 100%, $F$10)</f>
        <v>32.138599999999997</v>
      </c>
      <c r="K914" s="4"/>
      <c r="L914" s="9">
        <v>28.360600000000002</v>
      </c>
      <c r="M914" s="9">
        <v>11.6745</v>
      </c>
      <c r="N914" s="9">
        <v>4.7850000000000001</v>
      </c>
      <c r="O914" s="9">
        <v>0.36199999999999999</v>
      </c>
      <c r="P914" s="9">
        <v>1.2509999999999999</v>
      </c>
      <c r="Q914" s="9">
        <v>19.053000000000001</v>
      </c>
      <c r="R914" s="9"/>
      <c r="S914" s="11"/>
    </row>
    <row r="915" spans="1:19" ht="15" customHeight="1">
      <c r="A915" s="13">
        <v>69033</v>
      </c>
      <c r="B915" s="8">
        <f>CHOOSE( CONTROL!$C$33, 33.1132, 33.1121) * CHOOSE(CONTROL!$C$16, $D$10, 100%, $F$10)</f>
        <v>33.113199999999999</v>
      </c>
      <c r="C915" s="8">
        <f>CHOOSE( CONTROL!$C$33, 33.1183, 33.1172) * CHOOSE(CONTROL!$C$16, $D$10, 100%, $F$10)</f>
        <v>33.118299999999998</v>
      </c>
      <c r="D915" s="8">
        <f>CHOOSE( CONTROL!$C$33, 33.0994, 33.0983) * CHOOSE( CONTROL!$C$16, $D$10, 100%, $F$10)</f>
        <v>33.099400000000003</v>
      </c>
      <c r="E915" s="12">
        <f>CHOOSE( CONTROL!$C$33, 33.1058, 33.1047) * CHOOSE( CONTROL!$C$16, $D$10, 100%, $F$10)</f>
        <v>33.105800000000002</v>
      </c>
      <c r="F915" s="4">
        <f>CHOOSE( CONTROL!$C$33, 33.776, 33.7749) * CHOOSE(CONTROL!$C$16, $D$10, 100%, $F$10)</f>
        <v>33.776000000000003</v>
      </c>
      <c r="G915" s="8">
        <f>CHOOSE( CONTROL!$C$33, 32.6882, 32.6871) * CHOOSE( CONTROL!$C$16, $D$10, 100%, $F$10)</f>
        <v>32.688200000000002</v>
      </c>
      <c r="H915" s="4">
        <f>CHOOSE( CONTROL!$C$33, 33.5787, 33.5776) * CHOOSE(CONTROL!$C$16, $D$10, 100%, $F$10)</f>
        <v>33.578699999999998</v>
      </c>
      <c r="I915" s="8">
        <f>CHOOSE( CONTROL!$C$33, 32.2659, 32.2648) * CHOOSE(CONTROL!$C$16, $D$10, 100%, $F$10)</f>
        <v>32.265900000000002</v>
      </c>
      <c r="J915" s="4">
        <f>CHOOSE( CONTROL!$C$33, 32.0802, 32.0791) * CHOOSE(CONTROL!$C$16, $D$10, 100%, $F$10)</f>
        <v>32.080199999999998</v>
      </c>
      <c r="K915" s="4"/>
      <c r="L915" s="9">
        <v>29.306000000000001</v>
      </c>
      <c r="M915" s="9">
        <v>12.063700000000001</v>
      </c>
      <c r="N915" s="9">
        <v>4.9444999999999997</v>
      </c>
      <c r="O915" s="9">
        <v>0.37409999999999999</v>
      </c>
      <c r="P915" s="9">
        <v>1.2927</v>
      </c>
      <c r="Q915" s="9">
        <v>19.688099999999999</v>
      </c>
      <c r="R915" s="9"/>
      <c r="S915" s="11"/>
    </row>
    <row r="916" spans="1:19" ht="15" customHeight="1">
      <c r="A916" s="13">
        <v>69064</v>
      </c>
      <c r="B916" s="8">
        <f>CHOOSE( CONTROL!$C$33, 34.0904, 34.0893) * CHOOSE(CONTROL!$C$16, $D$10, 100%, $F$10)</f>
        <v>34.090400000000002</v>
      </c>
      <c r="C916" s="8">
        <f>CHOOSE( CONTROL!$C$33, 34.0955, 34.0944) * CHOOSE(CONTROL!$C$16, $D$10, 100%, $F$10)</f>
        <v>34.095500000000001</v>
      </c>
      <c r="D916" s="8">
        <f>CHOOSE( CONTROL!$C$33, 34.0878, 34.0867) * CHOOSE( CONTROL!$C$16, $D$10, 100%, $F$10)</f>
        <v>34.087800000000001</v>
      </c>
      <c r="E916" s="12">
        <f>CHOOSE( CONTROL!$C$33, 34.0901, 34.089) * CHOOSE( CONTROL!$C$16, $D$10, 100%, $F$10)</f>
        <v>34.0901</v>
      </c>
      <c r="F916" s="4">
        <f>CHOOSE( CONTROL!$C$33, 34.7533, 34.7521) * CHOOSE(CONTROL!$C$16, $D$10, 100%, $F$10)</f>
        <v>34.753300000000003</v>
      </c>
      <c r="G916" s="8">
        <f>CHOOSE( CONTROL!$C$33, 33.6576, 33.6565) * CHOOSE( CONTROL!$C$16, $D$10, 100%, $F$10)</f>
        <v>33.657600000000002</v>
      </c>
      <c r="H916" s="4">
        <f>CHOOSE( CONTROL!$C$33, 34.5423, 34.5411) * CHOOSE(CONTROL!$C$16, $D$10, 100%, $F$10)</f>
        <v>34.542299999999997</v>
      </c>
      <c r="I916" s="8">
        <f>CHOOSE( CONTROL!$C$33, 33.2038, 33.2028) * CHOOSE(CONTROL!$C$16, $D$10, 100%, $F$10)</f>
        <v>33.203800000000001</v>
      </c>
      <c r="J916" s="4">
        <f>CHOOSE( CONTROL!$C$33, 33.0264, 33.0253) * CHOOSE(CONTROL!$C$16, $D$10, 100%, $F$10)</f>
        <v>33.026400000000002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" customHeight="1">
      <c r="A917" s="13">
        <v>69092</v>
      </c>
      <c r="B917" s="8">
        <f>CHOOSE( CONTROL!$C$33, 31.8855, 31.8843) * CHOOSE(CONTROL!$C$16, $D$10, 100%, $F$10)</f>
        <v>31.8855</v>
      </c>
      <c r="C917" s="8">
        <f>CHOOSE( CONTROL!$C$33, 31.8906, 31.8894) * CHOOSE(CONTROL!$C$16, $D$10, 100%, $F$10)</f>
        <v>31.890599999999999</v>
      </c>
      <c r="D917" s="8">
        <f>CHOOSE( CONTROL!$C$33, 31.8827, 31.8816) * CHOOSE( CONTROL!$C$16, $D$10, 100%, $F$10)</f>
        <v>31.8827</v>
      </c>
      <c r="E917" s="12">
        <f>CHOOSE( CONTROL!$C$33, 31.885, 31.8839) * CHOOSE( CONTROL!$C$16, $D$10, 100%, $F$10)</f>
        <v>31.885000000000002</v>
      </c>
      <c r="F917" s="4">
        <f>CHOOSE( CONTROL!$C$33, 32.5483, 32.5472) * CHOOSE(CONTROL!$C$16, $D$10, 100%, $F$10)</f>
        <v>32.548299999999998</v>
      </c>
      <c r="G917" s="8">
        <f>CHOOSE( CONTROL!$C$33, 31.4833, 31.4822) * CHOOSE( CONTROL!$C$16, $D$10, 100%, $F$10)</f>
        <v>31.4833</v>
      </c>
      <c r="H917" s="4">
        <f>CHOOSE( CONTROL!$C$33, 32.3681, 32.367) * CHOOSE(CONTROL!$C$16, $D$10, 100%, $F$10)</f>
        <v>32.368099999999998</v>
      </c>
      <c r="I917" s="8">
        <f>CHOOSE( CONTROL!$C$33, 31.0672, 31.0661) * CHOOSE(CONTROL!$C$16, $D$10, 100%, $F$10)</f>
        <v>31.0672</v>
      </c>
      <c r="J917" s="4">
        <f>CHOOSE( CONTROL!$C$33, 30.8914, 30.8903) * CHOOSE(CONTROL!$C$16, $D$10, 100%, $F$10)</f>
        <v>30.891400000000001</v>
      </c>
      <c r="K917" s="4"/>
      <c r="L917" s="9">
        <v>26.469899999999999</v>
      </c>
      <c r="M917" s="9">
        <v>10.8962</v>
      </c>
      <c r="N917" s="9">
        <v>4.4660000000000002</v>
      </c>
      <c r="O917" s="9">
        <v>0.33789999999999998</v>
      </c>
      <c r="P917" s="9">
        <v>1.1676</v>
      </c>
      <c r="Q917" s="9">
        <v>17.782800000000002</v>
      </c>
      <c r="R917" s="9"/>
      <c r="S917" s="11"/>
    </row>
    <row r="918" spans="1:19" ht="15" customHeight="1">
      <c r="A918" s="13">
        <v>69123</v>
      </c>
      <c r="B918" s="8">
        <f>CHOOSE( CONTROL!$C$33, 31.2064, 31.2052) * CHOOSE(CONTROL!$C$16, $D$10, 100%, $F$10)</f>
        <v>31.206399999999999</v>
      </c>
      <c r="C918" s="8">
        <f>CHOOSE( CONTROL!$C$33, 31.2115, 31.2103) * CHOOSE(CONTROL!$C$16, $D$10, 100%, $F$10)</f>
        <v>31.211500000000001</v>
      </c>
      <c r="D918" s="8">
        <f>CHOOSE( CONTROL!$C$33, 31.2029, 31.2018) * CHOOSE( CONTROL!$C$16, $D$10, 100%, $F$10)</f>
        <v>31.2029</v>
      </c>
      <c r="E918" s="12">
        <f>CHOOSE( CONTROL!$C$33, 31.2055, 31.2044) * CHOOSE( CONTROL!$C$16, $D$10, 100%, $F$10)</f>
        <v>31.205500000000001</v>
      </c>
      <c r="F918" s="4">
        <f>CHOOSE( CONTROL!$C$33, 31.8692, 31.8681) * CHOOSE(CONTROL!$C$16, $D$10, 100%, $F$10)</f>
        <v>31.869199999999999</v>
      </c>
      <c r="G918" s="8">
        <f>CHOOSE( CONTROL!$C$33, 30.8132, 30.8121) * CHOOSE( CONTROL!$C$16, $D$10, 100%, $F$10)</f>
        <v>30.813199999999998</v>
      </c>
      <c r="H918" s="4">
        <f>CHOOSE( CONTROL!$C$33, 31.6985, 31.6973) * CHOOSE(CONTROL!$C$16, $D$10, 100%, $F$10)</f>
        <v>31.698499999999999</v>
      </c>
      <c r="I918" s="8">
        <f>CHOOSE( CONTROL!$C$33, 30.407, 30.4059) * CHOOSE(CONTROL!$C$16, $D$10, 100%, $F$10)</f>
        <v>30.407</v>
      </c>
      <c r="J918" s="4">
        <f>CHOOSE( CONTROL!$C$33, 30.2338, 30.2327) * CHOOSE(CONTROL!$C$16, $D$10, 100%, $F$10)</f>
        <v>30.233799999999999</v>
      </c>
      <c r="K918" s="4"/>
      <c r="L918" s="9">
        <v>29.306000000000001</v>
      </c>
      <c r="M918" s="9">
        <v>12.063700000000001</v>
      </c>
      <c r="N918" s="9">
        <v>4.9444999999999997</v>
      </c>
      <c r="O918" s="9">
        <v>0.37409999999999999</v>
      </c>
      <c r="P918" s="9">
        <v>1.2927</v>
      </c>
      <c r="Q918" s="9">
        <v>19.688099999999999</v>
      </c>
      <c r="R918" s="9"/>
      <c r="S918" s="11"/>
    </row>
    <row r="919" spans="1:19" ht="15" customHeight="1">
      <c r="A919" s="13">
        <v>69153</v>
      </c>
      <c r="B919" s="8">
        <f>CHOOSE( CONTROL!$C$33, 31.6817, 31.6805) * CHOOSE(CONTROL!$C$16, $D$10, 100%, $F$10)</f>
        <v>31.681699999999999</v>
      </c>
      <c r="C919" s="8">
        <f>CHOOSE( CONTROL!$C$33, 31.6862, 31.6851) * CHOOSE(CONTROL!$C$16, $D$10, 100%, $F$10)</f>
        <v>31.686199999999999</v>
      </c>
      <c r="D919" s="8">
        <f>CHOOSE( CONTROL!$C$33, 31.7151, 31.7139) * CHOOSE( CONTROL!$C$16, $D$10, 100%, $F$10)</f>
        <v>31.7151</v>
      </c>
      <c r="E919" s="12">
        <f>CHOOSE( CONTROL!$C$33, 31.705, 31.7039) * CHOOSE( CONTROL!$C$16, $D$10, 100%, $F$10)</f>
        <v>31.704999999999998</v>
      </c>
      <c r="F919" s="4">
        <f>CHOOSE( CONTROL!$C$33, 32.46, 32.4588) * CHOOSE(CONTROL!$C$16, $D$10, 100%, $F$10)</f>
        <v>32.46</v>
      </c>
      <c r="G919" s="8">
        <f>CHOOSE( CONTROL!$C$33, 31.3021, 31.3009) * CHOOSE( CONTROL!$C$16, $D$10, 100%, $F$10)</f>
        <v>31.302099999999999</v>
      </c>
      <c r="H919" s="4">
        <f>CHOOSE( CONTROL!$C$33, 32.2809, 32.2798) * CHOOSE(CONTROL!$C$16, $D$10, 100%, $F$10)</f>
        <v>32.280900000000003</v>
      </c>
      <c r="I919" s="8">
        <f>CHOOSE( CONTROL!$C$33, 30.8247, 30.8236) * CHOOSE(CONTROL!$C$16, $D$10, 100%, $F$10)</f>
        <v>30.8247</v>
      </c>
      <c r="J919" s="4">
        <f>CHOOSE( CONTROL!$C$33, 30.6933, 30.6922) * CHOOSE(CONTROL!$C$16, $D$10, 100%, $F$10)</f>
        <v>30.693300000000001</v>
      </c>
      <c r="K919" s="4"/>
      <c r="L919" s="9">
        <v>30.092199999999998</v>
      </c>
      <c r="M919" s="9">
        <v>11.6745</v>
      </c>
      <c r="N919" s="9">
        <v>4.7850000000000001</v>
      </c>
      <c r="O919" s="9">
        <v>0.36199999999999999</v>
      </c>
      <c r="P919" s="9">
        <v>1.2509999999999999</v>
      </c>
      <c r="Q919" s="9">
        <v>19.053000000000001</v>
      </c>
      <c r="R919" s="9"/>
      <c r="S919" s="11"/>
    </row>
    <row r="920" spans="1:19" ht="15" customHeight="1">
      <c r="A920" s="13">
        <v>69184</v>
      </c>
      <c r="B920" s="8">
        <f>CHOOSE( CONTROL!$C$33, 32.5281, 32.5265) * CHOOSE(CONTROL!$C$16, $D$10, 100%, $F$10)</f>
        <v>32.528100000000002</v>
      </c>
      <c r="C920" s="8">
        <f>CHOOSE( CONTROL!$C$33, 32.5361, 32.5345) * CHOOSE(CONTROL!$C$16, $D$10, 100%, $F$10)</f>
        <v>32.536099999999998</v>
      </c>
      <c r="D920" s="8">
        <f>CHOOSE( CONTROL!$C$33, 32.5583, 32.5567) * CHOOSE( CONTROL!$C$16, $D$10, 100%, $F$10)</f>
        <v>32.558300000000003</v>
      </c>
      <c r="E920" s="12">
        <f>CHOOSE( CONTROL!$C$33, 32.549, 32.5474) * CHOOSE( CONTROL!$C$16, $D$10, 100%, $F$10)</f>
        <v>32.548999999999999</v>
      </c>
      <c r="F920" s="4">
        <f>CHOOSE( CONTROL!$C$33, 33.305, 33.3034) * CHOOSE(CONTROL!$C$16, $D$10, 100%, $F$10)</f>
        <v>33.305</v>
      </c>
      <c r="G920" s="8">
        <f>CHOOSE( CONTROL!$C$33, 32.1352, 32.1337) * CHOOSE( CONTROL!$C$16, $D$10, 100%, $F$10)</f>
        <v>32.135199999999998</v>
      </c>
      <c r="H920" s="4">
        <f>CHOOSE( CONTROL!$C$33, 33.1142, 33.1126) * CHOOSE(CONTROL!$C$16, $D$10, 100%, $F$10)</f>
        <v>33.114199999999997</v>
      </c>
      <c r="I920" s="8">
        <f>CHOOSE( CONTROL!$C$33, 31.643, 31.6415) * CHOOSE(CONTROL!$C$16, $D$10, 100%, $F$10)</f>
        <v>31.643000000000001</v>
      </c>
      <c r="J920" s="4">
        <f>CHOOSE( CONTROL!$C$33, 31.5115, 31.51) * CHOOSE(CONTROL!$C$16, $D$10, 100%, $F$10)</f>
        <v>31.511500000000002</v>
      </c>
      <c r="K920" s="4"/>
      <c r="L920" s="9">
        <v>30.7165</v>
      </c>
      <c r="M920" s="9">
        <v>12.063700000000001</v>
      </c>
      <c r="N920" s="9">
        <v>4.9444999999999997</v>
      </c>
      <c r="O920" s="9">
        <v>0.37409999999999999</v>
      </c>
      <c r="P920" s="9">
        <v>1.2927</v>
      </c>
      <c r="Q920" s="9">
        <v>19.688099999999999</v>
      </c>
      <c r="R920" s="9"/>
      <c r="S920" s="11"/>
    </row>
    <row r="921" spans="1:19" ht="15" customHeight="1">
      <c r="A921" s="13">
        <v>69214</v>
      </c>
      <c r="B921" s="8">
        <f>CHOOSE( CONTROL!$C$33, 32.0049, 32.0033) * CHOOSE(CONTROL!$C$16, $D$10, 100%, $F$10)</f>
        <v>32.004899999999999</v>
      </c>
      <c r="C921" s="8">
        <f>CHOOSE( CONTROL!$C$33, 32.0129, 32.0113) * CHOOSE(CONTROL!$C$16, $D$10, 100%, $F$10)</f>
        <v>32.012900000000002</v>
      </c>
      <c r="D921" s="8">
        <f>CHOOSE( CONTROL!$C$33, 32.0353, 32.0337) * CHOOSE( CONTROL!$C$16, $D$10, 100%, $F$10)</f>
        <v>32.035299999999999</v>
      </c>
      <c r="E921" s="12">
        <f>CHOOSE( CONTROL!$C$33, 32.026, 32.0244) * CHOOSE( CONTROL!$C$16, $D$10, 100%, $F$10)</f>
        <v>32.026000000000003</v>
      </c>
      <c r="F921" s="4">
        <f>CHOOSE( CONTROL!$C$33, 32.7818, 32.7802) * CHOOSE(CONTROL!$C$16, $D$10, 100%, $F$10)</f>
        <v>32.781799999999997</v>
      </c>
      <c r="G921" s="8">
        <f>CHOOSE( CONTROL!$C$33, 31.6195, 31.6179) * CHOOSE( CONTROL!$C$16, $D$10, 100%, $F$10)</f>
        <v>31.619499999999999</v>
      </c>
      <c r="H921" s="4">
        <f>CHOOSE( CONTROL!$C$33, 32.5983, 32.5967) * CHOOSE(CONTROL!$C$16, $D$10, 100%, $F$10)</f>
        <v>32.598300000000002</v>
      </c>
      <c r="I921" s="8">
        <f>CHOOSE( CONTROL!$C$33, 31.1367, 31.1352) * CHOOSE(CONTROL!$C$16, $D$10, 100%, $F$10)</f>
        <v>31.136700000000001</v>
      </c>
      <c r="J921" s="4">
        <f>CHOOSE( CONTROL!$C$33, 31.0049, 31.0034) * CHOOSE(CONTROL!$C$16, $D$10, 100%, $F$10)</f>
        <v>31.004899999999999</v>
      </c>
      <c r="K921" s="4"/>
      <c r="L921" s="9">
        <v>29.7257</v>
      </c>
      <c r="M921" s="9">
        <v>11.6745</v>
      </c>
      <c r="N921" s="9">
        <v>4.7850000000000001</v>
      </c>
      <c r="O921" s="9">
        <v>0.36199999999999999</v>
      </c>
      <c r="P921" s="9">
        <v>1.2509999999999999</v>
      </c>
      <c r="Q921" s="9">
        <v>19.053000000000001</v>
      </c>
      <c r="R921" s="9"/>
      <c r="S921" s="11"/>
    </row>
    <row r="922" spans="1:19" ht="15" customHeight="1">
      <c r="A922" s="13">
        <v>69245</v>
      </c>
      <c r="B922" s="8">
        <f>CHOOSE( CONTROL!$C$33, 33.3826, 33.3811) * CHOOSE(CONTROL!$C$16, $D$10, 100%, $F$10)</f>
        <v>33.382599999999996</v>
      </c>
      <c r="C922" s="8">
        <f>CHOOSE( CONTROL!$C$33, 33.3906, 33.3891) * CHOOSE(CONTROL!$C$16, $D$10, 100%, $F$10)</f>
        <v>33.390599999999999</v>
      </c>
      <c r="D922" s="8">
        <f>CHOOSE( CONTROL!$C$33, 33.4133, 33.4117) * CHOOSE( CONTROL!$C$16, $D$10, 100%, $F$10)</f>
        <v>33.4133</v>
      </c>
      <c r="E922" s="12">
        <f>CHOOSE( CONTROL!$C$33, 33.4039, 33.4023) * CHOOSE( CONTROL!$C$16, $D$10, 100%, $F$10)</f>
        <v>33.4039</v>
      </c>
      <c r="F922" s="4">
        <f>CHOOSE( CONTROL!$C$33, 34.1596, 34.158) * CHOOSE(CONTROL!$C$16, $D$10, 100%, $F$10)</f>
        <v>34.159599999999998</v>
      </c>
      <c r="G922" s="8">
        <f>CHOOSE( CONTROL!$C$33, 32.9782, 32.9766) * CHOOSE( CONTROL!$C$16, $D$10, 100%, $F$10)</f>
        <v>32.978200000000001</v>
      </c>
      <c r="H922" s="4">
        <f>CHOOSE( CONTROL!$C$33, 33.9568, 33.9553) * CHOOSE(CONTROL!$C$16, $D$10, 100%, $F$10)</f>
        <v>33.956800000000001</v>
      </c>
      <c r="I922" s="8">
        <f>CHOOSE( CONTROL!$C$33, 32.4722, 32.4707) * CHOOSE(CONTROL!$C$16, $D$10, 100%, $F$10)</f>
        <v>32.472200000000001</v>
      </c>
      <c r="J922" s="4">
        <f>CHOOSE( CONTROL!$C$33, 32.339, 32.3375) * CHOOSE(CONTROL!$C$16, $D$10, 100%, $F$10)</f>
        <v>32.338999999999999</v>
      </c>
      <c r="K922" s="4"/>
      <c r="L922" s="9">
        <v>30.7165</v>
      </c>
      <c r="M922" s="9">
        <v>12.063700000000001</v>
      </c>
      <c r="N922" s="9">
        <v>4.9444999999999997</v>
      </c>
      <c r="O922" s="9">
        <v>0.37409999999999999</v>
      </c>
      <c r="P922" s="9">
        <v>1.2927</v>
      </c>
      <c r="Q922" s="9">
        <v>19.688099999999999</v>
      </c>
      <c r="R922" s="9"/>
      <c r="S922" s="11"/>
    </row>
    <row r="923" spans="1:19" ht="15" customHeight="1">
      <c r="A923" s="13">
        <v>69276</v>
      </c>
      <c r="B923" s="8">
        <f>CHOOSE( CONTROL!$C$33, 30.8047, 30.8031) * CHOOSE(CONTROL!$C$16, $D$10, 100%, $F$10)</f>
        <v>30.8047</v>
      </c>
      <c r="C923" s="8">
        <f>CHOOSE( CONTROL!$C$33, 30.8127, 30.8111) * CHOOSE(CONTROL!$C$16, $D$10, 100%, $F$10)</f>
        <v>30.8127</v>
      </c>
      <c r="D923" s="8">
        <f>CHOOSE( CONTROL!$C$33, 30.8354, 30.8338) * CHOOSE( CONTROL!$C$16, $D$10, 100%, $F$10)</f>
        <v>30.8354</v>
      </c>
      <c r="E923" s="12">
        <f>CHOOSE( CONTROL!$C$33, 30.826, 30.8244) * CHOOSE( CONTROL!$C$16, $D$10, 100%, $F$10)</f>
        <v>30.826000000000001</v>
      </c>
      <c r="F923" s="4">
        <f>CHOOSE( CONTROL!$C$33, 31.5816, 31.58) * CHOOSE(CONTROL!$C$16, $D$10, 100%, $F$10)</f>
        <v>31.581600000000002</v>
      </c>
      <c r="G923" s="8">
        <f>CHOOSE( CONTROL!$C$33, 30.4363, 30.4347) * CHOOSE( CONTROL!$C$16, $D$10, 100%, $F$10)</f>
        <v>30.436299999999999</v>
      </c>
      <c r="H923" s="4">
        <f>CHOOSE( CONTROL!$C$33, 31.4149, 31.4133) * CHOOSE(CONTROL!$C$16, $D$10, 100%, $F$10)</f>
        <v>31.414899999999999</v>
      </c>
      <c r="I923" s="8">
        <f>CHOOSE( CONTROL!$C$33, 29.9749, 29.9734) * CHOOSE(CONTROL!$C$16, $D$10, 100%, $F$10)</f>
        <v>29.974900000000002</v>
      </c>
      <c r="J923" s="4">
        <f>CHOOSE( CONTROL!$C$33, 29.8428, 29.8413) * CHOOSE(CONTROL!$C$16, $D$10, 100%, $F$10)</f>
        <v>29.8428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1.2927</v>
      </c>
      <c r="Q923" s="9">
        <v>19.688099999999999</v>
      </c>
      <c r="R923" s="9"/>
      <c r="S923" s="11"/>
    </row>
    <row r="924" spans="1:19" ht="15" customHeight="1">
      <c r="A924" s="13">
        <v>69306</v>
      </c>
      <c r="B924" s="8">
        <f>CHOOSE( CONTROL!$C$33, 30.1591, 30.1576) * CHOOSE(CONTROL!$C$16, $D$10, 100%, $F$10)</f>
        <v>30.159099999999999</v>
      </c>
      <c r="C924" s="8">
        <f>CHOOSE( CONTROL!$C$33, 30.1671, 30.1656) * CHOOSE(CONTROL!$C$16, $D$10, 100%, $F$10)</f>
        <v>30.167100000000001</v>
      </c>
      <c r="D924" s="8">
        <f>CHOOSE( CONTROL!$C$33, 30.1897, 30.1881) * CHOOSE( CONTROL!$C$16, $D$10, 100%, $F$10)</f>
        <v>30.189699999999998</v>
      </c>
      <c r="E924" s="12">
        <f>CHOOSE( CONTROL!$C$33, 30.1803, 30.1787) * CHOOSE( CONTROL!$C$16, $D$10, 100%, $F$10)</f>
        <v>30.180299999999999</v>
      </c>
      <c r="F924" s="4">
        <f>CHOOSE( CONTROL!$C$33, 30.9361, 30.9345) * CHOOSE(CONTROL!$C$16, $D$10, 100%, $F$10)</f>
        <v>30.9361</v>
      </c>
      <c r="G924" s="8">
        <f>CHOOSE( CONTROL!$C$33, 29.7996, 29.7981) * CHOOSE( CONTROL!$C$16, $D$10, 100%, $F$10)</f>
        <v>29.799600000000002</v>
      </c>
      <c r="H924" s="4">
        <f>CHOOSE( CONTROL!$C$33, 30.7783, 30.7768) * CHOOSE(CONTROL!$C$16, $D$10, 100%, $F$10)</f>
        <v>30.778300000000002</v>
      </c>
      <c r="I924" s="8">
        <f>CHOOSE( CONTROL!$C$33, 29.3491, 29.3476) * CHOOSE(CONTROL!$C$16, $D$10, 100%, $F$10)</f>
        <v>29.3491</v>
      </c>
      <c r="J924" s="4">
        <f>CHOOSE( CONTROL!$C$33, 29.2177, 29.2162) * CHOOSE(CONTROL!$C$16, $D$10, 100%, $F$10)</f>
        <v>29.217700000000001</v>
      </c>
      <c r="K924" s="4"/>
      <c r="L924" s="9">
        <v>29.7257</v>
      </c>
      <c r="M924" s="9">
        <v>11.6745</v>
      </c>
      <c r="N924" s="9">
        <v>4.7850000000000001</v>
      </c>
      <c r="O924" s="9">
        <v>0.36199999999999999</v>
      </c>
      <c r="P924" s="9">
        <v>1.2509999999999999</v>
      </c>
      <c r="Q924" s="9">
        <v>19.053000000000001</v>
      </c>
      <c r="R924" s="9"/>
      <c r="S924" s="11"/>
    </row>
    <row r="925" spans="1:19" ht="15" customHeight="1">
      <c r="A925" s="13">
        <v>69337</v>
      </c>
      <c r="B925" s="8">
        <f>CHOOSE( CONTROL!$C$33, 31.4974, 31.4962) * CHOOSE(CONTROL!$C$16, $D$10, 100%, $F$10)</f>
        <v>31.497399999999999</v>
      </c>
      <c r="C925" s="8">
        <f>CHOOSE( CONTROL!$C$33, 31.5027, 31.5016) * CHOOSE(CONTROL!$C$16, $D$10, 100%, $F$10)</f>
        <v>31.502700000000001</v>
      </c>
      <c r="D925" s="8">
        <f>CHOOSE( CONTROL!$C$33, 31.5315, 31.5304) * CHOOSE( CONTROL!$C$16, $D$10, 100%, $F$10)</f>
        <v>31.531500000000001</v>
      </c>
      <c r="E925" s="12">
        <f>CHOOSE( CONTROL!$C$33, 31.5214, 31.5203) * CHOOSE( CONTROL!$C$16, $D$10, 100%, $F$10)</f>
        <v>31.5214</v>
      </c>
      <c r="F925" s="4">
        <f>CHOOSE( CONTROL!$C$33, 32.276, 32.2749) * CHOOSE(CONTROL!$C$16, $D$10, 100%, $F$10)</f>
        <v>32.276000000000003</v>
      </c>
      <c r="G925" s="8">
        <f>CHOOSE( CONTROL!$C$33, 31.121, 31.1199) * CHOOSE( CONTROL!$C$16, $D$10, 100%, $F$10)</f>
        <v>31.120999999999999</v>
      </c>
      <c r="H925" s="4">
        <f>CHOOSE( CONTROL!$C$33, 32.0996, 32.0984) * CHOOSE(CONTROL!$C$16, $D$10, 100%, $F$10)</f>
        <v>32.099600000000002</v>
      </c>
      <c r="I925" s="8">
        <f>CHOOSE( CONTROL!$C$33, 30.6478, 30.6467) * CHOOSE(CONTROL!$C$16, $D$10, 100%, $F$10)</f>
        <v>30.6478</v>
      </c>
      <c r="J925" s="4">
        <f>CHOOSE( CONTROL!$C$33, 30.5151, 30.5141) * CHOOSE(CONTROL!$C$16, $D$10, 100%, $F$10)</f>
        <v>30.5151</v>
      </c>
      <c r="K925" s="4"/>
      <c r="L925" s="9">
        <v>31.095300000000002</v>
      </c>
      <c r="M925" s="9">
        <v>12.063700000000001</v>
      </c>
      <c r="N925" s="9">
        <v>4.9444999999999997</v>
      </c>
      <c r="O925" s="9">
        <v>0.37409999999999999</v>
      </c>
      <c r="P925" s="9">
        <v>1.2927</v>
      </c>
      <c r="Q925" s="9">
        <v>19.688099999999999</v>
      </c>
      <c r="R925" s="9"/>
      <c r="S925" s="11"/>
    </row>
    <row r="926" spans="1:19" ht="15" customHeight="1">
      <c r="A926" s="13">
        <v>69367</v>
      </c>
      <c r="B926" s="8">
        <f>CHOOSE( CONTROL!$C$33, 33.971, 33.9699) * CHOOSE(CONTROL!$C$16, $D$10, 100%, $F$10)</f>
        <v>33.970999999999997</v>
      </c>
      <c r="C926" s="8">
        <f>CHOOSE( CONTROL!$C$33, 33.9761, 33.975) * CHOOSE(CONTROL!$C$16, $D$10, 100%, $F$10)</f>
        <v>33.976100000000002</v>
      </c>
      <c r="D926" s="8">
        <f>CHOOSE( CONTROL!$C$33, 33.9558, 33.9547) * CHOOSE( CONTROL!$C$16, $D$10, 100%, $F$10)</f>
        <v>33.955800000000004</v>
      </c>
      <c r="E926" s="12">
        <f>CHOOSE( CONTROL!$C$33, 33.9627, 33.9616) * CHOOSE( CONTROL!$C$16, $D$10, 100%, $F$10)</f>
        <v>33.962699999999998</v>
      </c>
      <c r="F926" s="4">
        <f>CHOOSE( CONTROL!$C$33, 34.6339, 34.6328) * CHOOSE(CONTROL!$C$16, $D$10, 100%, $F$10)</f>
        <v>34.633899999999997</v>
      </c>
      <c r="G926" s="8">
        <f>CHOOSE( CONTROL!$C$33, 33.533, 33.5319) * CHOOSE( CONTROL!$C$16, $D$10, 100%, $F$10)</f>
        <v>33.533000000000001</v>
      </c>
      <c r="H926" s="4">
        <f>CHOOSE( CONTROL!$C$33, 34.4245, 34.4234) * CHOOSE(CONTROL!$C$16, $D$10, 100%, $F$10)</f>
        <v>34.424500000000002</v>
      </c>
      <c r="I926" s="8">
        <f>CHOOSE( CONTROL!$C$33, 33.0924, 33.0913) * CHOOSE(CONTROL!$C$16, $D$10, 100%, $F$10)</f>
        <v>33.092399999999998</v>
      </c>
      <c r="J926" s="4">
        <f>CHOOSE( CONTROL!$C$33, 32.9108, 32.9097) * CHOOSE(CONTROL!$C$16, $D$10, 100%, $F$10)</f>
        <v>32.910800000000002</v>
      </c>
      <c r="K926" s="4"/>
      <c r="L926" s="9">
        <v>28.360600000000002</v>
      </c>
      <c r="M926" s="9">
        <v>11.6745</v>
      </c>
      <c r="N926" s="9">
        <v>4.7850000000000001</v>
      </c>
      <c r="O926" s="9">
        <v>0.36199999999999999</v>
      </c>
      <c r="P926" s="9">
        <v>1.2509999999999999</v>
      </c>
      <c r="Q926" s="9">
        <v>19.053000000000001</v>
      </c>
      <c r="R926" s="9"/>
      <c r="S926" s="11"/>
    </row>
    <row r="927" spans="1:19" ht="15" customHeight="1">
      <c r="A927" s="13">
        <v>69398</v>
      </c>
      <c r="B927" s="8">
        <f>CHOOSE( CONTROL!$C$33, 33.9092, 33.9081) * CHOOSE(CONTROL!$C$16, $D$10, 100%, $F$10)</f>
        <v>33.909199999999998</v>
      </c>
      <c r="C927" s="8">
        <f>CHOOSE( CONTROL!$C$33, 33.9143, 33.9132) * CHOOSE(CONTROL!$C$16, $D$10, 100%, $F$10)</f>
        <v>33.914299999999997</v>
      </c>
      <c r="D927" s="8">
        <f>CHOOSE( CONTROL!$C$33, 33.8954, 33.8943) * CHOOSE( CONTROL!$C$16, $D$10, 100%, $F$10)</f>
        <v>33.895400000000002</v>
      </c>
      <c r="E927" s="12">
        <f>CHOOSE( CONTROL!$C$33, 33.9018, 33.9007) * CHOOSE( CONTROL!$C$16, $D$10, 100%, $F$10)</f>
        <v>33.901800000000001</v>
      </c>
      <c r="F927" s="4">
        <f>CHOOSE( CONTROL!$C$33, 34.5721, 34.5709) * CHOOSE(CONTROL!$C$16, $D$10, 100%, $F$10)</f>
        <v>34.572099999999999</v>
      </c>
      <c r="G927" s="8">
        <f>CHOOSE( CONTROL!$C$33, 33.4731, 33.472) * CHOOSE( CONTROL!$C$16, $D$10, 100%, $F$10)</f>
        <v>33.473100000000002</v>
      </c>
      <c r="H927" s="4">
        <f>CHOOSE( CONTROL!$C$33, 34.3636, 34.3625) * CHOOSE(CONTROL!$C$16, $D$10, 100%, $F$10)</f>
        <v>34.363599999999998</v>
      </c>
      <c r="I927" s="8">
        <f>CHOOSE( CONTROL!$C$33, 33.037, 33.036) * CHOOSE(CONTROL!$C$16, $D$10, 100%, $F$10)</f>
        <v>33.036999999999999</v>
      </c>
      <c r="J927" s="4">
        <f>CHOOSE( CONTROL!$C$33, 32.8509, 32.8498) * CHOOSE(CONTROL!$C$16, $D$10, 100%, $F$10)</f>
        <v>32.850900000000003</v>
      </c>
      <c r="K927" s="4"/>
      <c r="L927" s="9">
        <v>29.306000000000001</v>
      </c>
      <c r="M927" s="9">
        <v>12.063700000000001</v>
      </c>
      <c r="N927" s="9">
        <v>4.9444999999999997</v>
      </c>
      <c r="O927" s="9">
        <v>0.37409999999999999</v>
      </c>
      <c r="P927" s="9">
        <v>1.2927</v>
      </c>
      <c r="Q927" s="9">
        <v>19.688099999999999</v>
      </c>
      <c r="R927" s="9"/>
      <c r="S927" s="11"/>
    </row>
    <row r="928" spans="1:19" ht="15" customHeight="1">
      <c r="A928" s="13">
        <v>69429</v>
      </c>
      <c r="B928" s="8">
        <f>CHOOSE( CONTROL!$C$33, 34.9099, 34.9088) * CHOOSE(CONTROL!$C$16, $D$10, 100%, $F$10)</f>
        <v>34.9099</v>
      </c>
      <c r="C928" s="8">
        <f>CHOOSE( CONTROL!$C$33, 34.915, 34.9139) * CHOOSE(CONTROL!$C$16, $D$10, 100%, $F$10)</f>
        <v>34.914999999999999</v>
      </c>
      <c r="D928" s="8">
        <f>CHOOSE( CONTROL!$C$33, 34.9073, 34.9062) * CHOOSE( CONTROL!$C$16, $D$10, 100%, $F$10)</f>
        <v>34.907299999999999</v>
      </c>
      <c r="E928" s="12">
        <f>CHOOSE( CONTROL!$C$33, 34.9096, 34.9085) * CHOOSE( CONTROL!$C$16, $D$10, 100%, $F$10)</f>
        <v>34.909599999999998</v>
      </c>
      <c r="F928" s="4">
        <f>CHOOSE( CONTROL!$C$33, 35.5727, 35.5716) * CHOOSE(CONTROL!$C$16, $D$10, 100%, $F$10)</f>
        <v>35.572699999999998</v>
      </c>
      <c r="G928" s="8">
        <f>CHOOSE( CONTROL!$C$33, 34.4657, 34.4646) * CHOOSE( CONTROL!$C$16, $D$10, 100%, $F$10)</f>
        <v>34.465699999999998</v>
      </c>
      <c r="H928" s="4">
        <f>CHOOSE( CONTROL!$C$33, 35.3503, 35.3492) * CHOOSE(CONTROL!$C$16, $D$10, 100%, $F$10)</f>
        <v>35.350299999999997</v>
      </c>
      <c r="I928" s="8">
        <f>CHOOSE( CONTROL!$C$33, 33.9978, 33.9967) * CHOOSE(CONTROL!$C$16, $D$10, 100%, $F$10)</f>
        <v>33.997799999999998</v>
      </c>
      <c r="J928" s="4">
        <f>CHOOSE( CONTROL!$C$33, 33.8199, 33.8188) * CHOOSE(CONTROL!$C$16, $D$10, 100%, $F$10)</f>
        <v>33.819899999999997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" customHeight="1">
      <c r="A929" s="13">
        <v>69457</v>
      </c>
      <c r="B929" s="8">
        <f>CHOOSE( CONTROL!$C$33, 32.652, 32.6509) * CHOOSE(CONTROL!$C$16, $D$10, 100%, $F$10)</f>
        <v>32.652000000000001</v>
      </c>
      <c r="C929" s="8">
        <f>CHOOSE( CONTROL!$C$33, 32.6571, 32.656) * CHOOSE(CONTROL!$C$16, $D$10, 100%, $F$10)</f>
        <v>32.6571</v>
      </c>
      <c r="D929" s="8">
        <f>CHOOSE( CONTROL!$C$33, 32.6493, 32.6481) * CHOOSE( CONTROL!$C$16, $D$10, 100%, $F$10)</f>
        <v>32.649299999999997</v>
      </c>
      <c r="E929" s="12">
        <f>CHOOSE( CONTROL!$C$33, 32.6516, 32.6504) * CHOOSE( CONTROL!$C$16, $D$10, 100%, $F$10)</f>
        <v>32.651600000000002</v>
      </c>
      <c r="F929" s="4">
        <f>CHOOSE( CONTROL!$C$33, 33.3148, 33.3137) * CHOOSE(CONTROL!$C$16, $D$10, 100%, $F$10)</f>
        <v>33.314799999999998</v>
      </c>
      <c r="G929" s="8">
        <f>CHOOSE( CONTROL!$C$33, 32.2392, 32.2381) * CHOOSE( CONTROL!$C$16, $D$10, 100%, $F$10)</f>
        <v>32.239199999999997</v>
      </c>
      <c r="H929" s="4">
        <f>CHOOSE( CONTROL!$C$33, 33.1239, 33.1228) * CHOOSE(CONTROL!$C$16, $D$10, 100%, $F$10)</f>
        <v>33.123899999999999</v>
      </c>
      <c r="I929" s="8">
        <f>CHOOSE( CONTROL!$C$33, 31.8098, 31.8087) * CHOOSE(CONTROL!$C$16, $D$10, 100%, $F$10)</f>
        <v>31.809799999999999</v>
      </c>
      <c r="J929" s="4">
        <f>CHOOSE( CONTROL!$C$33, 31.6336, 31.6325) * CHOOSE(CONTROL!$C$16, $D$10, 100%, $F$10)</f>
        <v>31.633600000000001</v>
      </c>
      <c r="K929" s="4"/>
      <c r="L929" s="9">
        <v>26.469899999999999</v>
      </c>
      <c r="M929" s="9">
        <v>10.8962</v>
      </c>
      <c r="N929" s="9">
        <v>4.4660000000000002</v>
      </c>
      <c r="O929" s="9">
        <v>0.33789999999999998</v>
      </c>
      <c r="P929" s="9">
        <v>1.1676</v>
      </c>
      <c r="Q929" s="9">
        <v>17.782800000000002</v>
      </c>
      <c r="R929" s="9"/>
      <c r="S929" s="11"/>
    </row>
    <row r="930" spans="1:19" ht="15" customHeight="1">
      <c r="A930" s="13">
        <v>69488</v>
      </c>
      <c r="B930" s="8">
        <f>CHOOSE( CONTROL!$C$33, 31.9565, 31.9554) * CHOOSE(CONTROL!$C$16, $D$10, 100%, $F$10)</f>
        <v>31.956499999999998</v>
      </c>
      <c r="C930" s="8">
        <f>CHOOSE( CONTROL!$C$33, 31.9616, 31.9605) * CHOOSE(CONTROL!$C$16, $D$10, 100%, $F$10)</f>
        <v>31.961600000000001</v>
      </c>
      <c r="D930" s="8">
        <f>CHOOSE( CONTROL!$C$33, 31.9531, 31.952) * CHOOSE( CONTROL!$C$16, $D$10, 100%, $F$10)</f>
        <v>31.953099999999999</v>
      </c>
      <c r="E930" s="12">
        <f>CHOOSE( CONTROL!$C$33, 31.9557, 31.9546) * CHOOSE( CONTROL!$C$16, $D$10, 100%, $F$10)</f>
        <v>31.9557</v>
      </c>
      <c r="F930" s="4">
        <f>CHOOSE( CONTROL!$C$33, 32.6194, 32.6183) * CHOOSE(CONTROL!$C$16, $D$10, 100%, $F$10)</f>
        <v>32.619399999999999</v>
      </c>
      <c r="G930" s="8">
        <f>CHOOSE( CONTROL!$C$33, 31.5529, 31.5518) * CHOOSE( CONTROL!$C$16, $D$10, 100%, $F$10)</f>
        <v>31.552900000000001</v>
      </c>
      <c r="H930" s="4">
        <f>CHOOSE( CONTROL!$C$33, 32.4382, 32.4371) * CHOOSE(CONTROL!$C$16, $D$10, 100%, $F$10)</f>
        <v>32.438200000000002</v>
      </c>
      <c r="I930" s="8">
        <f>CHOOSE( CONTROL!$C$33, 31.1338, 31.1327) * CHOOSE(CONTROL!$C$16, $D$10, 100%, $F$10)</f>
        <v>31.133800000000001</v>
      </c>
      <c r="J930" s="4">
        <f>CHOOSE( CONTROL!$C$33, 30.9602, 30.9591) * CHOOSE(CONTROL!$C$16, $D$10, 100%, $F$10)</f>
        <v>30.9602</v>
      </c>
      <c r="K930" s="4"/>
      <c r="L930" s="9">
        <v>29.306000000000001</v>
      </c>
      <c r="M930" s="9">
        <v>12.063700000000001</v>
      </c>
      <c r="N930" s="9">
        <v>4.9444999999999997</v>
      </c>
      <c r="O930" s="9">
        <v>0.37409999999999999</v>
      </c>
      <c r="P930" s="9">
        <v>1.2927</v>
      </c>
      <c r="Q930" s="9">
        <v>19.688099999999999</v>
      </c>
      <c r="R930" s="9"/>
      <c r="S930" s="11"/>
    </row>
    <row r="931" spans="1:19" ht="15" customHeight="1">
      <c r="A931" s="13">
        <v>69518</v>
      </c>
      <c r="B931" s="8">
        <f>CHOOSE( CONTROL!$C$33, 32.4433, 32.4421) * CHOOSE(CONTROL!$C$16, $D$10, 100%, $F$10)</f>
        <v>32.443300000000001</v>
      </c>
      <c r="C931" s="8">
        <f>CHOOSE( CONTROL!$C$33, 32.4478, 32.4467) * CHOOSE(CONTROL!$C$16, $D$10, 100%, $F$10)</f>
        <v>32.447800000000001</v>
      </c>
      <c r="D931" s="8">
        <f>CHOOSE( CONTROL!$C$33, 32.4767, 32.4755) * CHOOSE( CONTROL!$C$16, $D$10, 100%, $F$10)</f>
        <v>32.476700000000001</v>
      </c>
      <c r="E931" s="12">
        <f>CHOOSE( CONTROL!$C$33, 32.4666, 32.4655) * CHOOSE( CONTROL!$C$16, $D$10, 100%, $F$10)</f>
        <v>32.4666</v>
      </c>
      <c r="F931" s="4">
        <f>CHOOSE( CONTROL!$C$33, 33.2215, 33.2204) * CHOOSE(CONTROL!$C$16, $D$10, 100%, $F$10)</f>
        <v>33.221499999999999</v>
      </c>
      <c r="G931" s="8">
        <f>CHOOSE( CONTROL!$C$33, 32.053, 32.0519) * CHOOSE( CONTROL!$C$16, $D$10, 100%, $F$10)</f>
        <v>32.052999999999997</v>
      </c>
      <c r="H931" s="4">
        <f>CHOOSE( CONTROL!$C$33, 33.0319, 33.0308) * CHOOSE(CONTROL!$C$16, $D$10, 100%, $F$10)</f>
        <v>33.0319</v>
      </c>
      <c r="I931" s="8">
        <f>CHOOSE( CONTROL!$C$33, 31.5625, 31.5614) * CHOOSE(CONTROL!$C$16, $D$10, 100%, $F$10)</f>
        <v>31.5625</v>
      </c>
      <c r="J931" s="4">
        <f>CHOOSE( CONTROL!$C$33, 31.4307, 31.4296) * CHOOSE(CONTROL!$C$16, $D$10, 100%, $F$10)</f>
        <v>31.430700000000002</v>
      </c>
      <c r="K931" s="4"/>
      <c r="L931" s="9">
        <v>30.092199999999998</v>
      </c>
      <c r="M931" s="9">
        <v>11.6745</v>
      </c>
      <c r="N931" s="9">
        <v>4.7850000000000001</v>
      </c>
      <c r="O931" s="9">
        <v>0.36199999999999999</v>
      </c>
      <c r="P931" s="9">
        <v>1.2509999999999999</v>
      </c>
      <c r="Q931" s="9">
        <v>19.053000000000001</v>
      </c>
      <c r="R931" s="9"/>
      <c r="S931" s="11"/>
    </row>
    <row r="932" spans="1:19" ht="15" customHeight="1">
      <c r="A932" s="13">
        <v>69549</v>
      </c>
      <c r="B932" s="8">
        <f>CHOOSE( CONTROL!$C$33, 33.31, 33.3084) * CHOOSE(CONTROL!$C$16, $D$10, 100%, $F$10)</f>
        <v>33.31</v>
      </c>
      <c r="C932" s="8">
        <f>CHOOSE( CONTROL!$C$33, 33.318, 33.3164) * CHOOSE(CONTROL!$C$16, $D$10, 100%, $F$10)</f>
        <v>33.317999999999998</v>
      </c>
      <c r="D932" s="8">
        <f>CHOOSE( CONTROL!$C$33, 33.3402, 33.3386) * CHOOSE( CONTROL!$C$16, $D$10, 100%, $F$10)</f>
        <v>33.340200000000003</v>
      </c>
      <c r="E932" s="12">
        <f>CHOOSE( CONTROL!$C$33, 33.3309, 33.3293) * CHOOSE( CONTROL!$C$16, $D$10, 100%, $F$10)</f>
        <v>33.3309</v>
      </c>
      <c r="F932" s="4">
        <f>CHOOSE( CONTROL!$C$33, 34.0869, 34.0853) * CHOOSE(CONTROL!$C$16, $D$10, 100%, $F$10)</f>
        <v>34.0869</v>
      </c>
      <c r="G932" s="8">
        <f>CHOOSE( CONTROL!$C$33, 32.9062, 32.9047) * CHOOSE( CONTROL!$C$16, $D$10, 100%, $F$10)</f>
        <v>32.906199999999998</v>
      </c>
      <c r="H932" s="4">
        <f>CHOOSE( CONTROL!$C$33, 33.8852, 33.8836) * CHOOSE(CONTROL!$C$16, $D$10, 100%, $F$10)</f>
        <v>33.885199999999998</v>
      </c>
      <c r="I932" s="8">
        <f>CHOOSE( CONTROL!$C$33, 32.4005, 32.3989) * CHOOSE(CONTROL!$C$16, $D$10, 100%, $F$10)</f>
        <v>32.400500000000001</v>
      </c>
      <c r="J932" s="4">
        <f>CHOOSE( CONTROL!$C$33, 32.2686, 32.2671) * CHOOSE(CONTROL!$C$16, $D$10, 100%, $F$10)</f>
        <v>32.268599999999999</v>
      </c>
      <c r="K932" s="4"/>
      <c r="L932" s="9">
        <v>30.7165</v>
      </c>
      <c r="M932" s="9">
        <v>12.063700000000001</v>
      </c>
      <c r="N932" s="9">
        <v>4.9444999999999997</v>
      </c>
      <c r="O932" s="9">
        <v>0.37409999999999999</v>
      </c>
      <c r="P932" s="9">
        <v>1.2927</v>
      </c>
      <c r="Q932" s="9">
        <v>19.688099999999999</v>
      </c>
      <c r="R932" s="9"/>
      <c r="S932" s="11"/>
    </row>
    <row r="933" spans="1:19" ht="15" customHeight="1">
      <c r="A933" s="13">
        <v>69579</v>
      </c>
      <c r="B933" s="8">
        <f>CHOOSE( CONTROL!$C$33, 32.7742, 32.7726) * CHOOSE(CONTROL!$C$16, $D$10, 100%, $F$10)</f>
        <v>32.7742</v>
      </c>
      <c r="C933" s="8">
        <f>CHOOSE( CONTROL!$C$33, 32.7822, 32.7806) * CHOOSE(CONTROL!$C$16, $D$10, 100%, $F$10)</f>
        <v>32.782200000000003</v>
      </c>
      <c r="D933" s="8">
        <f>CHOOSE( CONTROL!$C$33, 32.8046, 32.803) * CHOOSE( CONTROL!$C$16, $D$10, 100%, $F$10)</f>
        <v>32.804600000000001</v>
      </c>
      <c r="E933" s="12">
        <f>CHOOSE( CONTROL!$C$33, 32.7953, 32.7937) * CHOOSE( CONTROL!$C$16, $D$10, 100%, $F$10)</f>
        <v>32.795299999999997</v>
      </c>
      <c r="F933" s="4">
        <f>CHOOSE( CONTROL!$C$33, 33.5511, 33.5495) * CHOOSE(CONTROL!$C$16, $D$10, 100%, $F$10)</f>
        <v>33.551099999999998</v>
      </c>
      <c r="G933" s="8">
        <f>CHOOSE( CONTROL!$C$33, 32.3781, 32.3765) * CHOOSE( CONTROL!$C$16, $D$10, 100%, $F$10)</f>
        <v>32.378100000000003</v>
      </c>
      <c r="H933" s="4">
        <f>CHOOSE( CONTROL!$C$33, 33.3569, 33.3553) * CHOOSE(CONTROL!$C$16, $D$10, 100%, $F$10)</f>
        <v>33.356900000000003</v>
      </c>
      <c r="I933" s="8">
        <f>CHOOSE( CONTROL!$C$33, 31.882, 31.8805) * CHOOSE(CONTROL!$C$16, $D$10, 100%, $F$10)</f>
        <v>31.882000000000001</v>
      </c>
      <c r="J933" s="4">
        <f>CHOOSE( CONTROL!$C$33, 31.7498, 31.7483) * CHOOSE(CONTROL!$C$16, $D$10, 100%, $F$10)</f>
        <v>31.7498</v>
      </c>
      <c r="K933" s="4"/>
      <c r="L933" s="9">
        <v>29.7257</v>
      </c>
      <c r="M933" s="9">
        <v>11.6745</v>
      </c>
      <c r="N933" s="9">
        <v>4.7850000000000001</v>
      </c>
      <c r="O933" s="9">
        <v>0.36199999999999999</v>
      </c>
      <c r="P933" s="9">
        <v>1.2509999999999999</v>
      </c>
      <c r="Q933" s="9">
        <v>19.053000000000001</v>
      </c>
      <c r="R933" s="9"/>
      <c r="S933" s="11"/>
    </row>
    <row r="934" spans="1:19" ht="15" customHeight="1">
      <c r="A934" s="13">
        <v>69610</v>
      </c>
      <c r="B934" s="8">
        <f>CHOOSE( CONTROL!$C$33, 34.1851, 34.1835) * CHOOSE(CONTROL!$C$16, $D$10, 100%, $F$10)</f>
        <v>34.185099999999998</v>
      </c>
      <c r="C934" s="8">
        <f>CHOOSE( CONTROL!$C$33, 34.1931, 34.1915) * CHOOSE(CONTROL!$C$16, $D$10, 100%, $F$10)</f>
        <v>34.193100000000001</v>
      </c>
      <c r="D934" s="8">
        <f>CHOOSE( CONTROL!$C$33, 34.2157, 34.2141) * CHOOSE( CONTROL!$C$16, $D$10, 100%, $F$10)</f>
        <v>34.215699999999998</v>
      </c>
      <c r="E934" s="12">
        <f>CHOOSE( CONTROL!$C$33, 34.2063, 34.2047) * CHOOSE( CONTROL!$C$16, $D$10, 100%, $F$10)</f>
        <v>34.206299999999999</v>
      </c>
      <c r="F934" s="4">
        <f>CHOOSE( CONTROL!$C$33, 34.962, 34.9604) * CHOOSE(CONTROL!$C$16, $D$10, 100%, $F$10)</f>
        <v>34.962000000000003</v>
      </c>
      <c r="G934" s="8">
        <f>CHOOSE( CONTROL!$C$33, 33.7694, 33.7679) * CHOOSE( CONTROL!$C$16, $D$10, 100%, $F$10)</f>
        <v>33.769399999999997</v>
      </c>
      <c r="H934" s="4">
        <f>CHOOSE( CONTROL!$C$33, 34.7481, 34.7465) * CHOOSE(CONTROL!$C$16, $D$10, 100%, $F$10)</f>
        <v>34.748100000000001</v>
      </c>
      <c r="I934" s="8">
        <f>CHOOSE( CONTROL!$C$33, 33.2496, 33.2481) * CHOOSE(CONTROL!$C$16, $D$10, 100%, $F$10)</f>
        <v>33.249600000000001</v>
      </c>
      <c r="J934" s="4">
        <f>CHOOSE( CONTROL!$C$33, 33.116, 33.1145) * CHOOSE(CONTROL!$C$16, $D$10, 100%, $F$10)</f>
        <v>33.116</v>
      </c>
      <c r="K934" s="4"/>
      <c r="L934" s="9">
        <v>30.7165</v>
      </c>
      <c r="M934" s="9">
        <v>12.063700000000001</v>
      </c>
      <c r="N934" s="9">
        <v>4.9444999999999997</v>
      </c>
      <c r="O934" s="9">
        <v>0.37409999999999999</v>
      </c>
      <c r="P934" s="9">
        <v>1.2927</v>
      </c>
      <c r="Q934" s="9">
        <v>19.688099999999999</v>
      </c>
      <c r="R934" s="9"/>
      <c r="S934" s="11"/>
    </row>
    <row r="935" spans="1:19" ht="15" customHeight="1">
      <c r="A935" s="13">
        <v>69641</v>
      </c>
      <c r="B935" s="8">
        <f>CHOOSE( CONTROL!$C$33, 31.5452, 31.5436) * CHOOSE(CONTROL!$C$16, $D$10, 100%, $F$10)</f>
        <v>31.545200000000001</v>
      </c>
      <c r="C935" s="8">
        <f>CHOOSE( CONTROL!$C$33, 31.5532, 31.5516) * CHOOSE(CONTROL!$C$16, $D$10, 100%, $F$10)</f>
        <v>31.5532</v>
      </c>
      <c r="D935" s="8">
        <f>CHOOSE( CONTROL!$C$33, 31.5758, 31.5743) * CHOOSE( CONTROL!$C$16, $D$10, 100%, $F$10)</f>
        <v>31.575800000000001</v>
      </c>
      <c r="E935" s="12">
        <f>CHOOSE( CONTROL!$C$33, 31.5664, 31.5649) * CHOOSE( CONTROL!$C$16, $D$10, 100%, $F$10)</f>
        <v>31.566400000000002</v>
      </c>
      <c r="F935" s="4">
        <f>CHOOSE( CONTROL!$C$33, 32.3221, 32.3205) * CHOOSE(CONTROL!$C$16, $D$10, 100%, $F$10)</f>
        <v>32.322099999999999</v>
      </c>
      <c r="G935" s="8">
        <f>CHOOSE( CONTROL!$C$33, 31.1664, 31.1649) * CHOOSE( CONTROL!$C$16, $D$10, 100%, $F$10)</f>
        <v>31.166399999999999</v>
      </c>
      <c r="H935" s="4">
        <f>CHOOSE( CONTROL!$C$33, 32.145, 32.1435) * CHOOSE(CONTROL!$C$16, $D$10, 100%, $F$10)</f>
        <v>32.145000000000003</v>
      </c>
      <c r="I935" s="8">
        <f>CHOOSE( CONTROL!$C$33, 30.6923, 30.6908) * CHOOSE(CONTROL!$C$16, $D$10, 100%, $F$10)</f>
        <v>30.692299999999999</v>
      </c>
      <c r="J935" s="4">
        <f>CHOOSE( CONTROL!$C$33, 30.5598, 30.5583) * CHOOSE(CONTROL!$C$16, $D$10, 100%, $F$10)</f>
        <v>30.559799999999999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1.2927</v>
      </c>
      <c r="Q935" s="9">
        <v>19.688099999999999</v>
      </c>
      <c r="R935" s="9"/>
      <c r="S935" s="11"/>
    </row>
    <row r="936" spans="1:19" ht="15" customHeight="1">
      <c r="A936" s="13">
        <v>69671</v>
      </c>
      <c r="B936" s="8">
        <f>CHOOSE( CONTROL!$C$33, 30.8841, 30.8825) * CHOOSE(CONTROL!$C$16, $D$10, 100%, $F$10)</f>
        <v>30.8841</v>
      </c>
      <c r="C936" s="8">
        <f>CHOOSE( CONTROL!$C$33, 30.8921, 30.8905) * CHOOSE(CONTROL!$C$16, $D$10, 100%, $F$10)</f>
        <v>30.892099999999999</v>
      </c>
      <c r="D936" s="8">
        <f>CHOOSE( CONTROL!$C$33, 30.9147, 30.9131) * CHOOSE( CONTROL!$C$16, $D$10, 100%, $F$10)</f>
        <v>30.9147</v>
      </c>
      <c r="E936" s="12">
        <f>CHOOSE( CONTROL!$C$33, 30.9053, 30.9037) * CHOOSE( CONTROL!$C$16, $D$10, 100%, $F$10)</f>
        <v>30.9053</v>
      </c>
      <c r="F936" s="4">
        <f>CHOOSE( CONTROL!$C$33, 31.661, 31.6595) * CHOOSE(CONTROL!$C$16, $D$10, 100%, $F$10)</f>
        <v>31.661000000000001</v>
      </c>
      <c r="G936" s="8">
        <f>CHOOSE( CONTROL!$C$33, 30.5145, 30.5129) * CHOOSE( CONTROL!$C$16, $D$10, 100%, $F$10)</f>
        <v>30.514500000000002</v>
      </c>
      <c r="H936" s="4">
        <f>CHOOSE( CONTROL!$C$33, 31.4932, 31.4916) * CHOOSE(CONTROL!$C$16, $D$10, 100%, $F$10)</f>
        <v>31.493200000000002</v>
      </c>
      <c r="I936" s="8">
        <f>CHOOSE( CONTROL!$C$33, 30.0515, 30.0499) * CHOOSE(CONTROL!$C$16, $D$10, 100%, $F$10)</f>
        <v>30.051500000000001</v>
      </c>
      <c r="J936" s="4">
        <f>CHOOSE( CONTROL!$C$33, 29.9197, 29.9182) * CHOOSE(CONTROL!$C$16, $D$10, 100%, $F$10)</f>
        <v>29.919699999999999</v>
      </c>
      <c r="K936" s="4"/>
      <c r="L936" s="9">
        <v>29.7257</v>
      </c>
      <c r="M936" s="9">
        <v>11.6745</v>
      </c>
      <c r="N936" s="9">
        <v>4.7850000000000001</v>
      </c>
      <c r="O936" s="9">
        <v>0.36199999999999999</v>
      </c>
      <c r="P936" s="9">
        <v>1.2509999999999999</v>
      </c>
      <c r="Q936" s="9">
        <v>19.053000000000001</v>
      </c>
      <c r="R936" s="9"/>
      <c r="S936" s="11"/>
    </row>
    <row r="937" spans="1:19" ht="15" customHeight="1">
      <c r="A937" s="13">
        <v>69702</v>
      </c>
      <c r="B937" s="8">
        <f>CHOOSE( CONTROL!$C$33, 32.2545, 32.2534) * CHOOSE(CONTROL!$C$16, $D$10, 100%, $F$10)</f>
        <v>32.2545</v>
      </c>
      <c r="C937" s="8">
        <f>CHOOSE( CONTROL!$C$33, 32.2599, 32.2588) * CHOOSE(CONTROL!$C$16, $D$10, 100%, $F$10)</f>
        <v>32.259900000000002</v>
      </c>
      <c r="D937" s="8">
        <f>CHOOSE( CONTROL!$C$33, 32.2887, 32.2875) * CHOOSE( CONTROL!$C$16, $D$10, 100%, $F$10)</f>
        <v>32.288699999999999</v>
      </c>
      <c r="E937" s="12">
        <f>CHOOSE( CONTROL!$C$33, 32.2786, 32.2775) * CHOOSE( CONTROL!$C$16, $D$10, 100%, $F$10)</f>
        <v>32.278599999999997</v>
      </c>
      <c r="F937" s="4">
        <f>CHOOSE( CONTROL!$C$33, 33.0332, 33.0321) * CHOOSE(CONTROL!$C$16, $D$10, 100%, $F$10)</f>
        <v>33.033200000000001</v>
      </c>
      <c r="G937" s="8">
        <f>CHOOSE( CONTROL!$C$33, 31.8676, 31.8665) * CHOOSE( CONTROL!$C$16, $D$10, 100%, $F$10)</f>
        <v>31.867599999999999</v>
      </c>
      <c r="H937" s="4">
        <f>CHOOSE( CONTROL!$C$33, 32.8462, 32.8451) * CHOOSE(CONTROL!$C$16, $D$10, 100%, $F$10)</f>
        <v>32.846200000000003</v>
      </c>
      <c r="I937" s="8">
        <f>CHOOSE( CONTROL!$C$33, 31.3813, 31.3802) * CHOOSE(CONTROL!$C$16, $D$10, 100%, $F$10)</f>
        <v>31.3813</v>
      </c>
      <c r="J937" s="4">
        <f>CHOOSE( CONTROL!$C$33, 31.2483, 31.2472) * CHOOSE(CONTROL!$C$16, $D$10, 100%, $F$10)</f>
        <v>31.2483</v>
      </c>
      <c r="K937" s="4"/>
      <c r="L937" s="9">
        <v>31.095300000000002</v>
      </c>
      <c r="M937" s="9">
        <v>12.063700000000001</v>
      </c>
      <c r="N937" s="9">
        <v>4.9444999999999997</v>
      </c>
      <c r="O937" s="9">
        <v>0.37409999999999999</v>
      </c>
      <c r="P937" s="9">
        <v>1.2927</v>
      </c>
      <c r="Q937" s="9">
        <v>19.688099999999999</v>
      </c>
      <c r="R937" s="9"/>
      <c r="S937" s="11"/>
    </row>
    <row r="938" spans="1:19" ht="15" customHeight="1">
      <c r="A938" s="13">
        <v>69732</v>
      </c>
      <c r="B938" s="8">
        <f>CHOOSE( CONTROL!$C$33, 34.7876, 34.7865) * CHOOSE(CONTROL!$C$16, $D$10, 100%, $F$10)</f>
        <v>34.787599999999998</v>
      </c>
      <c r="C938" s="8">
        <f>CHOOSE( CONTROL!$C$33, 34.7927, 34.7916) * CHOOSE(CONTROL!$C$16, $D$10, 100%, $F$10)</f>
        <v>34.792700000000004</v>
      </c>
      <c r="D938" s="8">
        <f>CHOOSE( CONTROL!$C$33, 34.7724, 34.7713) * CHOOSE( CONTROL!$C$16, $D$10, 100%, $F$10)</f>
        <v>34.772399999999998</v>
      </c>
      <c r="E938" s="12">
        <f>CHOOSE( CONTROL!$C$33, 34.7793, 34.7782) * CHOOSE( CONTROL!$C$16, $D$10, 100%, $F$10)</f>
        <v>34.779299999999999</v>
      </c>
      <c r="F938" s="4">
        <f>CHOOSE( CONTROL!$C$33, 35.4505, 35.4494) * CHOOSE(CONTROL!$C$16, $D$10, 100%, $F$10)</f>
        <v>35.450499999999998</v>
      </c>
      <c r="G938" s="8">
        <f>CHOOSE( CONTROL!$C$33, 34.3383, 34.3371) * CHOOSE( CONTROL!$C$16, $D$10, 100%, $F$10)</f>
        <v>34.338299999999997</v>
      </c>
      <c r="H938" s="4">
        <f>CHOOSE( CONTROL!$C$33, 35.2298, 35.2287) * CHOOSE(CONTROL!$C$16, $D$10, 100%, $F$10)</f>
        <v>35.229799999999997</v>
      </c>
      <c r="I938" s="8">
        <f>CHOOSE( CONTROL!$C$33, 33.8835, 33.8825) * CHOOSE(CONTROL!$C$16, $D$10, 100%, $F$10)</f>
        <v>33.883499999999998</v>
      </c>
      <c r="J938" s="4">
        <f>CHOOSE( CONTROL!$C$33, 33.7015, 33.7004) * CHOOSE(CONTROL!$C$16, $D$10, 100%, $F$10)</f>
        <v>33.701500000000003</v>
      </c>
      <c r="K938" s="4"/>
      <c r="L938" s="9">
        <v>28.360600000000002</v>
      </c>
      <c r="M938" s="9">
        <v>11.6745</v>
      </c>
      <c r="N938" s="9">
        <v>4.7850000000000001</v>
      </c>
      <c r="O938" s="9">
        <v>0.36199999999999999</v>
      </c>
      <c r="P938" s="9">
        <v>1.2509999999999999</v>
      </c>
      <c r="Q938" s="9">
        <v>19.053000000000001</v>
      </c>
      <c r="R938" s="9"/>
      <c r="S938" s="11"/>
    </row>
    <row r="939" spans="1:19" ht="15" customHeight="1">
      <c r="A939" s="13">
        <v>69763</v>
      </c>
      <c r="B939" s="8">
        <f>CHOOSE( CONTROL!$C$33, 34.7243, 34.7232) * CHOOSE(CONTROL!$C$16, $D$10, 100%, $F$10)</f>
        <v>34.724299999999999</v>
      </c>
      <c r="C939" s="8">
        <f>CHOOSE( CONTROL!$C$33, 34.7294, 34.7283) * CHOOSE(CONTROL!$C$16, $D$10, 100%, $F$10)</f>
        <v>34.729399999999998</v>
      </c>
      <c r="D939" s="8">
        <f>CHOOSE( CONTROL!$C$33, 34.7106, 34.7094) * CHOOSE( CONTROL!$C$16, $D$10, 100%, $F$10)</f>
        <v>34.710599999999999</v>
      </c>
      <c r="E939" s="12">
        <f>CHOOSE( CONTROL!$C$33, 34.7169, 34.7158) * CHOOSE( CONTROL!$C$16, $D$10, 100%, $F$10)</f>
        <v>34.716900000000003</v>
      </c>
      <c r="F939" s="4">
        <f>CHOOSE( CONTROL!$C$33, 35.3872, 35.3861) * CHOOSE(CONTROL!$C$16, $D$10, 100%, $F$10)</f>
        <v>35.3872</v>
      </c>
      <c r="G939" s="8">
        <f>CHOOSE( CONTROL!$C$33, 34.2769, 34.2758) * CHOOSE( CONTROL!$C$16, $D$10, 100%, $F$10)</f>
        <v>34.276899999999998</v>
      </c>
      <c r="H939" s="4">
        <f>CHOOSE( CONTROL!$C$33, 35.1674, 35.1662) * CHOOSE(CONTROL!$C$16, $D$10, 100%, $F$10)</f>
        <v>35.167400000000001</v>
      </c>
      <c r="I939" s="8">
        <f>CHOOSE( CONTROL!$C$33, 33.8267, 33.8257) * CHOOSE(CONTROL!$C$16, $D$10, 100%, $F$10)</f>
        <v>33.826700000000002</v>
      </c>
      <c r="J939" s="4">
        <f>CHOOSE( CONTROL!$C$33, 33.6402, 33.6391) * CHOOSE(CONTROL!$C$16, $D$10, 100%, $F$10)</f>
        <v>33.6402</v>
      </c>
      <c r="K939" s="4"/>
      <c r="L939" s="9">
        <v>29.306000000000001</v>
      </c>
      <c r="M939" s="9">
        <v>12.063700000000001</v>
      </c>
      <c r="N939" s="9">
        <v>4.9444999999999997</v>
      </c>
      <c r="O939" s="9">
        <v>0.37409999999999999</v>
      </c>
      <c r="P939" s="9">
        <v>1.2927</v>
      </c>
      <c r="Q939" s="9">
        <v>19.688099999999999</v>
      </c>
      <c r="R939" s="9"/>
      <c r="S939" s="11"/>
    </row>
    <row r="940" spans="1:19" ht="15" customHeight="1">
      <c r="A940" s="13">
        <v>69794</v>
      </c>
      <c r="B940" s="8">
        <f>CHOOSE( CONTROL!$C$33, 35.7491, 35.7479) * CHOOSE(CONTROL!$C$16, $D$10, 100%, $F$10)</f>
        <v>35.749099999999999</v>
      </c>
      <c r="C940" s="8">
        <f>CHOOSE( CONTROL!$C$33, 35.7542, 35.753) * CHOOSE(CONTROL!$C$16, $D$10, 100%, $F$10)</f>
        <v>35.754199999999997</v>
      </c>
      <c r="D940" s="8">
        <f>CHOOSE( CONTROL!$C$33, 35.7465, 35.7454) * CHOOSE( CONTROL!$C$16, $D$10, 100%, $F$10)</f>
        <v>35.746499999999997</v>
      </c>
      <c r="E940" s="12">
        <f>CHOOSE( CONTROL!$C$33, 35.7488, 35.7476) * CHOOSE( CONTROL!$C$16, $D$10, 100%, $F$10)</f>
        <v>35.748800000000003</v>
      </c>
      <c r="F940" s="4">
        <f>CHOOSE( CONTROL!$C$33, 36.4119, 36.4108) * CHOOSE(CONTROL!$C$16, $D$10, 100%, $F$10)</f>
        <v>36.411900000000003</v>
      </c>
      <c r="G940" s="8">
        <f>CHOOSE( CONTROL!$C$33, 35.2932, 35.2921) * CHOOSE( CONTROL!$C$16, $D$10, 100%, $F$10)</f>
        <v>35.293199999999999</v>
      </c>
      <c r="H940" s="4">
        <f>CHOOSE( CONTROL!$C$33, 36.1778, 36.1767) * CHOOSE(CONTROL!$C$16, $D$10, 100%, $F$10)</f>
        <v>36.177799999999998</v>
      </c>
      <c r="I940" s="8">
        <f>CHOOSE( CONTROL!$C$33, 34.8107, 34.8097) * CHOOSE(CONTROL!$C$16, $D$10, 100%, $F$10)</f>
        <v>34.810699999999997</v>
      </c>
      <c r="J940" s="4">
        <f>CHOOSE( CONTROL!$C$33, 34.6325, 34.6314) * CHOOSE(CONTROL!$C$16, $D$10, 100%, $F$10)</f>
        <v>34.6325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" customHeight="1">
      <c r="A941" s="13">
        <v>69822</v>
      </c>
      <c r="B941" s="8">
        <f>CHOOSE( CONTROL!$C$33, 33.4369, 33.4358) * CHOOSE(CONTROL!$C$16, $D$10, 100%, $F$10)</f>
        <v>33.436900000000001</v>
      </c>
      <c r="C941" s="8">
        <f>CHOOSE( CONTROL!$C$33, 33.442, 33.4409) * CHOOSE(CONTROL!$C$16, $D$10, 100%, $F$10)</f>
        <v>33.442</v>
      </c>
      <c r="D941" s="8">
        <f>CHOOSE( CONTROL!$C$33, 33.4342, 33.4331) * CHOOSE( CONTROL!$C$16, $D$10, 100%, $F$10)</f>
        <v>33.434199999999997</v>
      </c>
      <c r="E941" s="12">
        <f>CHOOSE( CONTROL!$C$33, 33.4365, 33.4354) * CHOOSE( CONTROL!$C$16, $D$10, 100%, $F$10)</f>
        <v>33.436500000000002</v>
      </c>
      <c r="F941" s="4">
        <f>CHOOSE( CONTROL!$C$33, 34.0998, 34.0987) * CHOOSE(CONTROL!$C$16, $D$10, 100%, $F$10)</f>
        <v>34.099800000000002</v>
      </c>
      <c r="G941" s="8">
        <f>CHOOSE( CONTROL!$C$33, 33.0131, 33.012) * CHOOSE( CONTROL!$C$16, $D$10, 100%, $F$10)</f>
        <v>33.013100000000001</v>
      </c>
      <c r="H941" s="4">
        <f>CHOOSE( CONTROL!$C$33, 33.8979, 33.8968) * CHOOSE(CONTROL!$C$16, $D$10, 100%, $F$10)</f>
        <v>33.8979</v>
      </c>
      <c r="I941" s="8">
        <f>CHOOSE( CONTROL!$C$33, 32.5702, 32.5691) * CHOOSE(CONTROL!$C$16, $D$10, 100%, $F$10)</f>
        <v>32.5702</v>
      </c>
      <c r="J941" s="4">
        <f>CHOOSE( CONTROL!$C$33, 32.3936, 32.3925) * CHOOSE(CONTROL!$C$16, $D$10, 100%, $F$10)</f>
        <v>32.393599999999999</v>
      </c>
      <c r="K941" s="4"/>
      <c r="L941" s="9">
        <v>26.469899999999999</v>
      </c>
      <c r="M941" s="9">
        <v>10.8962</v>
      </c>
      <c r="N941" s="9">
        <v>4.4660000000000002</v>
      </c>
      <c r="O941" s="9">
        <v>0.33789999999999998</v>
      </c>
      <c r="P941" s="9">
        <v>1.1676</v>
      </c>
      <c r="Q941" s="9">
        <v>17.782800000000002</v>
      </c>
      <c r="R941" s="9"/>
      <c r="S941" s="11"/>
    </row>
    <row r="942" spans="1:19" ht="15" customHeight="1">
      <c r="A942" s="13">
        <v>69853</v>
      </c>
      <c r="B942" s="8">
        <f>CHOOSE( CONTROL!$C$33, 32.7248, 32.7236) * CHOOSE(CONTROL!$C$16, $D$10, 100%, $F$10)</f>
        <v>32.724800000000002</v>
      </c>
      <c r="C942" s="8">
        <f>CHOOSE( CONTROL!$C$33, 32.7299, 32.7287) * CHOOSE(CONTROL!$C$16, $D$10, 100%, $F$10)</f>
        <v>32.729900000000001</v>
      </c>
      <c r="D942" s="8">
        <f>CHOOSE( CONTROL!$C$33, 32.7213, 32.7202) * CHOOSE( CONTROL!$C$16, $D$10, 100%, $F$10)</f>
        <v>32.721299999999999</v>
      </c>
      <c r="E942" s="12">
        <f>CHOOSE( CONTROL!$C$33, 32.7239, 32.7228) * CHOOSE( CONTROL!$C$16, $D$10, 100%, $F$10)</f>
        <v>32.7239</v>
      </c>
      <c r="F942" s="4">
        <f>CHOOSE( CONTROL!$C$33, 33.3876, 33.3865) * CHOOSE(CONTROL!$C$16, $D$10, 100%, $F$10)</f>
        <v>33.387599999999999</v>
      </c>
      <c r="G942" s="8">
        <f>CHOOSE( CONTROL!$C$33, 32.3104, 32.3093) * CHOOSE( CONTROL!$C$16, $D$10, 100%, $F$10)</f>
        <v>32.310400000000001</v>
      </c>
      <c r="H942" s="4">
        <f>CHOOSE( CONTROL!$C$33, 33.1957, 33.1946) * CHOOSE(CONTROL!$C$16, $D$10, 100%, $F$10)</f>
        <v>33.195700000000002</v>
      </c>
      <c r="I942" s="8">
        <f>CHOOSE( CONTROL!$C$33, 31.878, 31.8769) * CHOOSE(CONTROL!$C$16, $D$10, 100%, $F$10)</f>
        <v>31.878</v>
      </c>
      <c r="J942" s="4">
        <f>CHOOSE( CONTROL!$C$33, 31.7041, 31.703) * CHOOSE(CONTROL!$C$16, $D$10, 100%, $F$10)</f>
        <v>31.7041</v>
      </c>
      <c r="K942" s="4"/>
      <c r="L942" s="9">
        <v>29.306000000000001</v>
      </c>
      <c r="M942" s="9">
        <v>12.063700000000001</v>
      </c>
      <c r="N942" s="9">
        <v>4.9444999999999997</v>
      </c>
      <c r="O942" s="9">
        <v>0.37409999999999999</v>
      </c>
      <c r="P942" s="9">
        <v>1.2927</v>
      </c>
      <c r="Q942" s="9">
        <v>19.688099999999999</v>
      </c>
      <c r="R942" s="9"/>
      <c r="S942" s="11"/>
    </row>
    <row r="943" spans="1:19" ht="15" customHeight="1">
      <c r="A943" s="13">
        <v>69883</v>
      </c>
      <c r="B943" s="8">
        <f>CHOOSE( CONTROL!$C$33, 33.2232, 33.222) * CHOOSE(CONTROL!$C$16, $D$10, 100%, $F$10)</f>
        <v>33.223199999999999</v>
      </c>
      <c r="C943" s="8">
        <f>CHOOSE( CONTROL!$C$33, 33.2277, 33.2266) * CHOOSE(CONTROL!$C$16, $D$10, 100%, $F$10)</f>
        <v>33.227699999999999</v>
      </c>
      <c r="D943" s="8">
        <f>CHOOSE( CONTROL!$C$33, 33.2566, 33.2554) * CHOOSE( CONTROL!$C$16, $D$10, 100%, $F$10)</f>
        <v>33.256599999999999</v>
      </c>
      <c r="E943" s="12">
        <f>CHOOSE( CONTROL!$C$33, 33.2465, 33.2454) * CHOOSE( CONTROL!$C$16, $D$10, 100%, $F$10)</f>
        <v>33.246499999999997</v>
      </c>
      <c r="F943" s="4">
        <f>CHOOSE( CONTROL!$C$33, 34.0014, 34.0003) * CHOOSE(CONTROL!$C$16, $D$10, 100%, $F$10)</f>
        <v>34.001399999999997</v>
      </c>
      <c r="G943" s="8">
        <f>CHOOSE( CONTROL!$C$33, 32.822, 32.8209) * CHOOSE( CONTROL!$C$16, $D$10, 100%, $F$10)</f>
        <v>32.822000000000003</v>
      </c>
      <c r="H943" s="4">
        <f>CHOOSE( CONTROL!$C$33, 33.8009, 33.7998) * CHOOSE(CONTROL!$C$16, $D$10, 100%, $F$10)</f>
        <v>33.800899999999999</v>
      </c>
      <c r="I943" s="8">
        <f>CHOOSE( CONTROL!$C$33, 32.3181, 32.317) * CHOOSE(CONTROL!$C$16, $D$10, 100%, $F$10)</f>
        <v>32.318100000000001</v>
      </c>
      <c r="J943" s="4">
        <f>CHOOSE( CONTROL!$C$33, 32.1859, 32.1848) * CHOOSE(CONTROL!$C$16, $D$10, 100%, $F$10)</f>
        <v>32.185899999999997</v>
      </c>
      <c r="K943" s="4"/>
      <c r="L943" s="9">
        <v>30.092199999999998</v>
      </c>
      <c r="M943" s="9">
        <v>11.6745</v>
      </c>
      <c r="N943" s="9">
        <v>4.7850000000000001</v>
      </c>
      <c r="O943" s="9">
        <v>0.36199999999999999</v>
      </c>
      <c r="P943" s="9">
        <v>1.2509999999999999</v>
      </c>
      <c r="Q943" s="9">
        <v>19.053000000000001</v>
      </c>
      <c r="R943" s="9"/>
      <c r="S943" s="11"/>
    </row>
    <row r="944" spans="1:19" ht="15" customHeight="1">
      <c r="A944" s="13">
        <v>69914</v>
      </c>
      <c r="B944" s="8">
        <f>CHOOSE( CONTROL!$C$33, 34.1106, 34.1091) * CHOOSE(CONTROL!$C$16, $D$10, 100%, $F$10)</f>
        <v>34.110599999999998</v>
      </c>
      <c r="C944" s="8">
        <f>CHOOSE( CONTROL!$C$33, 34.1186, 34.1171) * CHOOSE(CONTROL!$C$16, $D$10, 100%, $F$10)</f>
        <v>34.118600000000001</v>
      </c>
      <c r="D944" s="8">
        <f>CHOOSE( CONTROL!$C$33, 34.1409, 34.1393) * CHOOSE( CONTROL!$C$16, $D$10, 100%, $F$10)</f>
        <v>34.140900000000002</v>
      </c>
      <c r="E944" s="12">
        <f>CHOOSE( CONTROL!$C$33, 34.1316, 34.13) * CHOOSE( CONTROL!$C$16, $D$10, 100%, $F$10)</f>
        <v>34.131599999999999</v>
      </c>
      <c r="F944" s="4">
        <f>CHOOSE( CONTROL!$C$33, 34.8876, 34.886) * CHOOSE(CONTROL!$C$16, $D$10, 100%, $F$10)</f>
        <v>34.887599999999999</v>
      </c>
      <c r="G944" s="8">
        <f>CHOOSE( CONTROL!$C$33, 33.6957, 33.6942) * CHOOSE( CONTROL!$C$16, $D$10, 100%, $F$10)</f>
        <v>33.695700000000002</v>
      </c>
      <c r="H944" s="4">
        <f>CHOOSE( CONTROL!$C$33, 34.6747, 34.6731) * CHOOSE(CONTROL!$C$16, $D$10, 100%, $F$10)</f>
        <v>34.674700000000001</v>
      </c>
      <c r="I944" s="8">
        <f>CHOOSE( CONTROL!$C$33, 33.1762, 33.1746) * CHOOSE(CONTROL!$C$16, $D$10, 100%, $F$10)</f>
        <v>33.176200000000001</v>
      </c>
      <c r="J944" s="4">
        <f>CHOOSE( CONTROL!$C$33, 33.0439, 33.0424) * CHOOSE(CONTROL!$C$16, $D$10, 100%, $F$10)</f>
        <v>33.043900000000001</v>
      </c>
      <c r="K944" s="4"/>
      <c r="L944" s="9">
        <v>30.7165</v>
      </c>
      <c r="M944" s="9">
        <v>12.063700000000001</v>
      </c>
      <c r="N944" s="9">
        <v>4.9444999999999997</v>
      </c>
      <c r="O944" s="9">
        <v>0.37409999999999999</v>
      </c>
      <c r="P944" s="9">
        <v>1.2927</v>
      </c>
      <c r="Q944" s="9">
        <v>19.688099999999999</v>
      </c>
      <c r="R944" s="9"/>
      <c r="S944" s="11"/>
    </row>
    <row r="945" spans="1:19" ht="15" customHeight="1">
      <c r="A945" s="13">
        <v>69944</v>
      </c>
      <c r="B945" s="8">
        <f>CHOOSE( CONTROL!$C$33, 33.562, 33.5604) * CHOOSE(CONTROL!$C$16, $D$10, 100%, $F$10)</f>
        <v>33.561999999999998</v>
      </c>
      <c r="C945" s="8">
        <f>CHOOSE( CONTROL!$C$33, 33.57, 33.5684) * CHOOSE(CONTROL!$C$16, $D$10, 100%, $F$10)</f>
        <v>33.57</v>
      </c>
      <c r="D945" s="8">
        <f>CHOOSE( CONTROL!$C$33, 33.5924, 33.5908) * CHOOSE( CONTROL!$C$16, $D$10, 100%, $F$10)</f>
        <v>33.592399999999998</v>
      </c>
      <c r="E945" s="12">
        <f>CHOOSE( CONTROL!$C$33, 33.5831, 33.5815) * CHOOSE( CONTROL!$C$16, $D$10, 100%, $F$10)</f>
        <v>33.583100000000002</v>
      </c>
      <c r="F945" s="4">
        <f>CHOOSE( CONTROL!$C$33, 34.3389, 34.3373) * CHOOSE(CONTROL!$C$16, $D$10, 100%, $F$10)</f>
        <v>34.338900000000002</v>
      </c>
      <c r="G945" s="8">
        <f>CHOOSE( CONTROL!$C$33, 33.1549, 33.1533) * CHOOSE( CONTROL!$C$16, $D$10, 100%, $F$10)</f>
        <v>33.154899999999998</v>
      </c>
      <c r="H945" s="4">
        <f>CHOOSE( CONTROL!$C$33, 34.1337, 34.1321) * CHOOSE(CONTROL!$C$16, $D$10, 100%, $F$10)</f>
        <v>34.133699999999997</v>
      </c>
      <c r="I945" s="8">
        <f>CHOOSE( CONTROL!$C$33, 32.6452, 32.6437) * CHOOSE(CONTROL!$C$16, $D$10, 100%, $F$10)</f>
        <v>32.645200000000003</v>
      </c>
      <c r="J945" s="4">
        <f>CHOOSE( CONTROL!$C$33, 32.5127, 32.5112) * CHOOSE(CONTROL!$C$16, $D$10, 100%, $F$10)</f>
        <v>32.512700000000002</v>
      </c>
      <c r="K945" s="4"/>
      <c r="L945" s="9">
        <v>29.7257</v>
      </c>
      <c r="M945" s="9">
        <v>11.6745</v>
      </c>
      <c r="N945" s="9">
        <v>4.7850000000000001</v>
      </c>
      <c r="O945" s="9">
        <v>0.36199999999999999</v>
      </c>
      <c r="P945" s="9">
        <v>1.2509999999999999</v>
      </c>
      <c r="Q945" s="9">
        <v>19.053000000000001</v>
      </c>
      <c r="R945" s="9"/>
      <c r="S945" s="11"/>
    </row>
    <row r="946" spans="1:19" ht="15" customHeight="1">
      <c r="A946" s="13">
        <v>69975</v>
      </c>
      <c r="B946" s="8">
        <f>CHOOSE( CONTROL!$C$33, 35.0068, 35.0052) * CHOOSE(CONTROL!$C$16, $D$10, 100%, $F$10)</f>
        <v>35.006799999999998</v>
      </c>
      <c r="C946" s="8">
        <f>CHOOSE( CONTROL!$C$33, 35.0148, 35.0132) * CHOOSE(CONTROL!$C$16, $D$10, 100%, $F$10)</f>
        <v>35.014800000000001</v>
      </c>
      <c r="D946" s="8">
        <f>CHOOSE( CONTROL!$C$33, 35.0374, 35.0358) * CHOOSE( CONTROL!$C$16, $D$10, 100%, $F$10)</f>
        <v>35.037399999999998</v>
      </c>
      <c r="E946" s="12">
        <f>CHOOSE( CONTROL!$C$33, 35.028, 35.0264) * CHOOSE( CONTROL!$C$16, $D$10, 100%, $F$10)</f>
        <v>35.027999999999999</v>
      </c>
      <c r="F946" s="4">
        <f>CHOOSE( CONTROL!$C$33, 35.7837, 35.7821) * CHOOSE(CONTROL!$C$16, $D$10, 100%, $F$10)</f>
        <v>35.783700000000003</v>
      </c>
      <c r="G946" s="8">
        <f>CHOOSE( CONTROL!$C$33, 34.5797, 34.5781) * CHOOSE( CONTROL!$C$16, $D$10, 100%, $F$10)</f>
        <v>34.579700000000003</v>
      </c>
      <c r="H946" s="4">
        <f>CHOOSE( CONTROL!$C$33, 35.5583, 35.5568) * CHOOSE(CONTROL!$C$16, $D$10, 100%, $F$10)</f>
        <v>35.558300000000003</v>
      </c>
      <c r="I946" s="8">
        <f>CHOOSE( CONTROL!$C$33, 34.0457, 34.0441) * CHOOSE(CONTROL!$C$16, $D$10, 100%, $F$10)</f>
        <v>34.045699999999997</v>
      </c>
      <c r="J946" s="4">
        <f>CHOOSE( CONTROL!$C$33, 33.9116, 33.9101) * CHOOSE(CONTROL!$C$16, $D$10, 100%, $F$10)</f>
        <v>33.9116</v>
      </c>
      <c r="K946" s="4"/>
      <c r="L946" s="9">
        <v>30.7165</v>
      </c>
      <c r="M946" s="9">
        <v>12.063700000000001</v>
      </c>
      <c r="N946" s="9">
        <v>4.9444999999999997</v>
      </c>
      <c r="O946" s="9">
        <v>0.37409999999999999</v>
      </c>
      <c r="P946" s="9">
        <v>1.2927</v>
      </c>
      <c r="Q946" s="9">
        <v>19.688099999999999</v>
      </c>
      <c r="R946" s="9"/>
      <c r="S946" s="11"/>
    </row>
    <row r="947" spans="1:19" ht="15" customHeight="1">
      <c r="A947" s="13">
        <v>70006</v>
      </c>
      <c r="B947" s="8">
        <f>CHOOSE( CONTROL!$C$33, 32.3035, 32.3019) * CHOOSE(CONTROL!$C$16, $D$10, 100%, $F$10)</f>
        <v>32.3035</v>
      </c>
      <c r="C947" s="8">
        <f>CHOOSE( CONTROL!$C$33, 32.3114, 32.3099) * CHOOSE(CONTROL!$C$16, $D$10, 100%, $F$10)</f>
        <v>32.311399999999999</v>
      </c>
      <c r="D947" s="8">
        <f>CHOOSE( CONTROL!$C$33, 32.3341, 32.3326) * CHOOSE( CONTROL!$C$16, $D$10, 100%, $F$10)</f>
        <v>32.334099999999999</v>
      </c>
      <c r="E947" s="12">
        <f>CHOOSE( CONTROL!$C$33, 32.3247, 32.3232) * CHOOSE( CONTROL!$C$16, $D$10, 100%, $F$10)</f>
        <v>32.3247</v>
      </c>
      <c r="F947" s="4">
        <f>CHOOSE( CONTROL!$C$33, 33.0804, 33.0788) * CHOOSE(CONTROL!$C$16, $D$10, 100%, $F$10)</f>
        <v>33.080399999999997</v>
      </c>
      <c r="G947" s="8">
        <f>CHOOSE( CONTROL!$C$33, 31.9141, 31.9126) * CHOOSE( CONTROL!$C$16, $D$10, 100%, $F$10)</f>
        <v>31.914100000000001</v>
      </c>
      <c r="H947" s="4">
        <f>CHOOSE( CONTROL!$C$33, 32.8927, 32.8912) * CHOOSE(CONTROL!$C$16, $D$10, 100%, $F$10)</f>
        <v>32.892699999999998</v>
      </c>
      <c r="I947" s="8">
        <f>CHOOSE( CONTROL!$C$33, 31.4269, 31.4254) * CHOOSE(CONTROL!$C$16, $D$10, 100%, $F$10)</f>
        <v>31.4269</v>
      </c>
      <c r="J947" s="4">
        <f>CHOOSE( CONTROL!$C$33, 31.294, 31.2925) * CHOOSE(CONTROL!$C$16, $D$10, 100%, $F$10)</f>
        <v>31.294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1.2927</v>
      </c>
      <c r="Q947" s="9">
        <v>19.688099999999999</v>
      </c>
      <c r="R947" s="9"/>
      <c r="S947" s="11"/>
    </row>
    <row r="948" spans="1:19" ht="15" customHeight="1">
      <c r="A948" s="13">
        <v>70036</v>
      </c>
      <c r="B948" s="8">
        <f>CHOOSE( CONTROL!$C$33, 31.6265, 31.6249) * CHOOSE(CONTROL!$C$16, $D$10, 100%, $F$10)</f>
        <v>31.6265</v>
      </c>
      <c r="C948" s="8">
        <f>CHOOSE( CONTROL!$C$33, 31.6345, 31.6329) * CHOOSE(CONTROL!$C$16, $D$10, 100%, $F$10)</f>
        <v>31.634499999999999</v>
      </c>
      <c r="D948" s="8">
        <f>CHOOSE( CONTROL!$C$33, 31.6571, 31.6555) * CHOOSE( CONTROL!$C$16, $D$10, 100%, $F$10)</f>
        <v>31.6571</v>
      </c>
      <c r="E948" s="12">
        <f>CHOOSE( CONTROL!$C$33, 31.6477, 31.6461) * CHOOSE( CONTROL!$C$16, $D$10, 100%, $F$10)</f>
        <v>31.6477</v>
      </c>
      <c r="F948" s="4">
        <f>CHOOSE( CONTROL!$C$33, 32.4034, 32.4019) * CHOOSE(CONTROL!$C$16, $D$10, 100%, $F$10)</f>
        <v>32.403399999999998</v>
      </c>
      <c r="G948" s="8">
        <f>CHOOSE( CONTROL!$C$33, 31.2465, 31.245) * CHOOSE( CONTROL!$C$16, $D$10, 100%, $F$10)</f>
        <v>31.246500000000001</v>
      </c>
      <c r="H948" s="4">
        <f>CHOOSE( CONTROL!$C$33, 32.2252, 32.2237) * CHOOSE(CONTROL!$C$16, $D$10, 100%, $F$10)</f>
        <v>32.225200000000001</v>
      </c>
      <c r="I948" s="8">
        <f>CHOOSE( CONTROL!$C$33, 30.7707, 30.7691) * CHOOSE(CONTROL!$C$16, $D$10, 100%, $F$10)</f>
        <v>30.770700000000001</v>
      </c>
      <c r="J948" s="4">
        <f>CHOOSE( CONTROL!$C$33, 30.6385, 30.637) * CHOOSE(CONTROL!$C$16, $D$10, 100%, $F$10)</f>
        <v>30.638500000000001</v>
      </c>
      <c r="K948" s="4"/>
      <c r="L948" s="9">
        <v>29.7257</v>
      </c>
      <c r="M948" s="9">
        <v>11.6745</v>
      </c>
      <c r="N948" s="9">
        <v>4.7850000000000001</v>
      </c>
      <c r="O948" s="9">
        <v>0.36199999999999999</v>
      </c>
      <c r="P948" s="9">
        <v>1.2509999999999999</v>
      </c>
      <c r="Q948" s="9">
        <v>19.053000000000001</v>
      </c>
      <c r="R948" s="9"/>
      <c r="S948" s="11"/>
    </row>
    <row r="949" spans="1:19" ht="15" customHeight="1">
      <c r="A949" s="13">
        <v>70067</v>
      </c>
      <c r="B949" s="8">
        <f>CHOOSE( CONTROL!$C$33, 33.0299, 33.0288) * CHOOSE(CONTROL!$C$16, $D$10, 100%, $F$10)</f>
        <v>33.029899999999998</v>
      </c>
      <c r="C949" s="8">
        <f>CHOOSE( CONTROL!$C$33, 33.0353, 33.0341) * CHOOSE(CONTROL!$C$16, $D$10, 100%, $F$10)</f>
        <v>33.035299999999999</v>
      </c>
      <c r="D949" s="8">
        <f>CHOOSE( CONTROL!$C$33, 33.064, 33.0629) * CHOOSE( CONTROL!$C$16, $D$10, 100%, $F$10)</f>
        <v>33.064</v>
      </c>
      <c r="E949" s="12">
        <f>CHOOSE( CONTROL!$C$33, 33.054, 33.0528) * CHOOSE( CONTROL!$C$16, $D$10, 100%, $F$10)</f>
        <v>33.054000000000002</v>
      </c>
      <c r="F949" s="4">
        <f>CHOOSE( CONTROL!$C$33, 33.8085, 33.8074) * CHOOSE(CONTROL!$C$16, $D$10, 100%, $F$10)</f>
        <v>33.808500000000002</v>
      </c>
      <c r="G949" s="8">
        <f>CHOOSE( CONTROL!$C$33, 32.6321, 32.631) * CHOOSE( CONTROL!$C$16, $D$10, 100%, $F$10)</f>
        <v>32.632100000000001</v>
      </c>
      <c r="H949" s="4">
        <f>CHOOSE( CONTROL!$C$33, 33.6107, 33.6096) * CHOOSE(CONTROL!$C$16, $D$10, 100%, $F$10)</f>
        <v>33.610700000000001</v>
      </c>
      <c r="I949" s="8">
        <f>CHOOSE( CONTROL!$C$33, 32.1325, 32.1314) * CHOOSE(CONTROL!$C$16, $D$10, 100%, $F$10)</f>
        <v>32.1325</v>
      </c>
      <c r="J949" s="4">
        <f>CHOOSE( CONTROL!$C$33, 31.9991, 31.998) * CHOOSE(CONTROL!$C$16, $D$10, 100%, $F$10)</f>
        <v>31.999099999999999</v>
      </c>
      <c r="K949" s="4"/>
      <c r="L949" s="9">
        <v>31.095300000000002</v>
      </c>
      <c r="M949" s="9">
        <v>12.063700000000001</v>
      </c>
      <c r="N949" s="9">
        <v>4.9444999999999997</v>
      </c>
      <c r="O949" s="9">
        <v>0.37409999999999999</v>
      </c>
      <c r="P949" s="9">
        <v>1.2927</v>
      </c>
      <c r="Q949" s="9">
        <v>19.688099999999999</v>
      </c>
      <c r="R949" s="9"/>
      <c r="S949" s="11"/>
    </row>
    <row r="950" spans="1:19" ht="15" customHeight="1">
      <c r="A950" s="13">
        <v>70097</v>
      </c>
      <c r="B950" s="8">
        <f>CHOOSE( CONTROL!$C$33, 35.6239, 35.6228) * CHOOSE(CONTROL!$C$16, $D$10, 100%, $F$10)</f>
        <v>35.623899999999999</v>
      </c>
      <c r="C950" s="8">
        <f>CHOOSE( CONTROL!$C$33, 35.629, 35.6279) * CHOOSE(CONTROL!$C$16, $D$10, 100%, $F$10)</f>
        <v>35.628999999999998</v>
      </c>
      <c r="D950" s="8">
        <f>CHOOSE( CONTROL!$C$33, 35.6086, 35.6075) * CHOOSE( CONTROL!$C$16, $D$10, 100%, $F$10)</f>
        <v>35.608600000000003</v>
      </c>
      <c r="E950" s="12">
        <f>CHOOSE( CONTROL!$C$33, 35.6155, 35.6144) * CHOOSE( CONTROL!$C$16, $D$10, 100%, $F$10)</f>
        <v>35.615499999999997</v>
      </c>
      <c r="F950" s="4">
        <f>CHOOSE( CONTROL!$C$33, 36.2867, 36.2856) * CHOOSE(CONTROL!$C$16, $D$10, 100%, $F$10)</f>
        <v>36.286700000000003</v>
      </c>
      <c r="G950" s="8">
        <f>CHOOSE( CONTROL!$C$33, 35.1628, 35.1617) * CHOOSE( CONTROL!$C$16, $D$10, 100%, $F$10)</f>
        <v>35.162799999999997</v>
      </c>
      <c r="H950" s="4">
        <f>CHOOSE( CONTROL!$C$33, 36.0543, 36.0532) * CHOOSE(CONTROL!$C$16, $D$10, 100%, $F$10)</f>
        <v>36.054299999999998</v>
      </c>
      <c r="I950" s="8">
        <f>CHOOSE( CONTROL!$C$33, 34.6937, 34.6926) * CHOOSE(CONTROL!$C$16, $D$10, 100%, $F$10)</f>
        <v>34.6937</v>
      </c>
      <c r="J950" s="4">
        <f>CHOOSE( CONTROL!$C$33, 34.5113, 34.5102) * CHOOSE(CONTROL!$C$16, $D$10, 100%, $F$10)</f>
        <v>34.511299999999999</v>
      </c>
      <c r="K950" s="4"/>
      <c r="L950" s="9">
        <v>28.360600000000002</v>
      </c>
      <c r="M950" s="9">
        <v>11.6745</v>
      </c>
      <c r="N950" s="9">
        <v>4.7850000000000001</v>
      </c>
      <c r="O950" s="9">
        <v>0.36199999999999999</v>
      </c>
      <c r="P950" s="9">
        <v>1.2509999999999999</v>
      </c>
      <c r="Q950" s="9">
        <v>19.053000000000001</v>
      </c>
      <c r="R950" s="9"/>
      <c r="S950" s="11"/>
    </row>
    <row r="951" spans="1:19" ht="15" customHeight="1">
      <c r="A951" s="13">
        <v>70128</v>
      </c>
      <c r="B951" s="8">
        <f>CHOOSE( CONTROL!$C$33, 35.5591, 35.5579) * CHOOSE(CONTROL!$C$16, $D$10, 100%, $F$10)</f>
        <v>35.559100000000001</v>
      </c>
      <c r="C951" s="8">
        <f>CHOOSE( CONTROL!$C$33, 35.5642, 35.563) * CHOOSE(CONTROL!$C$16, $D$10, 100%, $F$10)</f>
        <v>35.5642</v>
      </c>
      <c r="D951" s="8">
        <f>CHOOSE( CONTROL!$C$33, 35.5453, 35.5442) * CHOOSE( CONTROL!$C$16, $D$10, 100%, $F$10)</f>
        <v>35.545299999999997</v>
      </c>
      <c r="E951" s="12">
        <f>CHOOSE( CONTROL!$C$33, 35.5517, 35.5505) * CHOOSE( CONTROL!$C$16, $D$10, 100%, $F$10)</f>
        <v>35.551699999999997</v>
      </c>
      <c r="F951" s="4">
        <f>CHOOSE( CONTROL!$C$33, 36.2219, 36.2208) * CHOOSE(CONTROL!$C$16, $D$10, 100%, $F$10)</f>
        <v>36.221899999999998</v>
      </c>
      <c r="G951" s="8">
        <f>CHOOSE( CONTROL!$C$33, 35.1, 35.0989) * CHOOSE( CONTROL!$C$16, $D$10, 100%, $F$10)</f>
        <v>35.1</v>
      </c>
      <c r="H951" s="4">
        <f>CHOOSE( CONTROL!$C$33, 35.9904, 35.9893) * CHOOSE(CONTROL!$C$16, $D$10, 100%, $F$10)</f>
        <v>35.990400000000001</v>
      </c>
      <c r="I951" s="8">
        <f>CHOOSE( CONTROL!$C$33, 34.6354, 34.6343) * CHOOSE(CONTROL!$C$16, $D$10, 100%, $F$10)</f>
        <v>34.635399999999997</v>
      </c>
      <c r="J951" s="4">
        <f>CHOOSE( CONTROL!$C$33, 34.4485, 34.4474) * CHOOSE(CONTROL!$C$16, $D$10, 100%, $F$10)</f>
        <v>34.448500000000003</v>
      </c>
      <c r="K951" s="4"/>
      <c r="L951" s="9">
        <v>29.306000000000001</v>
      </c>
      <c r="M951" s="9">
        <v>12.063700000000001</v>
      </c>
      <c r="N951" s="9">
        <v>4.9444999999999997</v>
      </c>
      <c r="O951" s="9">
        <v>0.37409999999999999</v>
      </c>
      <c r="P951" s="9">
        <v>1.2927</v>
      </c>
      <c r="Q951" s="9">
        <v>19.688099999999999</v>
      </c>
      <c r="R951" s="9"/>
      <c r="S951" s="11"/>
    </row>
    <row r="952" spans="1:19" ht="15" customHeight="1">
      <c r="A952" s="13">
        <v>70159</v>
      </c>
      <c r="B952" s="8">
        <f>CHOOSE( CONTROL!$C$33, 36.6084, 36.6073) * CHOOSE(CONTROL!$C$16, $D$10, 100%, $F$10)</f>
        <v>36.608400000000003</v>
      </c>
      <c r="C952" s="8">
        <f>CHOOSE( CONTROL!$C$33, 36.6135, 36.6124) * CHOOSE(CONTROL!$C$16, $D$10, 100%, $F$10)</f>
        <v>36.613500000000002</v>
      </c>
      <c r="D952" s="8">
        <f>CHOOSE( CONTROL!$C$33, 36.6059, 36.6047) * CHOOSE( CONTROL!$C$16, $D$10, 100%, $F$10)</f>
        <v>36.605899999999998</v>
      </c>
      <c r="E952" s="12">
        <f>CHOOSE( CONTROL!$C$33, 36.6081, 36.607) * CHOOSE( CONTROL!$C$16, $D$10, 100%, $F$10)</f>
        <v>36.6081</v>
      </c>
      <c r="F952" s="4">
        <f>CHOOSE( CONTROL!$C$33, 37.2713, 37.2702) * CHOOSE(CONTROL!$C$16, $D$10, 100%, $F$10)</f>
        <v>37.271299999999997</v>
      </c>
      <c r="G952" s="8">
        <f>CHOOSE( CONTROL!$C$33, 36.1405, 36.1394) * CHOOSE( CONTROL!$C$16, $D$10, 100%, $F$10)</f>
        <v>36.140500000000003</v>
      </c>
      <c r="H952" s="4">
        <f>CHOOSE( CONTROL!$C$33, 37.0251, 37.024) * CHOOSE(CONTROL!$C$16, $D$10, 100%, $F$10)</f>
        <v>37.025100000000002</v>
      </c>
      <c r="I952" s="8">
        <f>CHOOSE( CONTROL!$C$33, 35.6433, 35.6422) * CHOOSE(CONTROL!$C$16, $D$10, 100%, $F$10)</f>
        <v>35.643300000000004</v>
      </c>
      <c r="J952" s="4">
        <f>CHOOSE( CONTROL!$C$33, 35.4646, 35.4635) * CHOOSE(CONTROL!$C$16, $D$10, 100%, $F$10)</f>
        <v>35.464599999999997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" customHeight="1">
      <c r="A953" s="13">
        <v>70188</v>
      </c>
      <c r="B953" s="8">
        <f>CHOOSE( CONTROL!$C$33, 34.2407, 34.2396) * CHOOSE(CONTROL!$C$16, $D$10, 100%, $F$10)</f>
        <v>34.240699999999997</v>
      </c>
      <c r="C953" s="8">
        <f>CHOOSE( CONTROL!$C$33, 34.2458, 34.2447) * CHOOSE(CONTROL!$C$16, $D$10, 100%, $F$10)</f>
        <v>34.245800000000003</v>
      </c>
      <c r="D953" s="8">
        <f>CHOOSE( CONTROL!$C$33, 34.238, 34.2368) * CHOOSE( CONTROL!$C$16, $D$10, 100%, $F$10)</f>
        <v>34.238</v>
      </c>
      <c r="E953" s="12">
        <f>CHOOSE( CONTROL!$C$33, 34.2403, 34.2391) * CHOOSE( CONTROL!$C$16, $D$10, 100%, $F$10)</f>
        <v>34.240299999999998</v>
      </c>
      <c r="F953" s="4">
        <f>CHOOSE( CONTROL!$C$33, 34.9036, 34.9024) * CHOOSE(CONTROL!$C$16, $D$10, 100%, $F$10)</f>
        <v>34.903599999999997</v>
      </c>
      <c r="G953" s="8">
        <f>CHOOSE( CONTROL!$C$33, 33.8057, 33.8046) * CHOOSE( CONTROL!$C$16, $D$10, 100%, $F$10)</f>
        <v>33.805700000000002</v>
      </c>
      <c r="H953" s="4">
        <f>CHOOSE( CONTROL!$C$33, 34.6905, 34.6894) * CHOOSE(CONTROL!$C$16, $D$10, 100%, $F$10)</f>
        <v>34.6905</v>
      </c>
      <c r="I953" s="8">
        <f>CHOOSE( CONTROL!$C$33, 33.3489, 33.3478) * CHOOSE(CONTROL!$C$16, $D$10, 100%, $F$10)</f>
        <v>33.3489</v>
      </c>
      <c r="J953" s="4">
        <f>CHOOSE( CONTROL!$C$33, 33.1719, 33.1708) * CHOOSE(CONTROL!$C$16, $D$10, 100%, $F$10)</f>
        <v>33.171900000000001</v>
      </c>
      <c r="K953" s="4"/>
      <c r="L953" s="9">
        <v>27.415299999999998</v>
      </c>
      <c r="M953" s="9">
        <v>11.285299999999999</v>
      </c>
      <c r="N953" s="9">
        <v>4.6254999999999997</v>
      </c>
      <c r="O953" s="9">
        <v>0.34989999999999999</v>
      </c>
      <c r="P953" s="9">
        <v>1.2093</v>
      </c>
      <c r="Q953" s="9">
        <v>18.417899999999999</v>
      </c>
      <c r="R953" s="9"/>
      <c r="S953" s="11"/>
    </row>
    <row r="954" spans="1:19" ht="15" customHeight="1">
      <c r="A954" s="13">
        <v>70219</v>
      </c>
      <c r="B954" s="8">
        <f>CHOOSE( CONTROL!$C$33, 33.5114, 33.5103) * CHOOSE(CONTROL!$C$16, $D$10, 100%, $F$10)</f>
        <v>33.511400000000002</v>
      </c>
      <c r="C954" s="8">
        <f>CHOOSE( CONTROL!$C$33, 33.5165, 33.5154) * CHOOSE(CONTROL!$C$16, $D$10, 100%, $F$10)</f>
        <v>33.516500000000001</v>
      </c>
      <c r="D954" s="8">
        <f>CHOOSE( CONTROL!$C$33, 33.508, 33.5069) * CHOOSE( CONTROL!$C$16, $D$10, 100%, $F$10)</f>
        <v>33.508000000000003</v>
      </c>
      <c r="E954" s="12">
        <f>CHOOSE( CONTROL!$C$33, 33.5106, 33.5095) * CHOOSE( CONTROL!$C$16, $D$10, 100%, $F$10)</f>
        <v>33.510599999999997</v>
      </c>
      <c r="F954" s="4">
        <f>CHOOSE( CONTROL!$C$33, 34.1743, 34.1732) * CHOOSE(CONTROL!$C$16, $D$10, 100%, $F$10)</f>
        <v>34.174300000000002</v>
      </c>
      <c r="G954" s="8">
        <f>CHOOSE( CONTROL!$C$33, 33.0861, 33.085) * CHOOSE( CONTROL!$C$16, $D$10, 100%, $F$10)</f>
        <v>33.086100000000002</v>
      </c>
      <c r="H954" s="4">
        <f>CHOOSE( CONTROL!$C$33, 33.9714, 33.9703) * CHOOSE(CONTROL!$C$16, $D$10, 100%, $F$10)</f>
        <v>33.971400000000003</v>
      </c>
      <c r="I954" s="8">
        <f>CHOOSE( CONTROL!$C$33, 32.6401, 32.639) * CHOOSE(CONTROL!$C$16, $D$10, 100%, $F$10)</f>
        <v>32.640099999999997</v>
      </c>
      <c r="J954" s="4">
        <f>CHOOSE( CONTROL!$C$33, 32.4658, 32.4647) * CHOOSE(CONTROL!$C$16, $D$10, 100%, $F$10)</f>
        <v>32.465800000000002</v>
      </c>
      <c r="K954" s="4"/>
      <c r="L954" s="9">
        <v>29.306000000000001</v>
      </c>
      <c r="M954" s="9">
        <v>12.063700000000001</v>
      </c>
      <c r="N954" s="9">
        <v>4.9444999999999997</v>
      </c>
      <c r="O954" s="9">
        <v>0.37409999999999999</v>
      </c>
      <c r="P954" s="9">
        <v>1.2927</v>
      </c>
      <c r="Q954" s="9">
        <v>19.688099999999999</v>
      </c>
      <c r="R954" s="9"/>
      <c r="S954" s="11"/>
    </row>
    <row r="955" spans="1:19" ht="15" customHeight="1">
      <c r="A955" s="13">
        <v>70249</v>
      </c>
      <c r="B955" s="8">
        <f>CHOOSE( CONTROL!$C$33, 34.0218, 34.0207) * CHOOSE(CONTROL!$C$16, $D$10, 100%, $F$10)</f>
        <v>34.021799999999999</v>
      </c>
      <c r="C955" s="8">
        <f>CHOOSE( CONTROL!$C$33, 34.0263, 34.0252) * CHOOSE(CONTROL!$C$16, $D$10, 100%, $F$10)</f>
        <v>34.026299999999999</v>
      </c>
      <c r="D955" s="8">
        <f>CHOOSE( CONTROL!$C$33, 34.0552, 34.0541) * CHOOSE( CONTROL!$C$16, $D$10, 100%, $F$10)</f>
        <v>34.055199999999999</v>
      </c>
      <c r="E955" s="12">
        <f>CHOOSE( CONTROL!$C$33, 34.0451, 34.044) * CHOOSE( CONTROL!$C$16, $D$10, 100%, $F$10)</f>
        <v>34.045099999999998</v>
      </c>
      <c r="F955" s="4">
        <f>CHOOSE( CONTROL!$C$33, 34.8001, 34.799) * CHOOSE(CONTROL!$C$16, $D$10, 100%, $F$10)</f>
        <v>34.8001</v>
      </c>
      <c r="G955" s="8">
        <f>CHOOSE( CONTROL!$C$33, 33.6095, 33.6084) * CHOOSE( CONTROL!$C$16, $D$10, 100%, $F$10)</f>
        <v>33.609499999999997</v>
      </c>
      <c r="H955" s="4">
        <f>CHOOSE( CONTROL!$C$33, 34.5884, 34.5873) * CHOOSE(CONTROL!$C$16, $D$10, 100%, $F$10)</f>
        <v>34.5884</v>
      </c>
      <c r="I955" s="8">
        <f>CHOOSE( CONTROL!$C$33, 33.0918, 33.0907) * CHOOSE(CONTROL!$C$16, $D$10, 100%, $F$10)</f>
        <v>33.091799999999999</v>
      </c>
      <c r="J955" s="4">
        <f>CHOOSE( CONTROL!$C$33, 32.9592, 32.9581) * CHOOSE(CONTROL!$C$16, $D$10, 100%, $F$10)</f>
        <v>32.959200000000003</v>
      </c>
      <c r="K955" s="4"/>
      <c r="L955" s="9">
        <v>30.092199999999998</v>
      </c>
      <c r="M955" s="9">
        <v>11.6745</v>
      </c>
      <c r="N955" s="9">
        <v>4.7850000000000001</v>
      </c>
      <c r="O955" s="9">
        <v>0.36199999999999999</v>
      </c>
      <c r="P955" s="9">
        <v>1.2509999999999999</v>
      </c>
      <c r="Q955" s="9">
        <v>19.053000000000001</v>
      </c>
      <c r="R955" s="9"/>
      <c r="S955" s="11"/>
    </row>
    <row r="956" spans="1:19" ht="15" customHeight="1">
      <c r="A956" s="13">
        <v>70280</v>
      </c>
      <c r="B956" s="8">
        <f>CHOOSE( CONTROL!$C$33, 34.9305, 34.929) * CHOOSE(CONTROL!$C$16, $D$10, 100%, $F$10)</f>
        <v>34.930500000000002</v>
      </c>
      <c r="C956" s="8">
        <f>CHOOSE( CONTROL!$C$33, 34.9385, 34.937) * CHOOSE(CONTROL!$C$16, $D$10, 100%, $F$10)</f>
        <v>34.938499999999998</v>
      </c>
      <c r="D956" s="8">
        <f>CHOOSE( CONTROL!$C$33, 34.9608, 34.9592) * CHOOSE( CONTROL!$C$16, $D$10, 100%, $F$10)</f>
        <v>34.960799999999999</v>
      </c>
      <c r="E956" s="12">
        <f>CHOOSE( CONTROL!$C$33, 34.9515, 34.9499) * CHOOSE( CONTROL!$C$16, $D$10, 100%, $F$10)</f>
        <v>34.951500000000003</v>
      </c>
      <c r="F956" s="4">
        <f>CHOOSE( CONTROL!$C$33, 35.7075, 35.7059) * CHOOSE(CONTROL!$C$16, $D$10, 100%, $F$10)</f>
        <v>35.707500000000003</v>
      </c>
      <c r="G956" s="8">
        <f>CHOOSE( CONTROL!$C$33, 34.5042, 34.5027) * CHOOSE( CONTROL!$C$16, $D$10, 100%, $F$10)</f>
        <v>34.504199999999997</v>
      </c>
      <c r="H956" s="4">
        <f>CHOOSE( CONTROL!$C$33, 35.4832, 35.4816) * CHOOSE(CONTROL!$C$16, $D$10, 100%, $F$10)</f>
        <v>35.483199999999997</v>
      </c>
      <c r="I956" s="8">
        <f>CHOOSE( CONTROL!$C$33, 33.9705, 33.969) * CHOOSE(CONTROL!$C$16, $D$10, 100%, $F$10)</f>
        <v>33.970500000000001</v>
      </c>
      <c r="J956" s="4">
        <f>CHOOSE( CONTROL!$C$33, 33.8378, 33.8363) * CHOOSE(CONTROL!$C$16, $D$10, 100%, $F$10)</f>
        <v>33.837800000000001</v>
      </c>
      <c r="K956" s="4"/>
      <c r="L956" s="9">
        <v>30.7165</v>
      </c>
      <c r="M956" s="9">
        <v>12.063700000000001</v>
      </c>
      <c r="N956" s="9">
        <v>4.9444999999999997</v>
      </c>
      <c r="O956" s="9">
        <v>0.37409999999999999</v>
      </c>
      <c r="P956" s="9">
        <v>1.2927</v>
      </c>
      <c r="Q956" s="9">
        <v>19.688099999999999</v>
      </c>
      <c r="R956" s="9"/>
      <c r="S956" s="11"/>
    </row>
    <row r="957" spans="1:19" ht="15" customHeight="1">
      <c r="A957" s="13">
        <v>70310</v>
      </c>
      <c r="B957" s="8">
        <f>CHOOSE( CONTROL!$C$33, 34.3687, 34.3672) * CHOOSE(CONTROL!$C$16, $D$10, 100%, $F$10)</f>
        <v>34.368699999999997</v>
      </c>
      <c r="C957" s="8">
        <f>CHOOSE( CONTROL!$C$33, 34.3767, 34.3752) * CHOOSE(CONTROL!$C$16, $D$10, 100%, $F$10)</f>
        <v>34.3767</v>
      </c>
      <c r="D957" s="8">
        <f>CHOOSE( CONTROL!$C$33, 34.3991, 34.3976) * CHOOSE( CONTROL!$C$16, $D$10, 100%, $F$10)</f>
        <v>34.399099999999997</v>
      </c>
      <c r="E957" s="12">
        <f>CHOOSE( CONTROL!$C$33, 34.3898, 34.3883) * CHOOSE( CONTROL!$C$16, $D$10, 100%, $F$10)</f>
        <v>34.389800000000001</v>
      </c>
      <c r="F957" s="4">
        <f>CHOOSE( CONTROL!$C$33, 35.1456, 35.1441) * CHOOSE(CONTROL!$C$16, $D$10, 100%, $F$10)</f>
        <v>35.145600000000002</v>
      </c>
      <c r="G957" s="8">
        <f>CHOOSE( CONTROL!$C$33, 33.9504, 33.9488) * CHOOSE( CONTROL!$C$16, $D$10, 100%, $F$10)</f>
        <v>33.950400000000002</v>
      </c>
      <c r="H957" s="4">
        <f>CHOOSE( CONTROL!$C$33, 34.9292, 34.9276) * CHOOSE(CONTROL!$C$16, $D$10, 100%, $F$10)</f>
        <v>34.929200000000002</v>
      </c>
      <c r="I957" s="8">
        <f>CHOOSE( CONTROL!$C$33, 33.4268, 33.4252) * CHOOSE(CONTROL!$C$16, $D$10, 100%, $F$10)</f>
        <v>33.4268</v>
      </c>
      <c r="J957" s="4">
        <f>CHOOSE( CONTROL!$C$33, 33.2938, 33.2923) * CHOOSE(CONTROL!$C$16, $D$10, 100%, $F$10)</f>
        <v>33.293799999999997</v>
      </c>
      <c r="K957" s="4"/>
      <c r="L957" s="9">
        <v>29.7257</v>
      </c>
      <c r="M957" s="9">
        <v>11.6745</v>
      </c>
      <c r="N957" s="9">
        <v>4.7850000000000001</v>
      </c>
      <c r="O957" s="9">
        <v>0.36199999999999999</v>
      </c>
      <c r="P957" s="9">
        <v>1.2509999999999999</v>
      </c>
      <c r="Q957" s="9">
        <v>19.053000000000001</v>
      </c>
      <c r="R957" s="9"/>
      <c r="S957" s="11"/>
    </row>
    <row r="958" spans="1:19" ht="15" customHeight="1">
      <c r="A958" s="13">
        <v>70341</v>
      </c>
      <c r="B958" s="8">
        <f>CHOOSE( CONTROL!$C$33, 35.8482, 35.8466) * CHOOSE(CONTROL!$C$16, $D$10, 100%, $F$10)</f>
        <v>35.848199999999999</v>
      </c>
      <c r="C958" s="8">
        <f>CHOOSE( CONTROL!$C$33, 35.8562, 35.8546) * CHOOSE(CONTROL!$C$16, $D$10, 100%, $F$10)</f>
        <v>35.856200000000001</v>
      </c>
      <c r="D958" s="8">
        <f>CHOOSE( CONTROL!$C$33, 35.8788, 35.8773) * CHOOSE( CONTROL!$C$16, $D$10, 100%, $F$10)</f>
        <v>35.878799999999998</v>
      </c>
      <c r="E958" s="12">
        <f>CHOOSE( CONTROL!$C$33, 35.8694, 35.8679) * CHOOSE( CONTROL!$C$16, $D$10, 100%, $F$10)</f>
        <v>35.869399999999999</v>
      </c>
      <c r="F958" s="4">
        <f>CHOOSE( CONTROL!$C$33, 36.6251, 36.6236) * CHOOSE(CONTROL!$C$16, $D$10, 100%, $F$10)</f>
        <v>36.625100000000003</v>
      </c>
      <c r="G958" s="8">
        <f>CHOOSE( CONTROL!$C$33, 35.4094, 35.4078) * CHOOSE( CONTROL!$C$16, $D$10, 100%, $F$10)</f>
        <v>35.409399999999998</v>
      </c>
      <c r="H958" s="4">
        <f>CHOOSE( CONTROL!$C$33, 36.388, 36.3865) * CHOOSE(CONTROL!$C$16, $D$10, 100%, $F$10)</f>
        <v>36.387999999999998</v>
      </c>
      <c r="I958" s="8">
        <f>CHOOSE( CONTROL!$C$33, 34.8608, 34.8593) * CHOOSE(CONTROL!$C$16, $D$10, 100%, $F$10)</f>
        <v>34.860799999999998</v>
      </c>
      <c r="J958" s="4">
        <f>CHOOSE( CONTROL!$C$33, 34.7264, 34.7249) * CHOOSE(CONTROL!$C$16, $D$10, 100%, $F$10)</f>
        <v>34.726399999999998</v>
      </c>
      <c r="K958" s="4"/>
      <c r="L958" s="9">
        <v>30.7165</v>
      </c>
      <c r="M958" s="9">
        <v>12.063700000000001</v>
      </c>
      <c r="N958" s="9">
        <v>4.9444999999999997</v>
      </c>
      <c r="O958" s="9">
        <v>0.37409999999999999</v>
      </c>
      <c r="P958" s="9">
        <v>1.2927</v>
      </c>
      <c r="Q958" s="9">
        <v>19.688099999999999</v>
      </c>
      <c r="R958" s="9"/>
      <c r="S958" s="11"/>
    </row>
    <row r="959" spans="1:19" ht="15" customHeight="1">
      <c r="A959" s="13">
        <v>70372</v>
      </c>
      <c r="B959" s="8">
        <f>CHOOSE( CONTROL!$C$33, 33.0799, 33.0784) * CHOOSE(CONTROL!$C$16, $D$10, 100%, $F$10)</f>
        <v>33.079900000000002</v>
      </c>
      <c r="C959" s="8">
        <f>CHOOSE( CONTROL!$C$33, 33.0879, 33.0864) * CHOOSE(CONTROL!$C$16, $D$10, 100%, $F$10)</f>
        <v>33.087899999999998</v>
      </c>
      <c r="D959" s="8">
        <f>CHOOSE( CONTROL!$C$33, 33.1106, 33.109) * CHOOSE( CONTROL!$C$16, $D$10, 100%, $F$10)</f>
        <v>33.110599999999998</v>
      </c>
      <c r="E959" s="12">
        <f>CHOOSE( CONTROL!$C$33, 33.1012, 33.0996) * CHOOSE( CONTROL!$C$16, $D$10, 100%, $F$10)</f>
        <v>33.101199999999999</v>
      </c>
      <c r="F959" s="4">
        <f>CHOOSE( CONTROL!$C$33, 33.8569, 33.8553) * CHOOSE(CONTROL!$C$16, $D$10, 100%, $F$10)</f>
        <v>33.856900000000003</v>
      </c>
      <c r="G959" s="8">
        <f>CHOOSE( CONTROL!$C$33, 32.6798, 32.6782) * CHOOSE( CONTROL!$C$16, $D$10, 100%, $F$10)</f>
        <v>32.6798</v>
      </c>
      <c r="H959" s="4">
        <f>CHOOSE( CONTROL!$C$33, 33.6584, 33.6568) * CHOOSE(CONTROL!$C$16, $D$10, 100%, $F$10)</f>
        <v>33.6584</v>
      </c>
      <c r="I959" s="8">
        <f>CHOOSE( CONTROL!$C$33, 32.1792, 32.1776) * CHOOSE(CONTROL!$C$16, $D$10, 100%, $F$10)</f>
        <v>32.179200000000002</v>
      </c>
      <c r="J959" s="4">
        <f>CHOOSE( CONTROL!$C$33, 32.0459, 32.0444) * CHOOSE(CONTROL!$C$16, $D$10, 100%, $F$10)</f>
        <v>32.045900000000003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1.2927</v>
      </c>
      <c r="Q959" s="9">
        <v>19.688099999999999</v>
      </c>
      <c r="R959" s="9"/>
      <c r="S959" s="11"/>
    </row>
    <row r="960" spans="1:19" ht="15" customHeight="1">
      <c r="A960" s="13">
        <v>70402</v>
      </c>
      <c r="B960" s="8">
        <f>CHOOSE( CONTROL!$C$33, 32.3867, 32.3852) * CHOOSE(CONTROL!$C$16, $D$10, 100%, $F$10)</f>
        <v>32.386699999999998</v>
      </c>
      <c r="C960" s="8">
        <f>CHOOSE( CONTROL!$C$33, 32.3947, 32.3932) * CHOOSE(CONTROL!$C$16, $D$10, 100%, $F$10)</f>
        <v>32.3947</v>
      </c>
      <c r="D960" s="8">
        <f>CHOOSE( CONTROL!$C$33, 32.4173, 32.4157) * CHOOSE( CONTROL!$C$16, $D$10, 100%, $F$10)</f>
        <v>32.417299999999997</v>
      </c>
      <c r="E960" s="12">
        <f>CHOOSE( CONTROL!$C$33, 32.4079, 32.4063) * CHOOSE( CONTROL!$C$16, $D$10, 100%, $F$10)</f>
        <v>32.407899999999998</v>
      </c>
      <c r="F960" s="4">
        <f>CHOOSE( CONTROL!$C$33, 33.1637, 33.1621) * CHOOSE(CONTROL!$C$16, $D$10, 100%, $F$10)</f>
        <v>33.163699999999999</v>
      </c>
      <c r="G960" s="8">
        <f>CHOOSE( CONTROL!$C$33, 31.9961, 31.9946) * CHOOSE( CONTROL!$C$16, $D$10, 100%, $F$10)</f>
        <v>31.996099999999998</v>
      </c>
      <c r="H960" s="4">
        <f>CHOOSE( CONTROL!$C$33, 32.9748, 32.9733) * CHOOSE(CONTROL!$C$16, $D$10, 100%, $F$10)</f>
        <v>32.974800000000002</v>
      </c>
      <c r="I960" s="8">
        <f>CHOOSE( CONTROL!$C$33, 31.5072, 31.5056) * CHOOSE(CONTROL!$C$16, $D$10, 100%, $F$10)</f>
        <v>31.507200000000001</v>
      </c>
      <c r="J960" s="4">
        <f>CHOOSE( CONTROL!$C$33, 31.3747, 31.3732) * CHOOSE(CONTROL!$C$16, $D$10, 100%, $F$10)</f>
        <v>31.374700000000001</v>
      </c>
      <c r="K960" s="4"/>
      <c r="L960" s="9">
        <v>29.7257</v>
      </c>
      <c r="M960" s="9">
        <v>11.6745</v>
      </c>
      <c r="N960" s="9">
        <v>4.7850000000000001</v>
      </c>
      <c r="O960" s="9">
        <v>0.36199999999999999</v>
      </c>
      <c r="P960" s="9">
        <v>1.2509999999999999</v>
      </c>
      <c r="Q960" s="9">
        <v>19.053000000000001</v>
      </c>
      <c r="R960" s="9"/>
      <c r="S960" s="11"/>
    </row>
    <row r="961" spans="1:19" ht="15" customHeight="1">
      <c r="A961" s="13">
        <v>70433</v>
      </c>
      <c r="B961" s="8">
        <f>CHOOSE( CONTROL!$C$33, 33.8239, 33.8228) * CHOOSE(CONTROL!$C$16, $D$10, 100%, $F$10)</f>
        <v>33.823900000000002</v>
      </c>
      <c r="C961" s="8">
        <f>CHOOSE( CONTROL!$C$33, 33.8293, 33.8281) * CHOOSE(CONTROL!$C$16, $D$10, 100%, $F$10)</f>
        <v>33.829300000000003</v>
      </c>
      <c r="D961" s="8">
        <f>CHOOSE( CONTROL!$C$33, 33.858, 33.8569) * CHOOSE( CONTROL!$C$16, $D$10, 100%, $F$10)</f>
        <v>33.857999999999997</v>
      </c>
      <c r="E961" s="12">
        <f>CHOOSE( CONTROL!$C$33, 33.848, 33.8468) * CHOOSE( CONTROL!$C$16, $D$10, 100%, $F$10)</f>
        <v>33.847999999999999</v>
      </c>
      <c r="F961" s="4">
        <f>CHOOSE( CONTROL!$C$33, 34.6025, 34.6014) * CHOOSE(CONTROL!$C$16, $D$10, 100%, $F$10)</f>
        <v>34.602499999999999</v>
      </c>
      <c r="G961" s="8">
        <f>CHOOSE( CONTROL!$C$33, 33.4151, 33.4139) * CHOOSE( CONTROL!$C$16, $D$10, 100%, $F$10)</f>
        <v>33.415100000000002</v>
      </c>
      <c r="H961" s="4">
        <f>CHOOSE( CONTROL!$C$33, 34.3936, 34.3925) * CHOOSE(CONTROL!$C$16, $D$10, 100%, $F$10)</f>
        <v>34.393599999999999</v>
      </c>
      <c r="I961" s="8">
        <f>CHOOSE( CONTROL!$C$33, 32.9017, 32.9006) * CHOOSE(CONTROL!$C$16, $D$10, 100%, $F$10)</f>
        <v>32.901699999999998</v>
      </c>
      <c r="J961" s="4">
        <f>CHOOSE( CONTROL!$C$33, 32.7679, 32.7669) * CHOOSE(CONTROL!$C$16, $D$10, 100%, $F$10)</f>
        <v>32.767899999999997</v>
      </c>
      <c r="K961" s="4"/>
      <c r="L961" s="9">
        <v>31.095300000000002</v>
      </c>
      <c r="M961" s="9">
        <v>12.063700000000001</v>
      </c>
      <c r="N961" s="9">
        <v>4.9444999999999997</v>
      </c>
      <c r="O961" s="9">
        <v>0.37409999999999999</v>
      </c>
      <c r="P961" s="9">
        <v>1.2927</v>
      </c>
      <c r="Q961" s="9">
        <v>19.688099999999999</v>
      </c>
      <c r="R961" s="9"/>
      <c r="S961" s="11"/>
    </row>
    <row r="962" spans="1:19" ht="15" customHeight="1">
      <c r="A962" s="13">
        <v>70463</v>
      </c>
      <c r="B962" s="8">
        <f>CHOOSE( CONTROL!$C$33, 36.4802, 36.4791) * CHOOSE(CONTROL!$C$16, $D$10, 100%, $F$10)</f>
        <v>36.480200000000004</v>
      </c>
      <c r="C962" s="8">
        <f>CHOOSE( CONTROL!$C$33, 36.4853, 36.4842) * CHOOSE(CONTROL!$C$16, $D$10, 100%, $F$10)</f>
        <v>36.485300000000002</v>
      </c>
      <c r="D962" s="8">
        <f>CHOOSE( CONTROL!$C$33, 36.465, 36.4639) * CHOOSE( CONTROL!$C$16, $D$10, 100%, $F$10)</f>
        <v>36.465000000000003</v>
      </c>
      <c r="E962" s="12">
        <f>CHOOSE( CONTROL!$C$33, 36.4719, 36.4708) * CHOOSE( CONTROL!$C$16, $D$10, 100%, $F$10)</f>
        <v>36.471899999999998</v>
      </c>
      <c r="F962" s="4">
        <f>CHOOSE( CONTROL!$C$33, 37.1431, 37.142) * CHOOSE(CONTROL!$C$16, $D$10, 100%, $F$10)</f>
        <v>37.143099999999997</v>
      </c>
      <c r="G962" s="8">
        <f>CHOOSE( CONTROL!$C$33, 36.0072, 36.0061) * CHOOSE( CONTROL!$C$16, $D$10, 100%, $F$10)</f>
        <v>36.007199999999997</v>
      </c>
      <c r="H962" s="4">
        <f>CHOOSE( CONTROL!$C$33, 36.8987, 36.8976) * CHOOSE(CONTROL!$C$16, $D$10, 100%, $F$10)</f>
        <v>36.898699999999998</v>
      </c>
      <c r="I962" s="8">
        <f>CHOOSE( CONTROL!$C$33, 35.5233, 35.5222) * CHOOSE(CONTROL!$C$16, $D$10, 100%, $F$10)</f>
        <v>35.523299999999999</v>
      </c>
      <c r="J962" s="4">
        <f>CHOOSE( CONTROL!$C$33, 35.3404, 35.3394) * CHOOSE(CONTROL!$C$16, $D$10, 100%, $F$10)</f>
        <v>35.340400000000002</v>
      </c>
      <c r="K962" s="4"/>
      <c r="L962" s="9">
        <v>28.360600000000002</v>
      </c>
      <c r="M962" s="9">
        <v>11.6745</v>
      </c>
      <c r="N962" s="9">
        <v>4.7850000000000001</v>
      </c>
      <c r="O962" s="9">
        <v>0.36199999999999999</v>
      </c>
      <c r="P962" s="9">
        <v>1.2509999999999999</v>
      </c>
      <c r="Q962" s="9">
        <v>19.053000000000001</v>
      </c>
      <c r="R962" s="9"/>
      <c r="S962" s="11"/>
    </row>
    <row r="963" spans="1:19" ht="15" customHeight="1">
      <c r="A963" s="13">
        <v>70494</v>
      </c>
      <c r="B963" s="8">
        <f>CHOOSE( CONTROL!$C$33, 36.4138, 36.4127) * CHOOSE(CONTROL!$C$16, $D$10, 100%, $F$10)</f>
        <v>36.413800000000002</v>
      </c>
      <c r="C963" s="8">
        <f>CHOOSE( CONTROL!$C$33, 36.4189, 36.4178) * CHOOSE(CONTROL!$C$16, $D$10, 100%, $F$10)</f>
        <v>36.418900000000001</v>
      </c>
      <c r="D963" s="8">
        <f>CHOOSE( CONTROL!$C$33, 36.4001, 36.3989) * CHOOSE( CONTROL!$C$16, $D$10, 100%, $F$10)</f>
        <v>36.400100000000002</v>
      </c>
      <c r="E963" s="12">
        <f>CHOOSE( CONTROL!$C$33, 36.4064, 36.4053) * CHOOSE( CONTROL!$C$16, $D$10, 100%, $F$10)</f>
        <v>36.406399999999998</v>
      </c>
      <c r="F963" s="4">
        <f>CHOOSE( CONTROL!$C$33, 37.0767, 37.0756) * CHOOSE(CONTROL!$C$16, $D$10, 100%, $F$10)</f>
        <v>37.076700000000002</v>
      </c>
      <c r="G963" s="8">
        <f>CHOOSE( CONTROL!$C$33, 35.9428, 35.9417) * CHOOSE( CONTROL!$C$16, $D$10, 100%, $F$10)</f>
        <v>35.942799999999998</v>
      </c>
      <c r="H963" s="4">
        <f>CHOOSE( CONTROL!$C$33, 36.8333, 36.8322) * CHOOSE(CONTROL!$C$16, $D$10, 100%, $F$10)</f>
        <v>36.833300000000001</v>
      </c>
      <c r="I963" s="8">
        <f>CHOOSE( CONTROL!$C$33, 35.4635, 35.4624) * CHOOSE(CONTROL!$C$16, $D$10, 100%, $F$10)</f>
        <v>35.463500000000003</v>
      </c>
      <c r="J963" s="4">
        <f>CHOOSE( CONTROL!$C$33, 35.2762, 35.2751) * CHOOSE(CONTROL!$C$16, $D$10, 100%, $F$10)</f>
        <v>35.276200000000003</v>
      </c>
      <c r="K963" s="4"/>
      <c r="L963" s="9">
        <v>29.306000000000001</v>
      </c>
      <c r="M963" s="9">
        <v>12.063700000000001</v>
      </c>
      <c r="N963" s="9">
        <v>4.9444999999999997</v>
      </c>
      <c r="O963" s="9">
        <v>0.37409999999999999</v>
      </c>
      <c r="P963" s="9">
        <v>1.2927</v>
      </c>
      <c r="Q963" s="9">
        <v>19.688099999999999</v>
      </c>
      <c r="R963" s="9"/>
      <c r="S963" s="11"/>
    </row>
    <row r="964" spans="1:19" ht="15" customHeight="1">
      <c r="A964" s="13">
        <v>70525</v>
      </c>
      <c r="B964" s="8">
        <f>CHOOSE( CONTROL!$C$33, 37.4884, 37.4873) * CHOOSE(CONTROL!$C$16, $D$10, 100%, $F$10)</f>
        <v>37.488399999999999</v>
      </c>
      <c r="C964" s="8">
        <f>CHOOSE( CONTROL!$C$33, 37.4935, 37.4924) * CHOOSE(CONTROL!$C$16, $D$10, 100%, $F$10)</f>
        <v>37.493499999999997</v>
      </c>
      <c r="D964" s="8">
        <f>CHOOSE( CONTROL!$C$33, 37.4859, 37.4847) * CHOOSE( CONTROL!$C$16, $D$10, 100%, $F$10)</f>
        <v>37.485900000000001</v>
      </c>
      <c r="E964" s="12">
        <f>CHOOSE( CONTROL!$C$33, 37.4881, 37.487) * CHOOSE( CONTROL!$C$16, $D$10, 100%, $F$10)</f>
        <v>37.488100000000003</v>
      </c>
      <c r="F964" s="4">
        <f>CHOOSE( CONTROL!$C$33, 38.1513, 38.1501) * CHOOSE(CONTROL!$C$16, $D$10, 100%, $F$10)</f>
        <v>38.151299999999999</v>
      </c>
      <c r="G964" s="8">
        <f>CHOOSE( CONTROL!$C$33, 37.0082, 37.0071) * CHOOSE( CONTROL!$C$16, $D$10, 100%, $F$10)</f>
        <v>37.008200000000002</v>
      </c>
      <c r="H964" s="4">
        <f>CHOOSE( CONTROL!$C$33, 37.8929, 37.8918) * CHOOSE(CONTROL!$C$16, $D$10, 100%, $F$10)</f>
        <v>37.892899999999997</v>
      </c>
      <c r="I964" s="8">
        <f>CHOOSE( CONTROL!$C$33, 36.4958, 36.4947) * CHOOSE(CONTROL!$C$16, $D$10, 100%, $F$10)</f>
        <v>36.495800000000003</v>
      </c>
      <c r="J964" s="4">
        <f>CHOOSE( CONTROL!$C$33, 36.3167, 36.3156) * CHOOSE(CONTROL!$C$16, $D$10, 100%, $F$10)</f>
        <v>36.316699999999997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" customHeight="1">
      <c r="A965" s="13">
        <v>70553</v>
      </c>
      <c r="B965" s="8">
        <f>CHOOSE( CONTROL!$C$33, 35.0638, 35.0627) * CHOOSE(CONTROL!$C$16, $D$10, 100%, $F$10)</f>
        <v>35.063800000000001</v>
      </c>
      <c r="C965" s="8">
        <f>CHOOSE( CONTROL!$C$33, 35.0689, 35.0678) * CHOOSE(CONTROL!$C$16, $D$10, 100%, $F$10)</f>
        <v>35.068899999999999</v>
      </c>
      <c r="D965" s="8">
        <f>CHOOSE( CONTROL!$C$33, 35.0611, 35.06) * CHOOSE( CONTROL!$C$16, $D$10, 100%, $F$10)</f>
        <v>35.061100000000003</v>
      </c>
      <c r="E965" s="12">
        <f>CHOOSE( CONTROL!$C$33, 35.0634, 35.0623) * CHOOSE( CONTROL!$C$16, $D$10, 100%, $F$10)</f>
        <v>35.063400000000001</v>
      </c>
      <c r="F965" s="4">
        <f>CHOOSE( CONTROL!$C$33, 35.7267, 35.7255) * CHOOSE(CONTROL!$C$16, $D$10, 100%, $F$10)</f>
        <v>35.726700000000001</v>
      </c>
      <c r="G965" s="8">
        <f>CHOOSE( CONTROL!$C$33, 34.6173, 34.6162) * CHOOSE( CONTROL!$C$16, $D$10, 100%, $F$10)</f>
        <v>34.6173</v>
      </c>
      <c r="H965" s="4">
        <f>CHOOSE( CONTROL!$C$33, 35.5021, 35.501) * CHOOSE(CONTROL!$C$16, $D$10, 100%, $F$10)</f>
        <v>35.502099999999999</v>
      </c>
      <c r="I965" s="8">
        <f>CHOOSE( CONTROL!$C$33, 34.1463, 34.1452) * CHOOSE(CONTROL!$C$16, $D$10, 100%, $F$10)</f>
        <v>34.146299999999997</v>
      </c>
      <c r="J965" s="4">
        <f>CHOOSE( CONTROL!$C$33, 33.9689, 33.9678) * CHOOSE(CONTROL!$C$16, $D$10, 100%, $F$10)</f>
        <v>33.968899999999998</v>
      </c>
      <c r="K965" s="4"/>
      <c r="L965" s="9">
        <v>26.469899999999999</v>
      </c>
      <c r="M965" s="9">
        <v>10.8962</v>
      </c>
      <c r="N965" s="9">
        <v>4.4660000000000002</v>
      </c>
      <c r="O965" s="9">
        <v>0.33789999999999998</v>
      </c>
      <c r="P965" s="9">
        <v>1.1676</v>
      </c>
      <c r="Q965" s="9">
        <v>17.782800000000002</v>
      </c>
      <c r="R965" s="9"/>
      <c r="S965" s="11"/>
    </row>
    <row r="966" spans="1:19" ht="15" customHeight="1">
      <c r="A966" s="13">
        <v>70584</v>
      </c>
      <c r="B966" s="8">
        <f>CHOOSE( CONTROL!$C$33, 34.317, 34.3159) * CHOOSE(CONTROL!$C$16, $D$10, 100%, $F$10)</f>
        <v>34.317</v>
      </c>
      <c r="C966" s="8">
        <f>CHOOSE( CONTROL!$C$33, 34.3221, 34.321) * CHOOSE(CONTROL!$C$16, $D$10, 100%, $F$10)</f>
        <v>34.322099999999999</v>
      </c>
      <c r="D966" s="8">
        <f>CHOOSE( CONTROL!$C$33, 34.3136, 34.3125) * CHOOSE( CONTROL!$C$16, $D$10, 100%, $F$10)</f>
        <v>34.313600000000001</v>
      </c>
      <c r="E966" s="12">
        <f>CHOOSE( CONTROL!$C$33, 34.3162, 34.3151) * CHOOSE( CONTROL!$C$16, $D$10, 100%, $F$10)</f>
        <v>34.316200000000002</v>
      </c>
      <c r="F966" s="4">
        <f>CHOOSE( CONTROL!$C$33, 34.9799, 34.9788) * CHOOSE(CONTROL!$C$16, $D$10, 100%, $F$10)</f>
        <v>34.979900000000001</v>
      </c>
      <c r="G966" s="8">
        <f>CHOOSE( CONTROL!$C$33, 33.8805, 33.8794) * CHOOSE( CONTROL!$C$16, $D$10, 100%, $F$10)</f>
        <v>33.880499999999998</v>
      </c>
      <c r="H966" s="4">
        <f>CHOOSE( CONTROL!$C$33, 34.7657, 34.7646) * CHOOSE(CONTROL!$C$16, $D$10, 100%, $F$10)</f>
        <v>34.765700000000002</v>
      </c>
      <c r="I966" s="8">
        <f>CHOOSE( CONTROL!$C$33, 33.4206, 33.4195) * CHOOSE(CONTROL!$C$16, $D$10, 100%, $F$10)</f>
        <v>33.4206</v>
      </c>
      <c r="J966" s="4">
        <f>CHOOSE( CONTROL!$C$33, 33.2458, 33.2448) * CHOOSE(CONTROL!$C$16, $D$10, 100%, $F$10)</f>
        <v>33.245800000000003</v>
      </c>
      <c r="K966" s="4"/>
      <c r="L966" s="9">
        <v>29.306000000000001</v>
      </c>
      <c r="M966" s="9">
        <v>12.063700000000001</v>
      </c>
      <c r="N966" s="9">
        <v>4.9444999999999997</v>
      </c>
      <c r="O966" s="9">
        <v>0.37409999999999999</v>
      </c>
      <c r="P966" s="9">
        <v>1.2927</v>
      </c>
      <c r="Q966" s="9">
        <v>19.688099999999999</v>
      </c>
      <c r="R966" s="9"/>
      <c r="S966" s="11"/>
    </row>
    <row r="967" spans="1:19" ht="15" customHeight="1">
      <c r="A967" s="13">
        <v>70614</v>
      </c>
      <c r="B967" s="8">
        <f>CHOOSE( CONTROL!$C$33, 34.8396, 34.8385) * CHOOSE(CONTROL!$C$16, $D$10, 100%, $F$10)</f>
        <v>34.839599999999997</v>
      </c>
      <c r="C967" s="8">
        <f>CHOOSE( CONTROL!$C$33, 34.8442, 34.843) * CHOOSE(CONTROL!$C$16, $D$10, 100%, $F$10)</f>
        <v>34.844200000000001</v>
      </c>
      <c r="D967" s="8">
        <f>CHOOSE( CONTROL!$C$33, 34.873, 34.8719) * CHOOSE( CONTROL!$C$16, $D$10, 100%, $F$10)</f>
        <v>34.872999999999998</v>
      </c>
      <c r="E967" s="12">
        <f>CHOOSE( CONTROL!$C$33, 34.863, 34.8618) * CHOOSE( CONTROL!$C$16, $D$10, 100%, $F$10)</f>
        <v>34.863</v>
      </c>
      <c r="F967" s="4">
        <f>CHOOSE( CONTROL!$C$33, 35.6179, 35.6168) * CHOOSE(CONTROL!$C$16, $D$10, 100%, $F$10)</f>
        <v>35.617899999999999</v>
      </c>
      <c r="G967" s="8">
        <f>CHOOSE( CONTROL!$C$33, 34.4159, 34.4148) * CHOOSE( CONTROL!$C$16, $D$10, 100%, $F$10)</f>
        <v>34.415900000000001</v>
      </c>
      <c r="H967" s="4">
        <f>CHOOSE( CONTROL!$C$33, 35.3948, 35.3937) * CHOOSE(CONTROL!$C$16, $D$10, 100%, $F$10)</f>
        <v>35.394799999999996</v>
      </c>
      <c r="I967" s="8">
        <f>CHOOSE( CONTROL!$C$33, 33.8841, 33.883) * CHOOSE(CONTROL!$C$16, $D$10, 100%, $F$10)</f>
        <v>33.884099999999997</v>
      </c>
      <c r="J967" s="4">
        <f>CHOOSE( CONTROL!$C$33, 33.7511, 33.75) * CHOOSE(CONTROL!$C$16, $D$10, 100%, $F$10)</f>
        <v>33.751100000000001</v>
      </c>
      <c r="K967" s="4"/>
      <c r="L967" s="9">
        <v>30.092199999999998</v>
      </c>
      <c r="M967" s="9">
        <v>11.6745</v>
      </c>
      <c r="N967" s="9">
        <v>4.7850000000000001</v>
      </c>
      <c r="O967" s="9">
        <v>0.36199999999999999</v>
      </c>
      <c r="P967" s="9">
        <v>1.2509999999999999</v>
      </c>
      <c r="Q967" s="9">
        <v>19.053000000000001</v>
      </c>
      <c r="R967" s="9"/>
      <c r="S967" s="11"/>
    </row>
    <row r="968" spans="1:19" ht="15" customHeight="1">
      <c r="A968" s="13">
        <v>70645</v>
      </c>
      <c r="B968" s="8">
        <f>CHOOSE( CONTROL!$C$33, 35.7702, 35.7686) * CHOOSE(CONTROL!$C$16, $D$10, 100%, $F$10)</f>
        <v>35.770200000000003</v>
      </c>
      <c r="C968" s="8">
        <f>CHOOSE( CONTROL!$C$33, 35.7782, 35.7766) * CHOOSE(CONTROL!$C$16, $D$10, 100%, $F$10)</f>
        <v>35.778199999999998</v>
      </c>
      <c r="D968" s="8">
        <f>CHOOSE( CONTROL!$C$33, 35.8004, 35.7988) * CHOOSE( CONTROL!$C$16, $D$10, 100%, $F$10)</f>
        <v>35.800400000000003</v>
      </c>
      <c r="E968" s="12">
        <f>CHOOSE( CONTROL!$C$33, 35.7911, 35.7895) * CHOOSE( CONTROL!$C$16, $D$10, 100%, $F$10)</f>
        <v>35.7911</v>
      </c>
      <c r="F968" s="4">
        <f>CHOOSE( CONTROL!$C$33, 36.5471, 36.5455) * CHOOSE(CONTROL!$C$16, $D$10, 100%, $F$10)</f>
        <v>36.5471</v>
      </c>
      <c r="G968" s="8">
        <f>CHOOSE( CONTROL!$C$33, 35.3321, 35.3306) * CHOOSE( CONTROL!$C$16, $D$10, 100%, $F$10)</f>
        <v>35.332099999999997</v>
      </c>
      <c r="H968" s="4">
        <f>CHOOSE( CONTROL!$C$33, 36.3111, 36.3095) * CHOOSE(CONTROL!$C$16, $D$10, 100%, $F$10)</f>
        <v>36.311100000000003</v>
      </c>
      <c r="I968" s="8">
        <f>CHOOSE( CONTROL!$C$33, 34.7839, 34.7824) * CHOOSE(CONTROL!$C$16, $D$10, 100%, $F$10)</f>
        <v>34.783900000000003</v>
      </c>
      <c r="J968" s="4">
        <f>CHOOSE( CONTROL!$C$33, 34.6508, 34.6493) * CHOOSE(CONTROL!$C$16, $D$10, 100%, $F$10)</f>
        <v>34.650799999999997</v>
      </c>
      <c r="K968" s="4"/>
      <c r="L968" s="9">
        <v>30.7165</v>
      </c>
      <c r="M968" s="9">
        <v>12.063700000000001</v>
      </c>
      <c r="N968" s="9">
        <v>4.9444999999999997</v>
      </c>
      <c r="O968" s="9">
        <v>0.37409999999999999</v>
      </c>
      <c r="P968" s="9">
        <v>1.2927</v>
      </c>
      <c r="Q968" s="9">
        <v>19.688099999999999</v>
      </c>
      <c r="R968" s="9"/>
      <c r="S968" s="11"/>
    </row>
    <row r="969" spans="1:19" ht="15" customHeight="1">
      <c r="A969" s="13">
        <v>70675</v>
      </c>
      <c r="B969" s="8">
        <f>CHOOSE( CONTROL!$C$33, 35.1948, 35.1933) * CHOOSE(CONTROL!$C$16, $D$10, 100%, $F$10)</f>
        <v>35.194800000000001</v>
      </c>
      <c r="C969" s="8">
        <f>CHOOSE( CONTROL!$C$33, 35.2028, 35.2013) * CHOOSE(CONTROL!$C$16, $D$10, 100%, $F$10)</f>
        <v>35.202800000000003</v>
      </c>
      <c r="D969" s="8">
        <f>CHOOSE( CONTROL!$C$33, 35.2252, 35.2237) * CHOOSE( CONTROL!$C$16, $D$10, 100%, $F$10)</f>
        <v>35.225200000000001</v>
      </c>
      <c r="E969" s="12">
        <f>CHOOSE( CONTROL!$C$33, 35.2159, 35.2144) * CHOOSE( CONTROL!$C$16, $D$10, 100%, $F$10)</f>
        <v>35.215899999999998</v>
      </c>
      <c r="F969" s="4">
        <f>CHOOSE( CONTROL!$C$33, 35.9718, 35.9702) * CHOOSE(CONTROL!$C$16, $D$10, 100%, $F$10)</f>
        <v>35.971800000000002</v>
      </c>
      <c r="G969" s="8">
        <f>CHOOSE( CONTROL!$C$33, 34.7649, 34.7634) * CHOOSE( CONTROL!$C$16, $D$10, 100%, $F$10)</f>
        <v>34.764899999999997</v>
      </c>
      <c r="H969" s="4">
        <f>CHOOSE( CONTROL!$C$33, 35.7438, 35.7422) * CHOOSE(CONTROL!$C$16, $D$10, 100%, $F$10)</f>
        <v>35.7438</v>
      </c>
      <c r="I969" s="8">
        <f>CHOOSE( CONTROL!$C$33, 34.2271, 34.2256) * CHOOSE(CONTROL!$C$16, $D$10, 100%, $F$10)</f>
        <v>34.2271</v>
      </c>
      <c r="J969" s="4">
        <f>CHOOSE( CONTROL!$C$33, 34.0938, 34.0922) * CHOOSE(CONTROL!$C$16, $D$10, 100%, $F$10)</f>
        <v>34.093800000000002</v>
      </c>
      <c r="K969" s="4"/>
      <c r="L969" s="9">
        <v>29.7257</v>
      </c>
      <c r="M969" s="9">
        <v>11.6745</v>
      </c>
      <c r="N969" s="9">
        <v>4.7850000000000001</v>
      </c>
      <c r="O969" s="9">
        <v>0.36199999999999999</v>
      </c>
      <c r="P969" s="9">
        <v>1.2509999999999999</v>
      </c>
      <c r="Q969" s="9">
        <v>19.053000000000001</v>
      </c>
      <c r="R969" s="9"/>
      <c r="S969" s="11"/>
    </row>
    <row r="970" spans="1:19" ht="15" customHeight="1">
      <c r="A970" s="13">
        <v>70706</v>
      </c>
      <c r="B970" s="8">
        <f>CHOOSE( CONTROL!$C$33, 36.7099, 36.7083) * CHOOSE(CONTROL!$C$16, $D$10, 100%, $F$10)</f>
        <v>36.709899999999998</v>
      </c>
      <c r="C970" s="8">
        <f>CHOOSE( CONTROL!$C$33, 36.7179, 36.7163) * CHOOSE(CONTROL!$C$16, $D$10, 100%, $F$10)</f>
        <v>36.7179</v>
      </c>
      <c r="D970" s="8">
        <f>CHOOSE( CONTROL!$C$33, 36.7405, 36.7389) * CHOOSE( CONTROL!$C$16, $D$10, 100%, $F$10)</f>
        <v>36.740499999999997</v>
      </c>
      <c r="E970" s="12">
        <f>CHOOSE( CONTROL!$C$33, 36.7311, 36.7295) * CHOOSE( CONTROL!$C$16, $D$10, 100%, $F$10)</f>
        <v>36.731099999999998</v>
      </c>
      <c r="F970" s="4">
        <f>CHOOSE( CONTROL!$C$33, 37.4868, 37.4852) * CHOOSE(CONTROL!$C$16, $D$10, 100%, $F$10)</f>
        <v>37.486800000000002</v>
      </c>
      <c r="G970" s="8">
        <f>CHOOSE( CONTROL!$C$33, 36.259, 36.2575) * CHOOSE( CONTROL!$C$16, $D$10, 100%, $F$10)</f>
        <v>36.259</v>
      </c>
      <c r="H970" s="4">
        <f>CHOOSE( CONTROL!$C$33, 37.2377, 37.2361) * CHOOSE(CONTROL!$C$16, $D$10, 100%, $F$10)</f>
        <v>37.237699999999997</v>
      </c>
      <c r="I970" s="8">
        <f>CHOOSE( CONTROL!$C$33, 35.6956, 35.6941) * CHOOSE(CONTROL!$C$16, $D$10, 100%, $F$10)</f>
        <v>35.695599999999999</v>
      </c>
      <c r="J970" s="4">
        <f>CHOOSE( CONTROL!$C$33, 35.5608, 35.5592) * CHOOSE(CONTROL!$C$16, $D$10, 100%, $F$10)</f>
        <v>35.5608</v>
      </c>
      <c r="K970" s="4"/>
      <c r="L970" s="9">
        <v>30.7165</v>
      </c>
      <c r="M970" s="9">
        <v>12.063700000000001</v>
      </c>
      <c r="N970" s="9">
        <v>4.9444999999999997</v>
      </c>
      <c r="O970" s="9">
        <v>0.37409999999999999</v>
      </c>
      <c r="P970" s="9">
        <v>1.2927</v>
      </c>
      <c r="Q970" s="9">
        <v>19.688099999999999</v>
      </c>
      <c r="R970" s="9"/>
      <c r="S970" s="11"/>
    </row>
    <row r="971" spans="1:19" ht="15" customHeight="1">
      <c r="A971" s="13">
        <v>70737</v>
      </c>
      <c r="B971" s="8">
        <f>CHOOSE( CONTROL!$C$33, 33.8751, 33.8735) * CHOOSE(CONTROL!$C$16, $D$10, 100%, $F$10)</f>
        <v>33.875100000000003</v>
      </c>
      <c r="C971" s="8">
        <f>CHOOSE( CONTROL!$C$33, 33.8831, 33.8815) * CHOOSE(CONTROL!$C$16, $D$10, 100%, $F$10)</f>
        <v>33.883099999999999</v>
      </c>
      <c r="D971" s="8">
        <f>CHOOSE( CONTROL!$C$33, 33.9058, 33.9042) * CHOOSE( CONTROL!$C$16, $D$10, 100%, $F$10)</f>
        <v>33.905799999999999</v>
      </c>
      <c r="E971" s="12">
        <f>CHOOSE( CONTROL!$C$33, 33.8964, 33.8948) * CHOOSE( CONTROL!$C$16, $D$10, 100%, $F$10)</f>
        <v>33.8964</v>
      </c>
      <c r="F971" s="4">
        <f>CHOOSE( CONTROL!$C$33, 34.652, 34.6504) * CHOOSE(CONTROL!$C$16, $D$10, 100%, $F$10)</f>
        <v>34.652000000000001</v>
      </c>
      <c r="G971" s="8">
        <f>CHOOSE( CONTROL!$C$33, 33.4638, 33.4623) * CHOOSE( CONTROL!$C$16, $D$10, 100%, $F$10)</f>
        <v>33.463799999999999</v>
      </c>
      <c r="H971" s="4">
        <f>CHOOSE( CONTROL!$C$33, 34.4424, 34.4409) * CHOOSE(CONTROL!$C$16, $D$10, 100%, $F$10)</f>
        <v>34.442399999999999</v>
      </c>
      <c r="I971" s="8">
        <f>CHOOSE( CONTROL!$C$33, 32.9495, 32.948) * CHOOSE(CONTROL!$C$16, $D$10, 100%, $F$10)</f>
        <v>32.9495</v>
      </c>
      <c r="J971" s="4">
        <f>CHOOSE( CONTROL!$C$33, 32.8159, 32.8143) * CHOOSE(CONTROL!$C$16, $D$10, 100%, $F$10)</f>
        <v>32.815899999999999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1.2927</v>
      </c>
      <c r="Q971" s="9">
        <v>19.688099999999999</v>
      </c>
      <c r="R971" s="9"/>
      <c r="S971" s="11"/>
    </row>
    <row r="972" spans="1:19" ht="15" customHeight="1">
      <c r="A972" s="13">
        <v>70767</v>
      </c>
      <c r="B972" s="8">
        <f>CHOOSE( CONTROL!$C$33, 33.1652, 33.1637) * CHOOSE(CONTROL!$C$16, $D$10, 100%, $F$10)</f>
        <v>33.165199999999999</v>
      </c>
      <c r="C972" s="8">
        <f>CHOOSE( CONTROL!$C$33, 33.1732, 33.1717) * CHOOSE(CONTROL!$C$16, $D$10, 100%, $F$10)</f>
        <v>33.173200000000001</v>
      </c>
      <c r="D972" s="8">
        <f>CHOOSE( CONTROL!$C$33, 33.1958, 33.1942) * CHOOSE( CONTROL!$C$16, $D$10, 100%, $F$10)</f>
        <v>33.195799999999998</v>
      </c>
      <c r="E972" s="12">
        <f>CHOOSE( CONTROL!$C$33, 33.1864, 33.1848) * CHOOSE( CONTROL!$C$16, $D$10, 100%, $F$10)</f>
        <v>33.186399999999999</v>
      </c>
      <c r="F972" s="4">
        <f>CHOOSE( CONTROL!$C$33, 33.9422, 33.9406) * CHOOSE(CONTROL!$C$16, $D$10, 100%, $F$10)</f>
        <v>33.9422</v>
      </c>
      <c r="G972" s="8">
        <f>CHOOSE( CONTROL!$C$33, 32.7638, 32.7622) * CHOOSE( CONTROL!$C$16, $D$10, 100%, $F$10)</f>
        <v>32.763800000000003</v>
      </c>
      <c r="H972" s="4">
        <f>CHOOSE( CONTROL!$C$33, 33.7425, 33.7409) * CHOOSE(CONTROL!$C$16, $D$10, 100%, $F$10)</f>
        <v>33.7425</v>
      </c>
      <c r="I972" s="8">
        <f>CHOOSE( CONTROL!$C$33, 32.2614, 32.2598) * CHOOSE(CONTROL!$C$16, $D$10, 100%, $F$10)</f>
        <v>32.261400000000002</v>
      </c>
      <c r="J972" s="4">
        <f>CHOOSE( CONTROL!$C$33, 32.1285, 32.127) * CHOOSE(CONTROL!$C$16, $D$10, 100%, $F$10)</f>
        <v>32.128500000000003</v>
      </c>
      <c r="K972" s="4"/>
      <c r="L972" s="9">
        <v>29.7257</v>
      </c>
      <c r="M972" s="9">
        <v>11.6745</v>
      </c>
      <c r="N972" s="9">
        <v>4.7850000000000001</v>
      </c>
      <c r="O972" s="9">
        <v>0.36199999999999999</v>
      </c>
      <c r="P972" s="9">
        <v>1.2509999999999999</v>
      </c>
      <c r="Q972" s="9">
        <v>19.053000000000001</v>
      </c>
      <c r="R972" s="9"/>
      <c r="S972" s="11"/>
    </row>
    <row r="973" spans="1:19" ht="15" customHeight="1">
      <c r="A973" s="13">
        <v>70798</v>
      </c>
      <c r="B973" s="8">
        <f>CHOOSE( CONTROL!$C$33, 34.637, 34.6359) * CHOOSE(CONTROL!$C$16, $D$10, 100%, $F$10)</f>
        <v>34.637</v>
      </c>
      <c r="C973" s="8">
        <f>CHOOSE( CONTROL!$C$33, 34.6423, 34.6412) * CHOOSE(CONTROL!$C$16, $D$10, 100%, $F$10)</f>
        <v>34.642299999999999</v>
      </c>
      <c r="D973" s="8">
        <f>CHOOSE( CONTROL!$C$33, 34.6711, 34.67) * CHOOSE( CONTROL!$C$16, $D$10, 100%, $F$10)</f>
        <v>34.671100000000003</v>
      </c>
      <c r="E973" s="12">
        <f>CHOOSE( CONTROL!$C$33, 34.661, 34.6599) * CHOOSE( CONTROL!$C$16, $D$10, 100%, $F$10)</f>
        <v>34.661000000000001</v>
      </c>
      <c r="F973" s="4">
        <f>CHOOSE( CONTROL!$C$33, 35.4156, 35.4145) * CHOOSE(CONTROL!$C$16, $D$10, 100%, $F$10)</f>
        <v>35.415599999999998</v>
      </c>
      <c r="G973" s="8">
        <f>CHOOSE( CONTROL!$C$33, 34.2168, 34.2157) * CHOOSE( CONTROL!$C$16, $D$10, 100%, $F$10)</f>
        <v>34.216799999999999</v>
      </c>
      <c r="H973" s="4">
        <f>CHOOSE( CONTROL!$C$33, 35.1954, 35.1943) * CHOOSE(CONTROL!$C$16, $D$10, 100%, $F$10)</f>
        <v>35.195399999999999</v>
      </c>
      <c r="I973" s="8">
        <f>CHOOSE( CONTROL!$C$33, 33.6894, 33.6883) * CHOOSE(CONTROL!$C$16, $D$10, 100%, $F$10)</f>
        <v>33.689399999999999</v>
      </c>
      <c r="J973" s="4">
        <f>CHOOSE( CONTROL!$C$33, 33.5553, 33.5542) * CHOOSE(CONTROL!$C$16, $D$10, 100%, $F$10)</f>
        <v>33.555300000000003</v>
      </c>
      <c r="K973" s="4"/>
      <c r="L973" s="9">
        <v>31.095300000000002</v>
      </c>
      <c r="M973" s="9">
        <v>12.063700000000001</v>
      </c>
      <c r="N973" s="9">
        <v>4.9444999999999997</v>
      </c>
      <c r="O973" s="9">
        <v>0.37409999999999999</v>
      </c>
      <c r="P973" s="9">
        <v>1.2927</v>
      </c>
      <c r="Q973" s="9">
        <v>19.688099999999999</v>
      </c>
      <c r="R973" s="9"/>
      <c r="S973" s="11"/>
    </row>
    <row r="974" spans="1:19" ht="15" customHeight="1">
      <c r="A974" s="13">
        <v>70828</v>
      </c>
      <c r="B974" s="8">
        <f>CHOOSE( CONTROL!$C$33, 37.3571, 37.356) * CHOOSE(CONTROL!$C$16, $D$10, 100%, $F$10)</f>
        <v>37.357100000000003</v>
      </c>
      <c r="C974" s="8">
        <f>CHOOSE( CONTROL!$C$33, 37.3622, 37.3611) * CHOOSE(CONTROL!$C$16, $D$10, 100%, $F$10)</f>
        <v>37.362200000000001</v>
      </c>
      <c r="D974" s="8">
        <f>CHOOSE( CONTROL!$C$33, 37.3419, 37.3408) * CHOOSE( CONTROL!$C$16, $D$10, 100%, $F$10)</f>
        <v>37.341900000000003</v>
      </c>
      <c r="E974" s="12">
        <f>CHOOSE( CONTROL!$C$33, 37.3488, 37.3477) * CHOOSE( CONTROL!$C$16, $D$10, 100%, $F$10)</f>
        <v>37.348799999999997</v>
      </c>
      <c r="F974" s="4">
        <f>CHOOSE( CONTROL!$C$33, 38.02, 38.0189) * CHOOSE(CONTROL!$C$16, $D$10, 100%, $F$10)</f>
        <v>38.020000000000003</v>
      </c>
      <c r="G974" s="8">
        <f>CHOOSE( CONTROL!$C$33, 36.8719, 36.8708) * CHOOSE( CONTROL!$C$16, $D$10, 100%, $F$10)</f>
        <v>36.871899999999997</v>
      </c>
      <c r="H974" s="4">
        <f>CHOOSE( CONTROL!$C$33, 37.7634, 37.7623) * CHOOSE(CONTROL!$C$16, $D$10, 100%, $F$10)</f>
        <v>37.763399999999997</v>
      </c>
      <c r="I974" s="8">
        <f>CHOOSE( CONTROL!$C$33, 36.3728, 36.3717) * CHOOSE(CONTROL!$C$16, $D$10, 100%, $F$10)</f>
        <v>36.372799999999998</v>
      </c>
      <c r="J974" s="4">
        <f>CHOOSE( CONTROL!$C$33, 36.1896, 36.1885) * CHOOSE(CONTROL!$C$16, $D$10, 100%, $F$10)</f>
        <v>36.189599999999999</v>
      </c>
      <c r="K974" s="4"/>
      <c r="L974" s="9">
        <v>28.360600000000002</v>
      </c>
      <c r="M974" s="9">
        <v>11.6745</v>
      </c>
      <c r="N974" s="9">
        <v>4.7850000000000001</v>
      </c>
      <c r="O974" s="9">
        <v>0.36199999999999999</v>
      </c>
      <c r="P974" s="9">
        <v>1.2509999999999999</v>
      </c>
      <c r="Q974" s="9">
        <v>19.053000000000001</v>
      </c>
      <c r="R974" s="9"/>
      <c r="S974" s="11"/>
    </row>
    <row r="975" spans="1:19" ht="15" customHeight="1">
      <c r="A975" s="13">
        <v>70859</v>
      </c>
      <c r="B975" s="8">
        <f>CHOOSE( CONTROL!$C$33, 37.2892, 37.288) * CHOOSE(CONTROL!$C$16, $D$10, 100%, $F$10)</f>
        <v>37.289200000000001</v>
      </c>
      <c r="C975" s="8">
        <f>CHOOSE( CONTROL!$C$33, 37.2943, 37.2931) * CHOOSE(CONTROL!$C$16, $D$10, 100%, $F$10)</f>
        <v>37.2943</v>
      </c>
      <c r="D975" s="8">
        <f>CHOOSE( CONTROL!$C$33, 37.2754, 37.2743) * CHOOSE( CONTROL!$C$16, $D$10, 100%, $F$10)</f>
        <v>37.275399999999998</v>
      </c>
      <c r="E975" s="12">
        <f>CHOOSE( CONTROL!$C$33, 37.2818, 37.2806) * CHOOSE( CONTROL!$C$16, $D$10, 100%, $F$10)</f>
        <v>37.281799999999997</v>
      </c>
      <c r="F975" s="4">
        <f>CHOOSE( CONTROL!$C$33, 37.952, 37.9509) * CHOOSE(CONTROL!$C$16, $D$10, 100%, $F$10)</f>
        <v>37.951999999999998</v>
      </c>
      <c r="G975" s="8">
        <f>CHOOSE( CONTROL!$C$33, 36.8059, 36.8048) * CHOOSE( CONTROL!$C$16, $D$10, 100%, $F$10)</f>
        <v>36.805900000000001</v>
      </c>
      <c r="H975" s="4">
        <f>CHOOSE( CONTROL!$C$33, 37.6964, 37.6953) * CHOOSE(CONTROL!$C$16, $D$10, 100%, $F$10)</f>
        <v>37.696399999999997</v>
      </c>
      <c r="I975" s="8">
        <f>CHOOSE( CONTROL!$C$33, 36.3115, 36.3104) * CHOOSE(CONTROL!$C$16, $D$10, 100%, $F$10)</f>
        <v>36.311500000000002</v>
      </c>
      <c r="J975" s="4">
        <f>CHOOSE( CONTROL!$C$33, 36.1237, 36.1227) * CHOOSE(CONTROL!$C$16, $D$10, 100%, $F$10)</f>
        <v>36.123699999999999</v>
      </c>
      <c r="K975" s="4"/>
      <c r="L975" s="9">
        <v>29.306000000000001</v>
      </c>
      <c r="M975" s="9">
        <v>12.063700000000001</v>
      </c>
      <c r="N975" s="9">
        <v>4.9444999999999997</v>
      </c>
      <c r="O975" s="9">
        <v>0.37409999999999999</v>
      </c>
      <c r="P975" s="9">
        <v>1.2927</v>
      </c>
      <c r="Q975" s="9">
        <v>19.688099999999999</v>
      </c>
      <c r="R975" s="9"/>
      <c r="S975" s="11"/>
    </row>
    <row r="976" spans="1:19" ht="15" customHeight="1">
      <c r="A976" s="13">
        <v>70890</v>
      </c>
      <c r="B976" s="8">
        <f>CHOOSE( CONTROL!$C$33, 38.3895, 38.3884) * CHOOSE(CONTROL!$C$16, $D$10, 100%, $F$10)</f>
        <v>38.389499999999998</v>
      </c>
      <c r="C976" s="8">
        <f>CHOOSE( CONTROL!$C$33, 38.3946, 38.3935) * CHOOSE(CONTROL!$C$16, $D$10, 100%, $F$10)</f>
        <v>38.394599999999997</v>
      </c>
      <c r="D976" s="8">
        <f>CHOOSE( CONTROL!$C$33, 38.387, 38.3859) * CHOOSE( CONTROL!$C$16, $D$10, 100%, $F$10)</f>
        <v>38.387</v>
      </c>
      <c r="E976" s="12">
        <f>CHOOSE( CONTROL!$C$33, 38.3892, 38.3881) * CHOOSE( CONTROL!$C$16, $D$10, 100%, $F$10)</f>
        <v>38.389200000000002</v>
      </c>
      <c r="F976" s="4">
        <f>CHOOSE( CONTROL!$C$33, 39.0524, 39.0513) * CHOOSE(CONTROL!$C$16, $D$10, 100%, $F$10)</f>
        <v>39.052399999999999</v>
      </c>
      <c r="G976" s="8">
        <f>CHOOSE( CONTROL!$C$33, 37.8968, 37.8957) * CHOOSE( CONTROL!$C$16, $D$10, 100%, $F$10)</f>
        <v>37.896799999999999</v>
      </c>
      <c r="H976" s="4">
        <f>CHOOSE( CONTROL!$C$33, 38.7814, 38.7803) * CHOOSE(CONTROL!$C$16, $D$10, 100%, $F$10)</f>
        <v>38.781399999999998</v>
      </c>
      <c r="I976" s="8">
        <f>CHOOSE( CONTROL!$C$33, 37.3688, 37.3677) * CHOOSE(CONTROL!$C$16, $D$10, 100%, $F$10)</f>
        <v>37.3688</v>
      </c>
      <c r="J976" s="4">
        <f>CHOOSE( CONTROL!$C$33, 37.1892, 37.1882) * CHOOSE(CONTROL!$C$16, $D$10, 100%, $F$10)</f>
        <v>37.1892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" customHeight="1">
      <c r="A977" s="13">
        <v>70918</v>
      </c>
      <c r="B977" s="8">
        <f>CHOOSE( CONTROL!$C$33, 35.9067, 35.9056) * CHOOSE(CONTROL!$C$16, $D$10, 100%, $F$10)</f>
        <v>35.906700000000001</v>
      </c>
      <c r="C977" s="8">
        <f>CHOOSE( CONTROL!$C$33, 35.9118, 35.9107) * CHOOSE(CONTROL!$C$16, $D$10, 100%, $F$10)</f>
        <v>35.911799999999999</v>
      </c>
      <c r="D977" s="8">
        <f>CHOOSE( CONTROL!$C$33, 35.904, 35.9028) * CHOOSE( CONTROL!$C$16, $D$10, 100%, $F$10)</f>
        <v>35.904000000000003</v>
      </c>
      <c r="E977" s="12">
        <f>CHOOSE( CONTROL!$C$33, 35.9063, 35.9051) * CHOOSE( CONTROL!$C$16, $D$10, 100%, $F$10)</f>
        <v>35.906300000000002</v>
      </c>
      <c r="F977" s="4">
        <f>CHOOSE( CONTROL!$C$33, 36.5695, 36.5684) * CHOOSE(CONTROL!$C$16, $D$10, 100%, $F$10)</f>
        <v>36.569499999999998</v>
      </c>
      <c r="G977" s="8">
        <f>CHOOSE( CONTROL!$C$33, 35.4485, 35.4473) * CHOOSE( CONTROL!$C$16, $D$10, 100%, $F$10)</f>
        <v>35.448500000000003</v>
      </c>
      <c r="H977" s="4">
        <f>CHOOSE( CONTROL!$C$33, 36.3332, 36.3321) * CHOOSE(CONTROL!$C$16, $D$10, 100%, $F$10)</f>
        <v>36.333199999999998</v>
      </c>
      <c r="I977" s="8">
        <f>CHOOSE( CONTROL!$C$33, 34.9629, 34.9618) * CHOOSE(CONTROL!$C$16, $D$10, 100%, $F$10)</f>
        <v>34.962899999999998</v>
      </c>
      <c r="J977" s="4">
        <f>CHOOSE( CONTROL!$C$33, 34.7851, 34.784) * CHOOSE(CONTROL!$C$16, $D$10, 100%, $F$10)</f>
        <v>34.7851</v>
      </c>
      <c r="K977" s="4"/>
      <c r="L977" s="9">
        <v>26.469899999999999</v>
      </c>
      <c r="M977" s="9">
        <v>10.8962</v>
      </c>
      <c r="N977" s="9">
        <v>4.4660000000000002</v>
      </c>
      <c r="O977" s="9">
        <v>0.33789999999999998</v>
      </c>
      <c r="P977" s="9">
        <v>1.1676</v>
      </c>
      <c r="Q977" s="9">
        <v>17.782800000000002</v>
      </c>
      <c r="R977" s="9"/>
      <c r="S977" s="11"/>
    </row>
    <row r="978" spans="1:19" ht="15" customHeight="1">
      <c r="A978" s="13">
        <v>70949</v>
      </c>
      <c r="B978" s="8">
        <f>CHOOSE( CONTROL!$C$33, 35.142, 35.1408) * CHOOSE(CONTROL!$C$16, $D$10, 100%, $F$10)</f>
        <v>35.142000000000003</v>
      </c>
      <c r="C978" s="8">
        <f>CHOOSE( CONTROL!$C$33, 35.1471, 35.1459) * CHOOSE(CONTROL!$C$16, $D$10, 100%, $F$10)</f>
        <v>35.147100000000002</v>
      </c>
      <c r="D978" s="8">
        <f>CHOOSE( CONTROL!$C$33, 35.1385, 35.1374) * CHOOSE( CONTROL!$C$16, $D$10, 100%, $F$10)</f>
        <v>35.138500000000001</v>
      </c>
      <c r="E978" s="12">
        <f>CHOOSE( CONTROL!$C$33, 35.1411, 35.14) * CHOOSE( CONTROL!$C$16, $D$10, 100%, $F$10)</f>
        <v>35.141100000000002</v>
      </c>
      <c r="F978" s="4">
        <f>CHOOSE( CONTROL!$C$33, 35.8048, 35.8037) * CHOOSE(CONTROL!$C$16, $D$10, 100%, $F$10)</f>
        <v>35.8048</v>
      </c>
      <c r="G978" s="8">
        <f>CHOOSE( CONTROL!$C$33, 34.6939, 34.6928) * CHOOSE( CONTROL!$C$16, $D$10, 100%, $F$10)</f>
        <v>34.693899999999999</v>
      </c>
      <c r="H978" s="4">
        <f>CHOOSE( CONTROL!$C$33, 35.5792, 35.5781) * CHOOSE(CONTROL!$C$16, $D$10, 100%, $F$10)</f>
        <v>35.5792</v>
      </c>
      <c r="I978" s="8">
        <f>CHOOSE( CONTROL!$C$33, 34.2197, 34.2187) * CHOOSE(CONTROL!$C$16, $D$10, 100%, $F$10)</f>
        <v>34.219700000000003</v>
      </c>
      <c r="J978" s="4">
        <f>CHOOSE( CONTROL!$C$33, 34.0446, 34.0435) * CHOOSE(CONTROL!$C$16, $D$10, 100%, $F$10)</f>
        <v>34.044600000000003</v>
      </c>
      <c r="K978" s="4"/>
      <c r="L978" s="9">
        <v>29.306000000000001</v>
      </c>
      <c r="M978" s="9">
        <v>12.063700000000001</v>
      </c>
      <c r="N978" s="9">
        <v>4.9444999999999997</v>
      </c>
      <c r="O978" s="9">
        <v>0.37409999999999999</v>
      </c>
      <c r="P978" s="9">
        <v>1.2927</v>
      </c>
      <c r="Q978" s="9">
        <v>19.688099999999999</v>
      </c>
      <c r="R978" s="9"/>
      <c r="S978" s="11"/>
    </row>
    <row r="979" spans="1:19" ht="15" customHeight="1">
      <c r="A979" s="13">
        <v>70979</v>
      </c>
      <c r="B979" s="8">
        <f>CHOOSE( CONTROL!$C$33, 35.6771, 35.676) * CHOOSE(CONTROL!$C$16, $D$10, 100%, $F$10)</f>
        <v>35.677100000000003</v>
      </c>
      <c r="C979" s="8">
        <f>CHOOSE( CONTROL!$C$33, 35.6816, 35.6805) * CHOOSE(CONTROL!$C$16, $D$10, 100%, $F$10)</f>
        <v>35.681600000000003</v>
      </c>
      <c r="D979" s="8">
        <f>CHOOSE( CONTROL!$C$33, 35.7105, 35.7094) * CHOOSE( CONTROL!$C$16, $D$10, 100%, $F$10)</f>
        <v>35.710500000000003</v>
      </c>
      <c r="E979" s="12">
        <f>CHOOSE( CONTROL!$C$33, 35.7004, 35.6993) * CHOOSE( CONTROL!$C$16, $D$10, 100%, $F$10)</f>
        <v>35.700400000000002</v>
      </c>
      <c r="F979" s="4">
        <f>CHOOSE( CONTROL!$C$33, 36.4554, 36.4543) * CHOOSE(CONTROL!$C$16, $D$10, 100%, $F$10)</f>
        <v>36.455399999999997</v>
      </c>
      <c r="G979" s="8">
        <f>CHOOSE( CONTROL!$C$33, 35.2417, 35.2406) * CHOOSE( CONTROL!$C$16, $D$10, 100%, $F$10)</f>
        <v>35.241700000000002</v>
      </c>
      <c r="H979" s="4">
        <f>CHOOSE( CONTROL!$C$33, 36.2206, 36.2195) * CHOOSE(CONTROL!$C$16, $D$10, 100%, $F$10)</f>
        <v>36.220599999999997</v>
      </c>
      <c r="I979" s="8">
        <f>CHOOSE( CONTROL!$C$33, 34.6954, 34.6943) * CHOOSE(CONTROL!$C$16, $D$10, 100%, $F$10)</f>
        <v>34.695399999999999</v>
      </c>
      <c r="J979" s="4">
        <f>CHOOSE( CONTROL!$C$33, 34.5621, 34.561) * CHOOSE(CONTROL!$C$16, $D$10, 100%, $F$10)</f>
        <v>34.562100000000001</v>
      </c>
      <c r="K979" s="4"/>
      <c r="L979" s="9">
        <v>30.092199999999998</v>
      </c>
      <c r="M979" s="9">
        <v>11.6745</v>
      </c>
      <c r="N979" s="9">
        <v>4.7850000000000001</v>
      </c>
      <c r="O979" s="9">
        <v>0.36199999999999999</v>
      </c>
      <c r="P979" s="9">
        <v>1.2509999999999999</v>
      </c>
      <c r="Q979" s="9">
        <v>19.053000000000001</v>
      </c>
      <c r="R979" s="9"/>
      <c r="S979" s="11"/>
    </row>
    <row r="980" spans="1:19" ht="15" customHeight="1">
      <c r="A980" s="13">
        <v>71010</v>
      </c>
      <c r="B980" s="8">
        <f>CHOOSE( CONTROL!$C$33, 36.63, 36.6284) * CHOOSE(CONTROL!$C$16, $D$10, 100%, $F$10)</f>
        <v>36.630000000000003</v>
      </c>
      <c r="C980" s="8">
        <f>CHOOSE( CONTROL!$C$33, 36.638, 36.6364) * CHOOSE(CONTROL!$C$16, $D$10, 100%, $F$10)</f>
        <v>36.637999999999998</v>
      </c>
      <c r="D980" s="8">
        <f>CHOOSE( CONTROL!$C$33, 36.6602, 36.6586) * CHOOSE( CONTROL!$C$16, $D$10, 100%, $F$10)</f>
        <v>36.660200000000003</v>
      </c>
      <c r="E980" s="12">
        <f>CHOOSE( CONTROL!$C$33, 36.6509, 36.6493) * CHOOSE( CONTROL!$C$16, $D$10, 100%, $F$10)</f>
        <v>36.6509</v>
      </c>
      <c r="F980" s="4">
        <f>CHOOSE( CONTROL!$C$33, 37.4069, 37.4053) * CHOOSE(CONTROL!$C$16, $D$10, 100%, $F$10)</f>
        <v>37.4069</v>
      </c>
      <c r="G980" s="8">
        <f>CHOOSE( CONTROL!$C$33, 36.1799, 36.1784) * CHOOSE( CONTROL!$C$16, $D$10, 100%, $F$10)</f>
        <v>36.179900000000004</v>
      </c>
      <c r="H980" s="4">
        <f>CHOOSE( CONTROL!$C$33, 37.1589, 37.1573) * CHOOSE(CONTROL!$C$16, $D$10, 100%, $F$10)</f>
        <v>37.158900000000003</v>
      </c>
      <c r="I980" s="8">
        <f>CHOOSE( CONTROL!$C$33, 35.6168, 35.6153) * CHOOSE(CONTROL!$C$16, $D$10, 100%, $F$10)</f>
        <v>35.616799999999998</v>
      </c>
      <c r="J980" s="4">
        <f>CHOOSE( CONTROL!$C$33, 35.4834, 35.4819) * CHOOSE(CONTROL!$C$16, $D$10, 100%, $F$10)</f>
        <v>35.483400000000003</v>
      </c>
      <c r="K980" s="4"/>
      <c r="L980" s="9">
        <v>30.7165</v>
      </c>
      <c r="M980" s="9">
        <v>12.063700000000001</v>
      </c>
      <c r="N980" s="9">
        <v>4.9444999999999997</v>
      </c>
      <c r="O980" s="9">
        <v>0.37409999999999999</v>
      </c>
      <c r="P980" s="9">
        <v>1.2927</v>
      </c>
      <c r="Q980" s="9">
        <v>19.688099999999999</v>
      </c>
      <c r="R980" s="9"/>
      <c r="S980" s="11"/>
    </row>
    <row r="981" spans="1:19" ht="15" customHeight="1">
      <c r="A981" s="13">
        <v>71040</v>
      </c>
      <c r="B981" s="8">
        <f>CHOOSE( CONTROL!$C$33, 36.0408, 36.0392) * CHOOSE(CONTROL!$C$16, $D$10, 100%, $F$10)</f>
        <v>36.040799999999997</v>
      </c>
      <c r="C981" s="8">
        <f>CHOOSE( CONTROL!$C$33, 36.0488, 36.0472) * CHOOSE(CONTROL!$C$16, $D$10, 100%, $F$10)</f>
        <v>36.0488</v>
      </c>
      <c r="D981" s="8">
        <f>CHOOSE( CONTROL!$C$33, 36.0712, 36.0696) * CHOOSE( CONTROL!$C$16, $D$10, 100%, $F$10)</f>
        <v>36.071199999999997</v>
      </c>
      <c r="E981" s="12">
        <f>CHOOSE( CONTROL!$C$33, 36.0619, 36.0603) * CHOOSE( CONTROL!$C$16, $D$10, 100%, $F$10)</f>
        <v>36.061900000000001</v>
      </c>
      <c r="F981" s="4">
        <f>CHOOSE( CONTROL!$C$33, 36.8177, 36.8162) * CHOOSE(CONTROL!$C$16, $D$10, 100%, $F$10)</f>
        <v>36.817700000000002</v>
      </c>
      <c r="G981" s="8">
        <f>CHOOSE( CONTROL!$C$33, 35.5991, 35.5976) * CHOOSE( CONTROL!$C$16, $D$10, 100%, $F$10)</f>
        <v>35.5991</v>
      </c>
      <c r="H981" s="4">
        <f>CHOOSE( CONTROL!$C$33, 36.5779, 36.5764) * CHOOSE(CONTROL!$C$16, $D$10, 100%, $F$10)</f>
        <v>36.5779</v>
      </c>
      <c r="I981" s="8">
        <f>CHOOSE( CONTROL!$C$33, 35.0467, 35.0451) * CHOOSE(CONTROL!$C$16, $D$10, 100%, $F$10)</f>
        <v>35.046700000000001</v>
      </c>
      <c r="J981" s="4">
        <f>CHOOSE( CONTROL!$C$33, 34.9129, 34.9114) * CHOOSE(CONTROL!$C$16, $D$10, 100%, $F$10)</f>
        <v>34.9129</v>
      </c>
      <c r="K981" s="4"/>
      <c r="L981" s="9">
        <v>29.7257</v>
      </c>
      <c r="M981" s="9">
        <v>11.6745</v>
      </c>
      <c r="N981" s="9">
        <v>4.7850000000000001</v>
      </c>
      <c r="O981" s="9">
        <v>0.36199999999999999</v>
      </c>
      <c r="P981" s="9">
        <v>1.2509999999999999</v>
      </c>
      <c r="Q981" s="9">
        <v>19.053000000000001</v>
      </c>
      <c r="R981" s="9"/>
      <c r="S981" s="11"/>
    </row>
    <row r="982" spans="1:19" ht="15" customHeight="1">
      <c r="A982" s="13">
        <v>71071</v>
      </c>
      <c r="B982" s="8">
        <f>CHOOSE( CONTROL!$C$33, 37.5922, 37.5907) * CHOOSE(CONTROL!$C$16, $D$10, 100%, $F$10)</f>
        <v>37.592199999999998</v>
      </c>
      <c r="C982" s="8">
        <f>CHOOSE( CONTROL!$C$33, 37.6002, 37.5987) * CHOOSE(CONTROL!$C$16, $D$10, 100%, $F$10)</f>
        <v>37.600200000000001</v>
      </c>
      <c r="D982" s="8">
        <f>CHOOSE( CONTROL!$C$33, 37.6229, 37.6213) * CHOOSE( CONTROL!$C$16, $D$10, 100%, $F$10)</f>
        <v>37.622900000000001</v>
      </c>
      <c r="E982" s="12">
        <f>CHOOSE( CONTROL!$C$33, 37.6135, 37.6119) * CHOOSE( CONTROL!$C$16, $D$10, 100%, $F$10)</f>
        <v>37.613500000000002</v>
      </c>
      <c r="F982" s="4">
        <f>CHOOSE( CONTROL!$C$33, 38.3692, 38.3676) * CHOOSE(CONTROL!$C$16, $D$10, 100%, $F$10)</f>
        <v>38.369199999999999</v>
      </c>
      <c r="G982" s="8">
        <f>CHOOSE( CONTROL!$C$33, 37.1291, 37.1275) * CHOOSE( CONTROL!$C$16, $D$10, 100%, $F$10)</f>
        <v>37.129100000000001</v>
      </c>
      <c r="H982" s="4">
        <f>CHOOSE( CONTROL!$C$33, 38.1077, 38.1062) * CHOOSE(CONTROL!$C$16, $D$10, 100%, $F$10)</f>
        <v>38.107700000000001</v>
      </c>
      <c r="I982" s="8">
        <f>CHOOSE( CONTROL!$C$33, 36.5504, 36.5489) * CHOOSE(CONTROL!$C$16, $D$10, 100%, $F$10)</f>
        <v>36.550400000000003</v>
      </c>
      <c r="J982" s="4">
        <f>CHOOSE( CONTROL!$C$33, 36.4152, 36.4136) * CHOOSE(CONTROL!$C$16, $D$10, 100%, $F$10)</f>
        <v>36.415199999999999</v>
      </c>
      <c r="K982" s="4"/>
      <c r="L982" s="9">
        <v>30.7165</v>
      </c>
      <c r="M982" s="9">
        <v>12.063700000000001</v>
      </c>
      <c r="N982" s="9">
        <v>4.9444999999999997</v>
      </c>
      <c r="O982" s="9">
        <v>0.37409999999999999</v>
      </c>
      <c r="P982" s="9">
        <v>1.2927</v>
      </c>
      <c r="Q982" s="9">
        <v>19.688099999999999</v>
      </c>
      <c r="R982" s="9"/>
      <c r="S982" s="11"/>
    </row>
    <row r="983" spans="1:19" ht="15" customHeight="1">
      <c r="A983" s="13">
        <v>71102</v>
      </c>
      <c r="B983" s="8">
        <f>CHOOSE( CONTROL!$C$33, 34.6894, 34.6878) * CHOOSE(CONTROL!$C$16, $D$10, 100%, $F$10)</f>
        <v>34.689399999999999</v>
      </c>
      <c r="C983" s="8">
        <f>CHOOSE( CONTROL!$C$33, 34.6974, 34.6958) * CHOOSE(CONTROL!$C$16, $D$10, 100%, $F$10)</f>
        <v>34.697400000000002</v>
      </c>
      <c r="D983" s="8">
        <f>CHOOSE( CONTROL!$C$33, 34.72, 34.7185) * CHOOSE( CONTROL!$C$16, $D$10, 100%, $F$10)</f>
        <v>34.72</v>
      </c>
      <c r="E983" s="12">
        <f>CHOOSE( CONTROL!$C$33, 34.7106, 34.7091) * CHOOSE( CONTROL!$C$16, $D$10, 100%, $F$10)</f>
        <v>34.710599999999999</v>
      </c>
      <c r="F983" s="4">
        <f>CHOOSE( CONTROL!$C$33, 35.4663, 35.4647) * CHOOSE(CONTROL!$C$16, $D$10, 100%, $F$10)</f>
        <v>35.466299999999997</v>
      </c>
      <c r="G983" s="8">
        <f>CHOOSE( CONTROL!$C$33, 34.2667, 34.2652) * CHOOSE( CONTROL!$C$16, $D$10, 100%, $F$10)</f>
        <v>34.2667</v>
      </c>
      <c r="H983" s="4">
        <f>CHOOSE( CONTROL!$C$33, 35.2453, 35.2438) * CHOOSE(CONTROL!$C$16, $D$10, 100%, $F$10)</f>
        <v>35.2453</v>
      </c>
      <c r="I983" s="8">
        <f>CHOOSE( CONTROL!$C$33, 33.7383, 33.7368) * CHOOSE(CONTROL!$C$16, $D$10, 100%, $F$10)</f>
        <v>33.738300000000002</v>
      </c>
      <c r="J983" s="4">
        <f>CHOOSE( CONTROL!$C$33, 33.6043, 33.6028) * CHOOSE(CONTROL!$C$16, $D$10, 100%, $F$10)</f>
        <v>33.604300000000002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1.2927</v>
      </c>
      <c r="Q983" s="9">
        <v>19.688099999999999</v>
      </c>
      <c r="R983" s="9"/>
      <c r="S983" s="11"/>
    </row>
    <row r="984" spans="1:19" ht="15" customHeight="1">
      <c r="A984" s="13">
        <v>71132</v>
      </c>
      <c r="B984" s="8">
        <f>CHOOSE( CONTROL!$C$33, 33.9624, 33.9609) * CHOOSE(CONTROL!$C$16, $D$10, 100%, $F$10)</f>
        <v>33.962400000000002</v>
      </c>
      <c r="C984" s="8">
        <f>CHOOSE( CONTROL!$C$33, 33.9704, 33.9689) * CHOOSE(CONTROL!$C$16, $D$10, 100%, $F$10)</f>
        <v>33.970399999999998</v>
      </c>
      <c r="D984" s="8">
        <f>CHOOSE( CONTROL!$C$33, 33.993, 33.9914) * CHOOSE( CONTROL!$C$16, $D$10, 100%, $F$10)</f>
        <v>33.993000000000002</v>
      </c>
      <c r="E984" s="12">
        <f>CHOOSE( CONTROL!$C$33, 33.9836, 33.982) * CHOOSE( CONTROL!$C$16, $D$10, 100%, $F$10)</f>
        <v>33.983600000000003</v>
      </c>
      <c r="F984" s="4">
        <f>CHOOSE( CONTROL!$C$33, 34.7394, 34.7378) * CHOOSE(CONTROL!$C$16, $D$10, 100%, $F$10)</f>
        <v>34.739400000000003</v>
      </c>
      <c r="G984" s="8">
        <f>CHOOSE( CONTROL!$C$33, 33.5498, 33.5483) * CHOOSE( CONTROL!$C$16, $D$10, 100%, $F$10)</f>
        <v>33.549799999999998</v>
      </c>
      <c r="H984" s="4">
        <f>CHOOSE( CONTROL!$C$33, 34.5285, 34.527) * CHOOSE(CONTROL!$C$16, $D$10, 100%, $F$10)</f>
        <v>34.528500000000001</v>
      </c>
      <c r="I984" s="8">
        <f>CHOOSE( CONTROL!$C$33, 33.0337, 33.0322) * CHOOSE(CONTROL!$C$16, $D$10, 100%, $F$10)</f>
        <v>33.033700000000003</v>
      </c>
      <c r="J984" s="4">
        <f>CHOOSE( CONTROL!$C$33, 32.9004, 32.8989) * CHOOSE(CONTROL!$C$16, $D$10, 100%, $F$10)</f>
        <v>32.900399999999998</v>
      </c>
      <c r="K984" s="4"/>
      <c r="L984" s="9">
        <v>29.7257</v>
      </c>
      <c r="M984" s="9">
        <v>11.6745</v>
      </c>
      <c r="N984" s="9">
        <v>4.7850000000000001</v>
      </c>
      <c r="O984" s="9">
        <v>0.36199999999999999</v>
      </c>
      <c r="P984" s="9">
        <v>1.2509999999999999</v>
      </c>
      <c r="Q984" s="9">
        <v>19.053000000000001</v>
      </c>
      <c r="R984" s="9"/>
      <c r="S984" s="11"/>
    </row>
    <row r="985" spans="1:19" ht="15" customHeight="1">
      <c r="A985" s="13">
        <v>71163</v>
      </c>
      <c r="B985" s="8">
        <f>CHOOSE( CONTROL!$C$33, 35.4696, 35.4685) * CHOOSE(CONTROL!$C$16, $D$10, 100%, $F$10)</f>
        <v>35.4696</v>
      </c>
      <c r="C985" s="8">
        <f>CHOOSE( CONTROL!$C$33, 35.4749, 35.4738) * CHOOSE(CONTROL!$C$16, $D$10, 100%, $F$10)</f>
        <v>35.474899999999998</v>
      </c>
      <c r="D985" s="8">
        <f>CHOOSE( CONTROL!$C$33, 35.5037, 35.5026) * CHOOSE( CONTROL!$C$16, $D$10, 100%, $F$10)</f>
        <v>35.503700000000002</v>
      </c>
      <c r="E985" s="12">
        <f>CHOOSE( CONTROL!$C$33, 35.4936, 35.4925) * CHOOSE( CONTROL!$C$16, $D$10, 100%, $F$10)</f>
        <v>35.493600000000001</v>
      </c>
      <c r="F985" s="4">
        <f>CHOOSE( CONTROL!$C$33, 36.2482, 36.2471) * CHOOSE(CONTROL!$C$16, $D$10, 100%, $F$10)</f>
        <v>36.248199999999997</v>
      </c>
      <c r="G985" s="8">
        <f>CHOOSE( CONTROL!$C$33, 35.0378, 35.0367) * CHOOSE( CONTROL!$C$16, $D$10, 100%, $F$10)</f>
        <v>35.037799999999997</v>
      </c>
      <c r="H985" s="4">
        <f>CHOOSE( CONTROL!$C$33, 36.0164, 36.0153) * CHOOSE(CONTROL!$C$16, $D$10, 100%, $F$10)</f>
        <v>36.016399999999997</v>
      </c>
      <c r="I985" s="8">
        <f>CHOOSE( CONTROL!$C$33, 34.496, 34.4949) * CHOOSE(CONTROL!$C$16, $D$10, 100%, $F$10)</f>
        <v>34.496000000000002</v>
      </c>
      <c r="J985" s="4">
        <f>CHOOSE( CONTROL!$C$33, 34.3615, 34.3604) * CHOOSE(CONTROL!$C$16, $D$10, 100%, $F$10)</f>
        <v>34.361499999999999</v>
      </c>
      <c r="K985" s="4"/>
      <c r="L985" s="9">
        <v>31.095300000000002</v>
      </c>
      <c r="M985" s="9">
        <v>12.063700000000001</v>
      </c>
      <c r="N985" s="9">
        <v>4.9444999999999997</v>
      </c>
      <c r="O985" s="9">
        <v>0.37409999999999999</v>
      </c>
      <c r="P985" s="9">
        <v>1.2927</v>
      </c>
      <c r="Q985" s="9">
        <v>19.688099999999999</v>
      </c>
      <c r="R985" s="9"/>
      <c r="S985" s="11"/>
    </row>
    <row r="986" spans="1:19" ht="15" customHeight="1">
      <c r="A986" s="13">
        <v>71193</v>
      </c>
      <c r="B986" s="8">
        <f>CHOOSE( CONTROL!$C$33, 38.2551, 38.254) * CHOOSE(CONTROL!$C$16, $D$10, 100%, $F$10)</f>
        <v>38.255099999999999</v>
      </c>
      <c r="C986" s="8">
        <f>CHOOSE( CONTROL!$C$33, 38.2602, 38.2591) * CHOOSE(CONTROL!$C$16, $D$10, 100%, $F$10)</f>
        <v>38.260199999999998</v>
      </c>
      <c r="D986" s="8">
        <f>CHOOSE( CONTROL!$C$33, 38.2399, 38.2388) * CHOOSE( CONTROL!$C$16, $D$10, 100%, $F$10)</f>
        <v>38.239899999999999</v>
      </c>
      <c r="E986" s="12">
        <f>CHOOSE( CONTROL!$C$33, 38.2468, 38.2457) * CHOOSE( CONTROL!$C$16, $D$10, 100%, $F$10)</f>
        <v>38.2468</v>
      </c>
      <c r="F986" s="4">
        <f>CHOOSE( CONTROL!$C$33, 38.918, 38.9169) * CHOOSE(CONTROL!$C$16, $D$10, 100%, $F$10)</f>
        <v>38.917999999999999</v>
      </c>
      <c r="G986" s="8">
        <f>CHOOSE( CONTROL!$C$33, 37.7574, 37.7563) * CHOOSE( CONTROL!$C$16, $D$10, 100%, $F$10)</f>
        <v>37.757399999999997</v>
      </c>
      <c r="H986" s="4">
        <f>CHOOSE( CONTROL!$C$33, 38.6489, 38.6478) * CHOOSE(CONTROL!$C$16, $D$10, 100%, $F$10)</f>
        <v>38.648899999999998</v>
      </c>
      <c r="I986" s="8">
        <f>CHOOSE( CONTROL!$C$33, 37.2428, 37.2417) * CHOOSE(CONTROL!$C$16, $D$10, 100%, $F$10)</f>
        <v>37.242800000000003</v>
      </c>
      <c r="J986" s="4">
        <f>CHOOSE( CONTROL!$C$33, 37.0591, 37.058) * CHOOSE(CONTROL!$C$16, $D$10, 100%, $F$10)</f>
        <v>37.059100000000001</v>
      </c>
      <c r="K986" s="4"/>
      <c r="L986" s="9">
        <v>28.360600000000002</v>
      </c>
      <c r="M986" s="9">
        <v>11.6745</v>
      </c>
      <c r="N986" s="9">
        <v>4.7850000000000001</v>
      </c>
      <c r="O986" s="9">
        <v>0.36199999999999999</v>
      </c>
      <c r="P986" s="9">
        <v>1.2509999999999999</v>
      </c>
      <c r="Q986" s="9">
        <v>19.053000000000001</v>
      </c>
      <c r="R986" s="9"/>
      <c r="S986" s="11"/>
    </row>
    <row r="987" spans="1:19" ht="15" customHeight="1">
      <c r="A987" s="13">
        <v>71224</v>
      </c>
      <c r="B987" s="8">
        <f>CHOOSE( CONTROL!$C$33, 38.1855, 38.1844) * CHOOSE(CONTROL!$C$16, $D$10, 100%, $F$10)</f>
        <v>38.185499999999998</v>
      </c>
      <c r="C987" s="8">
        <f>CHOOSE( CONTROL!$C$33, 38.1906, 38.1895) * CHOOSE(CONTROL!$C$16, $D$10, 100%, $F$10)</f>
        <v>38.190600000000003</v>
      </c>
      <c r="D987" s="8">
        <f>CHOOSE( CONTROL!$C$33, 38.1717, 38.1706) * CHOOSE( CONTROL!$C$16, $D$10, 100%, $F$10)</f>
        <v>38.171700000000001</v>
      </c>
      <c r="E987" s="12">
        <f>CHOOSE( CONTROL!$C$33, 38.1781, 38.177) * CHOOSE( CONTROL!$C$16, $D$10, 100%, $F$10)</f>
        <v>38.178100000000001</v>
      </c>
      <c r="F987" s="4">
        <f>CHOOSE( CONTROL!$C$33, 38.8484, 38.8472) * CHOOSE(CONTROL!$C$16, $D$10, 100%, $F$10)</f>
        <v>38.848399999999998</v>
      </c>
      <c r="G987" s="8">
        <f>CHOOSE( CONTROL!$C$33, 37.6898, 37.6887) * CHOOSE( CONTROL!$C$16, $D$10, 100%, $F$10)</f>
        <v>37.689799999999998</v>
      </c>
      <c r="H987" s="4">
        <f>CHOOSE( CONTROL!$C$33, 38.5802, 38.5791) * CHOOSE(CONTROL!$C$16, $D$10, 100%, $F$10)</f>
        <v>38.580199999999998</v>
      </c>
      <c r="I987" s="8">
        <f>CHOOSE( CONTROL!$C$33, 37.1799, 37.1788) * CHOOSE(CONTROL!$C$16, $D$10, 100%, $F$10)</f>
        <v>37.179900000000004</v>
      </c>
      <c r="J987" s="4">
        <f>CHOOSE( CONTROL!$C$33, 36.9917, 36.9906) * CHOOSE(CONTROL!$C$16, $D$10, 100%, $F$10)</f>
        <v>36.991700000000002</v>
      </c>
      <c r="K987" s="4"/>
      <c r="L987" s="9">
        <v>29.306000000000001</v>
      </c>
      <c r="M987" s="9">
        <v>12.063700000000001</v>
      </c>
      <c r="N987" s="9">
        <v>4.9444999999999997</v>
      </c>
      <c r="O987" s="9">
        <v>0.37409999999999999</v>
      </c>
      <c r="P987" s="9">
        <v>1.2927</v>
      </c>
      <c r="Q987" s="9">
        <v>19.688099999999999</v>
      </c>
      <c r="R987" s="9"/>
      <c r="S987" s="11"/>
    </row>
    <row r="988" spans="1:19" ht="15" customHeight="1">
      <c r="A988" s="13">
        <v>71255</v>
      </c>
      <c r="B988" s="8">
        <f>CHOOSE( CONTROL!$C$33, 39.3123, 39.3112) * CHOOSE(CONTROL!$C$16, $D$10, 100%, $F$10)</f>
        <v>39.3123</v>
      </c>
      <c r="C988" s="8">
        <f>CHOOSE( CONTROL!$C$33, 39.3174, 39.3163) * CHOOSE(CONTROL!$C$16, $D$10, 100%, $F$10)</f>
        <v>39.317399999999999</v>
      </c>
      <c r="D988" s="8">
        <f>CHOOSE( CONTROL!$C$33, 39.3098, 39.3087) * CHOOSE( CONTROL!$C$16, $D$10, 100%, $F$10)</f>
        <v>39.309800000000003</v>
      </c>
      <c r="E988" s="12">
        <f>CHOOSE( CONTROL!$C$33, 39.312, 39.3109) * CHOOSE( CONTROL!$C$16, $D$10, 100%, $F$10)</f>
        <v>39.311999999999998</v>
      </c>
      <c r="F988" s="4">
        <f>CHOOSE( CONTROL!$C$33, 39.9752, 39.9741) * CHOOSE(CONTROL!$C$16, $D$10, 100%, $F$10)</f>
        <v>39.975200000000001</v>
      </c>
      <c r="G988" s="8">
        <f>CHOOSE( CONTROL!$C$33, 38.8067, 38.8056) * CHOOSE( CONTROL!$C$16, $D$10, 100%, $F$10)</f>
        <v>38.806699999999999</v>
      </c>
      <c r="H988" s="4">
        <f>CHOOSE( CONTROL!$C$33, 39.6913, 39.6902) * CHOOSE(CONTROL!$C$16, $D$10, 100%, $F$10)</f>
        <v>39.691299999999998</v>
      </c>
      <c r="I988" s="8">
        <f>CHOOSE( CONTROL!$C$33, 38.2628, 38.2617) * CHOOSE(CONTROL!$C$16, $D$10, 100%, $F$10)</f>
        <v>38.262799999999999</v>
      </c>
      <c r="J988" s="4">
        <f>CHOOSE( CONTROL!$C$33, 38.0828, 38.0817) * CHOOSE(CONTROL!$C$16, $D$10, 100%, $F$10)</f>
        <v>38.082799999999999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" customHeight="1">
      <c r="A989" s="13">
        <v>71283</v>
      </c>
      <c r="B989" s="8">
        <f>CHOOSE( CONTROL!$C$33, 36.7698, 36.7687) * CHOOSE(CONTROL!$C$16, $D$10, 100%, $F$10)</f>
        <v>36.769799999999996</v>
      </c>
      <c r="C989" s="8">
        <f>CHOOSE( CONTROL!$C$33, 36.7749, 36.7738) * CHOOSE(CONTROL!$C$16, $D$10, 100%, $F$10)</f>
        <v>36.774900000000002</v>
      </c>
      <c r="D989" s="8">
        <f>CHOOSE( CONTROL!$C$33, 36.7671, 36.766) * CHOOSE( CONTROL!$C$16, $D$10, 100%, $F$10)</f>
        <v>36.767099999999999</v>
      </c>
      <c r="E989" s="12">
        <f>CHOOSE( CONTROL!$C$33, 36.7694, 36.7683) * CHOOSE( CONTROL!$C$16, $D$10, 100%, $F$10)</f>
        <v>36.769399999999997</v>
      </c>
      <c r="F989" s="4">
        <f>CHOOSE( CONTROL!$C$33, 37.4327, 37.4316) * CHOOSE(CONTROL!$C$16, $D$10, 100%, $F$10)</f>
        <v>37.432699999999997</v>
      </c>
      <c r="G989" s="8">
        <f>CHOOSE( CONTROL!$C$33, 36.2995, 36.2984) * CHOOSE( CONTROL!$C$16, $D$10, 100%, $F$10)</f>
        <v>36.299500000000002</v>
      </c>
      <c r="H989" s="4">
        <f>CHOOSE( CONTROL!$C$33, 37.1843, 37.1832) * CHOOSE(CONTROL!$C$16, $D$10, 100%, $F$10)</f>
        <v>37.1843</v>
      </c>
      <c r="I989" s="8">
        <f>CHOOSE( CONTROL!$C$33, 35.799, 35.798) * CHOOSE(CONTROL!$C$16, $D$10, 100%, $F$10)</f>
        <v>35.798999999999999</v>
      </c>
      <c r="J989" s="4">
        <f>CHOOSE( CONTROL!$C$33, 35.6209, 35.6198) * CHOOSE(CONTROL!$C$16, $D$10, 100%, $F$10)</f>
        <v>35.620899999999999</v>
      </c>
      <c r="K989" s="4"/>
      <c r="L989" s="9">
        <v>26.469899999999999</v>
      </c>
      <c r="M989" s="9">
        <v>10.8962</v>
      </c>
      <c r="N989" s="9">
        <v>4.4660000000000002</v>
      </c>
      <c r="O989" s="9">
        <v>0.33789999999999998</v>
      </c>
      <c r="P989" s="9">
        <v>1.1676</v>
      </c>
      <c r="Q989" s="9">
        <v>17.782800000000002</v>
      </c>
      <c r="R989" s="9"/>
      <c r="S989" s="11"/>
    </row>
    <row r="990" spans="1:19" ht="15" customHeight="1">
      <c r="A990" s="13">
        <v>71314</v>
      </c>
      <c r="B990" s="8">
        <f>CHOOSE( CONTROL!$C$33, 35.9867, 35.9856) * CHOOSE(CONTROL!$C$16, $D$10, 100%, $F$10)</f>
        <v>35.986699999999999</v>
      </c>
      <c r="C990" s="8">
        <f>CHOOSE( CONTROL!$C$33, 35.9918, 35.9907) * CHOOSE(CONTROL!$C$16, $D$10, 100%, $F$10)</f>
        <v>35.991799999999998</v>
      </c>
      <c r="D990" s="8">
        <f>CHOOSE( CONTROL!$C$33, 35.9833, 35.9821) * CHOOSE( CONTROL!$C$16, $D$10, 100%, $F$10)</f>
        <v>35.9833</v>
      </c>
      <c r="E990" s="12">
        <f>CHOOSE( CONTROL!$C$33, 35.9859, 35.9847) * CHOOSE( CONTROL!$C$16, $D$10, 100%, $F$10)</f>
        <v>35.985900000000001</v>
      </c>
      <c r="F990" s="4">
        <f>CHOOSE( CONTROL!$C$33, 36.6496, 36.6485) * CHOOSE(CONTROL!$C$16, $D$10, 100%, $F$10)</f>
        <v>36.6496</v>
      </c>
      <c r="G990" s="8">
        <f>CHOOSE( CONTROL!$C$33, 35.5269, 35.5258) * CHOOSE( CONTROL!$C$16, $D$10, 100%, $F$10)</f>
        <v>35.526899999999998</v>
      </c>
      <c r="H990" s="4">
        <f>CHOOSE( CONTROL!$C$33, 36.4121, 36.411) * CHOOSE(CONTROL!$C$16, $D$10, 100%, $F$10)</f>
        <v>36.412100000000002</v>
      </c>
      <c r="I990" s="8">
        <f>CHOOSE( CONTROL!$C$33, 35.0381, 35.037) * CHOOSE(CONTROL!$C$16, $D$10, 100%, $F$10)</f>
        <v>35.0381</v>
      </c>
      <c r="J990" s="4">
        <f>CHOOSE( CONTROL!$C$33, 34.8626, 34.8615) * CHOOSE(CONTROL!$C$16, $D$10, 100%, $F$10)</f>
        <v>34.8626</v>
      </c>
      <c r="K990" s="4"/>
      <c r="L990" s="9">
        <v>29.306000000000001</v>
      </c>
      <c r="M990" s="9">
        <v>12.063700000000001</v>
      </c>
      <c r="N990" s="9">
        <v>4.9444999999999997</v>
      </c>
      <c r="O990" s="9">
        <v>0.37409999999999999</v>
      </c>
      <c r="P990" s="9">
        <v>1.2927</v>
      </c>
      <c r="Q990" s="9">
        <v>19.688099999999999</v>
      </c>
      <c r="R990" s="9"/>
      <c r="S990" s="11"/>
    </row>
    <row r="991" spans="1:19" ht="15" customHeight="1">
      <c r="A991" s="13">
        <v>71344</v>
      </c>
      <c r="B991" s="8">
        <f>CHOOSE( CONTROL!$C$33, 36.5347, 36.5336) * CHOOSE(CONTROL!$C$16, $D$10, 100%, $F$10)</f>
        <v>36.534700000000001</v>
      </c>
      <c r="C991" s="8">
        <f>CHOOSE( CONTROL!$C$33, 36.5392, 36.5381) * CHOOSE(CONTROL!$C$16, $D$10, 100%, $F$10)</f>
        <v>36.539200000000001</v>
      </c>
      <c r="D991" s="8">
        <f>CHOOSE( CONTROL!$C$33, 36.5681, 36.567) * CHOOSE( CONTROL!$C$16, $D$10, 100%, $F$10)</f>
        <v>36.568100000000001</v>
      </c>
      <c r="E991" s="12">
        <f>CHOOSE( CONTROL!$C$33, 36.558, 36.5569) * CHOOSE( CONTROL!$C$16, $D$10, 100%, $F$10)</f>
        <v>36.558</v>
      </c>
      <c r="F991" s="4">
        <f>CHOOSE( CONTROL!$C$33, 37.313, 37.3119) * CHOOSE(CONTROL!$C$16, $D$10, 100%, $F$10)</f>
        <v>37.313000000000002</v>
      </c>
      <c r="G991" s="8">
        <f>CHOOSE( CONTROL!$C$33, 36.0874, 36.0863) * CHOOSE( CONTROL!$C$16, $D$10, 100%, $F$10)</f>
        <v>36.087400000000002</v>
      </c>
      <c r="H991" s="4">
        <f>CHOOSE( CONTROL!$C$33, 37.0663, 37.0652) * CHOOSE(CONTROL!$C$16, $D$10, 100%, $F$10)</f>
        <v>37.066299999999998</v>
      </c>
      <c r="I991" s="8">
        <f>CHOOSE( CONTROL!$C$33, 35.5262, 35.5252) * CHOOSE(CONTROL!$C$16, $D$10, 100%, $F$10)</f>
        <v>35.526200000000003</v>
      </c>
      <c r="J991" s="4">
        <f>CHOOSE( CONTROL!$C$33, 35.3925, 35.3914) * CHOOSE(CONTROL!$C$16, $D$10, 100%, $F$10)</f>
        <v>35.392499999999998</v>
      </c>
      <c r="K991" s="4"/>
      <c r="L991" s="9">
        <v>30.092199999999998</v>
      </c>
      <c r="M991" s="9">
        <v>11.6745</v>
      </c>
      <c r="N991" s="9">
        <v>4.7850000000000001</v>
      </c>
      <c r="O991" s="9">
        <v>0.36199999999999999</v>
      </c>
      <c r="P991" s="9">
        <v>1.2509999999999999</v>
      </c>
      <c r="Q991" s="9">
        <v>19.053000000000001</v>
      </c>
      <c r="R991" s="9"/>
      <c r="S991" s="11"/>
    </row>
    <row r="992" spans="1:19" ht="15" customHeight="1">
      <c r="A992" s="13">
        <v>71375</v>
      </c>
      <c r="B992" s="8">
        <f>CHOOSE( CONTROL!$C$33, 37.5104, 37.5088) * CHOOSE(CONTROL!$C$16, $D$10, 100%, $F$10)</f>
        <v>37.510399999999997</v>
      </c>
      <c r="C992" s="8">
        <f>CHOOSE( CONTROL!$C$33, 37.5184, 37.5168) * CHOOSE(CONTROL!$C$16, $D$10, 100%, $F$10)</f>
        <v>37.5184</v>
      </c>
      <c r="D992" s="8">
        <f>CHOOSE( CONTROL!$C$33, 37.5406, 37.5391) * CHOOSE( CONTROL!$C$16, $D$10, 100%, $F$10)</f>
        <v>37.540599999999998</v>
      </c>
      <c r="E992" s="12">
        <f>CHOOSE( CONTROL!$C$33, 37.5313, 37.5298) * CHOOSE( CONTROL!$C$16, $D$10, 100%, $F$10)</f>
        <v>37.531300000000002</v>
      </c>
      <c r="F992" s="4">
        <f>CHOOSE( CONTROL!$C$33, 38.2873, 38.2858) * CHOOSE(CONTROL!$C$16, $D$10, 100%, $F$10)</f>
        <v>38.287300000000002</v>
      </c>
      <c r="G992" s="8">
        <f>CHOOSE( CONTROL!$C$33, 37.0481, 37.0465) * CHOOSE( CONTROL!$C$16, $D$10, 100%, $F$10)</f>
        <v>37.048099999999998</v>
      </c>
      <c r="H992" s="4">
        <f>CHOOSE( CONTROL!$C$33, 38.027, 38.0255) * CHOOSE(CONTROL!$C$16, $D$10, 100%, $F$10)</f>
        <v>38.027000000000001</v>
      </c>
      <c r="I992" s="8">
        <f>CHOOSE( CONTROL!$C$33, 36.4698, 36.4683) * CHOOSE(CONTROL!$C$16, $D$10, 100%, $F$10)</f>
        <v>36.469799999999999</v>
      </c>
      <c r="J992" s="4">
        <f>CHOOSE( CONTROL!$C$33, 36.3359, 36.3344) * CHOOSE(CONTROL!$C$16, $D$10, 100%, $F$10)</f>
        <v>36.335900000000002</v>
      </c>
      <c r="K992" s="4"/>
      <c r="L992" s="9">
        <v>30.7165</v>
      </c>
      <c r="M992" s="9">
        <v>12.063700000000001</v>
      </c>
      <c r="N992" s="9">
        <v>4.9444999999999997</v>
      </c>
      <c r="O992" s="9">
        <v>0.37409999999999999</v>
      </c>
      <c r="P992" s="9">
        <v>1.2927</v>
      </c>
      <c r="Q992" s="9">
        <v>19.688099999999999</v>
      </c>
      <c r="R992" s="9"/>
      <c r="S992" s="11"/>
    </row>
    <row r="993" spans="1:19" ht="15" customHeight="1">
      <c r="A993" s="13">
        <v>71405</v>
      </c>
      <c r="B993" s="8">
        <f>CHOOSE( CONTROL!$C$33, 36.9071, 36.9055) * CHOOSE(CONTROL!$C$16, $D$10, 100%, $F$10)</f>
        <v>36.9071</v>
      </c>
      <c r="C993" s="8">
        <f>CHOOSE( CONTROL!$C$33, 36.9151, 36.9135) * CHOOSE(CONTROL!$C$16, $D$10, 100%, $F$10)</f>
        <v>36.915100000000002</v>
      </c>
      <c r="D993" s="8">
        <f>CHOOSE( CONTROL!$C$33, 36.9375, 36.9359) * CHOOSE( CONTROL!$C$16, $D$10, 100%, $F$10)</f>
        <v>36.9375</v>
      </c>
      <c r="E993" s="12">
        <f>CHOOSE( CONTROL!$C$33, 36.9282, 36.9266) * CHOOSE( CONTROL!$C$16, $D$10, 100%, $F$10)</f>
        <v>36.928199999999997</v>
      </c>
      <c r="F993" s="4">
        <f>CHOOSE( CONTROL!$C$33, 37.684, 37.6825) * CHOOSE(CONTROL!$C$16, $D$10, 100%, $F$10)</f>
        <v>37.683999999999997</v>
      </c>
      <c r="G993" s="8">
        <f>CHOOSE( CONTROL!$C$33, 36.4533, 36.4518) * CHOOSE( CONTROL!$C$16, $D$10, 100%, $F$10)</f>
        <v>36.453299999999999</v>
      </c>
      <c r="H993" s="4">
        <f>CHOOSE( CONTROL!$C$33, 37.4321, 37.4306) * CHOOSE(CONTROL!$C$16, $D$10, 100%, $F$10)</f>
        <v>37.432099999999998</v>
      </c>
      <c r="I993" s="8">
        <f>CHOOSE( CONTROL!$C$33, 35.8859, 35.8844) * CHOOSE(CONTROL!$C$16, $D$10, 100%, $F$10)</f>
        <v>35.885899999999999</v>
      </c>
      <c r="J993" s="4">
        <f>CHOOSE( CONTROL!$C$33, 35.7517, 35.7502) * CHOOSE(CONTROL!$C$16, $D$10, 100%, $F$10)</f>
        <v>35.7517</v>
      </c>
      <c r="K993" s="4"/>
      <c r="L993" s="9">
        <v>29.7257</v>
      </c>
      <c r="M993" s="9">
        <v>11.6745</v>
      </c>
      <c r="N993" s="9">
        <v>4.7850000000000001</v>
      </c>
      <c r="O993" s="9">
        <v>0.36199999999999999</v>
      </c>
      <c r="P993" s="9">
        <v>1.2509999999999999</v>
      </c>
      <c r="Q993" s="9">
        <v>19.053000000000001</v>
      </c>
      <c r="R993" s="9"/>
      <c r="S993" s="11"/>
    </row>
    <row r="994" spans="1:19" ht="15" customHeight="1">
      <c r="A994" s="13">
        <v>71436</v>
      </c>
      <c r="B994" s="8">
        <f>CHOOSE( CONTROL!$C$33, 38.4958, 38.4942) * CHOOSE(CONTROL!$C$16, $D$10, 100%, $F$10)</f>
        <v>38.495800000000003</v>
      </c>
      <c r="C994" s="8">
        <f>CHOOSE( CONTROL!$C$33, 38.5038, 38.5022) * CHOOSE(CONTROL!$C$16, $D$10, 100%, $F$10)</f>
        <v>38.503799999999998</v>
      </c>
      <c r="D994" s="8">
        <f>CHOOSE( CONTROL!$C$33, 38.5264, 38.5249) * CHOOSE( CONTROL!$C$16, $D$10, 100%, $F$10)</f>
        <v>38.526400000000002</v>
      </c>
      <c r="E994" s="12">
        <f>CHOOSE( CONTROL!$C$33, 38.517, 38.5155) * CHOOSE( CONTROL!$C$16, $D$10, 100%, $F$10)</f>
        <v>38.517000000000003</v>
      </c>
      <c r="F994" s="4">
        <f>CHOOSE( CONTROL!$C$33, 39.2727, 39.2712) * CHOOSE(CONTROL!$C$16, $D$10, 100%, $F$10)</f>
        <v>39.2727</v>
      </c>
      <c r="G994" s="8">
        <f>CHOOSE( CONTROL!$C$33, 38.02, 38.0185) * CHOOSE( CONTROL!$C$16, $D$10, 100%, $F$10)</f>
        <v>38.020000000000003</v>
      </c>
      <c r="H994" s="4">
        <f>CHOOSE( CONTROL!$C$33, 38.9987, 38.9971) * CHOOSE(CONTROL!$C$16, $D$10, 100%, $F$10)</f>
        <v>38.998699999999999</v>
      </c>
      <c r="I994" s="8">
        <f>CHOOSE( CONTROL!$C$33, 37.4258, 37.4243) * CHOOSE(CONTROL!$C$16, $D$10, 100%, $F$10)</f>
        <v>37.425800000000002</v>
      </c>
      <c r="J994" s="4">
        <f>CHOOSE( CONTROL!$C$33, 37.2901, 37.2886) * CHOOSE(CONTROL!$C$16, $D$10, 100%, $F$10)</f>
        <v>37.290100000000002</v>
      </c>
      <c r="K994" s="4"/>
      <c r="L994" s="9">
        <v>30.7165</v>
      </c>
      <c r="M994" s="9">
        <v>12.063700000000001</v>
      </c>
      <c r="N994" s="9">
        <v>4.9444999999999997</v>
      </c>
      <c r="O994" s="9">
        <v>0.37409999999999999</v>
      </c>
      <c r="P994" s="9">
        <v>1.2927</v>
      </c>
      <c r="Q994" s="9">
        <v>19.688099999999999</v>
      </c>
      <c r="R994" s="9"/>
      <c r="S994" s="11"/>
    </row>
    <row r="995" spans="1:19" ht="15" customHeight="1">
      <c r="A995" s="13">
        <v>71467</v>
      </c>
      <c r="B995" s="8">
        <f>CHOOSE( CONTROL!$C$33, 35.5232, 35.5216) * CHOOSE(CONTROL!$C$16, $D$10, 100%, $F$10)</f>
        <v>35.523200000000003</v>
      </c>
      <c r="C995" s="8">
        <f>CHOOSE( CONTROL!$C$33, 35.5312, 35.5296) * CHOOSE(CONTROL!$C$16, $D$10, 100%, $F$10)</f>
        <v>35.531199999999998</v>
      </c>
      <c r="D995" s="8">
        <f>CHOOSE( CONTROL!$C$33, 35.5538, 35.5523) * CHOOSE( CONTROL!$C$16, $D$10, 100%, $F$10)</f>
        <v>35.553800000000003</v>
      </c>
      <c r="E995" s="12">
        <f>CHOOSE( CONTROL!$C$33, 35.5444, 35.5429) * CHOOSE( CONTROL!$C$16, $D$10, 100%, $F$10)</f>
        <v>35.544400000000003</v>
      </c>
      <c r="F995" s="4">
        <f>CHOOSE( CONTROL!$C$33, 36.3001, 36.2985) * CHOOSE(CONTROL!$C$16, $D$10, 100%, $F$10)</f>
        <v>36.3001</v>
      </c>
      <c r="G995" s="8">
        <f>CHOOSE( CONTROL!$C$33, 35.0889, 35.0874) * CHOOSE( CONTROL!$C$16, $D$10, 100%, $F$10)</f>
        <v>35.088900000000002</v>
      </c>
      <c r="H995" s="4">
        <f>CHOOSE( CONTROL!$C$33, 36.0675, 36.066) * CHOOSE(CONTROL!$C$16, $D$10, 100%, $F$10)</f>
        <v>36.067500000000003</v>
      </c>
      <c r="I995" s="8">
        <f>CHOOSE( CONTROL!$C$33, 34.5461, 34.5446) * CHOOSE(CONTROL!$C$16, $D$10, 100%, $F$10)</f>
        <v>34.546100000000003</v>
      </c>
      <c r="J995" s="4">
        <f>CHOOSE( CONTROL!$C$33, 34.4117, 34.4102) * CHOOSE(CONTROL!$C$16, $D$10, 100%, $F$10)</f>
        <v>34.411700000000003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1.2927</v>
      </c>
      <c r="Q995" s="9">
        <v>19.688099999999999</v>
      </c>
      <c r="R995" s="9"/>
      <c r="S995" s="11"/>
    </row>
    <row r="996" spans="1:19" ht="15" customHeight="1">
      <c r="A996" s="13">
        <v>71497</v>
      </c>
      <c r="B996" s="8">
        <f>CHOOSE( CONTROL!$C$33, 34.7788, 34.7772) * CHOOSE(CONTROL!$C$16, $D$10, 100%, $F$10)</f>
        <v>34.778799999999997</v>
      </c>
      <c r="C996" s="8">
        <f>CHOOSE( CONTROL!$C$33, 34.7868, 34.7852) * CHOOSE(CONTROL!$C$16, $D$10, 100%, $F$10)</f>
        <v>34.786799999999999</v>
      </c>
      <c r="D996" s="8">
        <f>CHOOSE( CONTROL!$C$33, 34.8093, 34.8078) * CHOOSE( CONTROL!$C$16, $D$10, 100%, $F$10)</f>
        <v>34.8093</v>
      </c>
      <c r="E996" s="12">
        <f>CHOOSE( CONTROL!$C$33, 34.7999, 34.7984) * CHOOSE( CONTROL!$C$16, $D$10, 100%, $F$10)</f>
        <v>34.799900000000001</v>
      </c>
      <c r="F996" s="4">
        <f>CHOOSE( CONTROL!$C$33, 35.5557, 35.5541) * CHOOSE(CONTROL!$C$16, $D$10, 100%, $F$10)</f>
        <v>35.555700000000002</v>
      </c>
      <c r="G996" s="8">
        <f>CHOOSE( CONTROL!$C$33, 34.3548, 34.3533) * CHOOSE( CONTROL!$C$16, $D$10, 100%, $F$10)</f>
        <v>34.354799999999997</v>
      </c>
      <c r="H996" s="4">
        <f>CHOOSE( CONTROL!$C$33, 35.3335, 35.332) * CHOOSE(CONTROL!$C$16, $D$10, 100%, $F$10)</f>
        <v>35.333500000000001</v>
      </c>
      <c r="I996" s="8">
        <f>CHOOSE( CONTROL!$C$33, 33.8245, 33.823) * CHOOSE(CONTROL!$C$16, $D$10, 100%, $F$10)</f>
        <v>33.8245</v>
      </c>
      <c r="J996" s="4">
        <f>CHOOSE( CONTROL!$C$33, 33.6909, 33.6894) * CHOOSE(CONTROL!$C$16, $D$10, 100%, $F$10)</f>
        <v>33.690899999999999</v>
      </c>
      <c r="K996" s="4"/>
      <c r="L996" s="9">
        <v>29.7257</v>
      </c>
      <c r="M996" s="9">
        <v>11.6745</v>
      </c>
      <c r="N996" s="9">
        <v>4.7850000000000001</v>
      </c>
      <c r="O996" s="9">
        <v>0.36199999999999999</v>
      </c>
      <c r="P996" s="9">
        <v>1.2509999999999999</v>
      </c>
      <c r="Q996" s="9">
        <v>19.053000000000001</v>
      </c>
      <c r="R996" s="9"/>
      <c r="S996" s="11"/>
    </row>
    <row r="997" spans="1:19" ht="15" customHeight="1">
      <c r="A997" s="13">
        <v>71528</v>
      </c>
      <c r="B997" s="8">
        <f>CHOOSE( CONTROL!$C$33, 36.3222, 36.3211) * CHOOSE(CONTROL!$C$16, $D$10, 100%, $F$10)</f>
        <v>36.322200000000002</v>
      </c>
      <c r="C997" s="8">
        <f>CHOOSE( CONTROL!$C$33, 36.3276, 36.3264) * CHOOSE(CONTROL!$C$16, $D$10, 100%, $F$10)</f>
        <v>36.327599999999997</v>
      </c>
      <c r="D997" s="8">
        <f>CHOOSE( CONTROL!$C$33, 36.3563, 36.3552) * CHOOSE( CONTROL!$C$16, $D$10, 100%, $F$10)</f>
        <v>36.356299999999997</v>
      </c>
      <c r="E997" s="12">
        <f>CHOOSE( CONTROL!$C$33, 36.3463, 36.3451) * CHOOSE( CONTROL!$C$16, $D$10, 100%, $F$10)</f>
        <v>36.346299999999999</v>
      </c>
      <c r="F997" s="4">
        <f>CHOOSE( CONTROL!$C$33, 37.1009, 37.0997) * CHOOSE(CONTROL!$C$16, $D$10, 100%, $F$10)</f>
        <v>37.100900000000003</v>
      </c>
      <c r="G997" s="8">
        <f>CHOOSE( CONTROL!$C$33, 35.8785, 35.8774) * CHOOSE( CONTROL!$C$16, $D$10, 100%, $F$10)</f>
        <v>35.878500000000003</v>
      </c>
      <c r="H997" s="4">
        <f>CHOOSE( CONTROL!$C$33, 36.8571, 36.856) * CHOOSE(CONTROL!$C$16, $D$10, 100%, $F$10)</f>
        <v>36.857100000000003</v>
      </c>
      <c r="I997" s="8">
        <f>CHOOSE( CONTROL!$C$33, 35.322, 35.321) * CHOOSE(CONTROL!$C$16, $D$10, 100%, $F$10)</f>
        <v>35.322000000000003</v>
      </c>
      <c r="J997" s="4">
        <f>CHOOSE( CONTROL!$C$33, 35.1871, 35.186) * CHOOSE(CONTROL!$C$16, $D$10, 100%, $F$10)</f>
        <v>35.187100000000001</v>
      </c>
      <c r="K997" s="4"/>
      <c r="L997" s="9">
        <v>31.095300000000002</v>
      </c>
      <c r="M997" s="9">
        <v>12.063700000000001</v>
      </c>
      <c r="N997" s="9">
        <v>4.9444999999999997</v>
      </c>
      <c r="O997" s="9">
        <v>0.37409999999999999</v>
      </c>
      <c r="P997" s="9">
        <v>1.2927</v>
      </c>
      <c r="Q997" s="9">
        <v>19.688099999999999</v>
      </c>
      <c r="R997" s="9"/>
      <c r="S997" s="11"/>
    </row>
    <row r="998" spans="1:19" ht="15" customHeight="1">
      <c r="A998" s="13">
        <v>71558</v>
      </c>
      <c r="B998" s="8">
        <f>CHOOSE( CONTROL!$C$33, 39.1747, 39.1735) * CHOOSE(CONTROL!$C$16, $D$10, 100%, $F$10)</f>
        <v>39.174700000000001</v>
      </c>
      <c r="C998" s="8">
        <f>CHOOSE( CONTROL!$C$33, 39.1798, 39.1786) * CHOOSE(CONTROL!$C$16, $D$10, 100%, $F$10)</f>
        <v>39.1798</v>
      </c>
      <c r="D998" s="8">
        <f>CHOOSE( CONTROL!$C$33, 39.1594, 39.1583) * CHOOSE( CONTROL!$C$16, $D$10, 100%, $F$10)</f>
        <v>39.159399999999998</v>
      </c>
      <c r="E998" s="12">
        <f>CHOOSE( CONTROL!$C$33, 39.1663, 39.1652) * CHOOSE( CONTROL!$C$16, $D$10, 100%, $F$10)</f>
        <v>39.1663</v>
      </c>
      <c r="F998" s="4">
        <f>CHOOSE( CONTROL!$C$33, 39.8375, 39.8364) * CHOOSE(CONTROL!$C$16, $D$10, 100%, $F$10)</f>
        <v>39.837499999999999</v>
      </c>
      <c r="G998" s="8">
        <f>CHOOSE( CONTROL!$C$33, 38.6641, 38.663) * CHOOSE( CONTROL!$C$16, $D$10, 100%, $F$10)</f>
        <v>38.664099999999998</v>
      </c>
      <c r="H998" s="4">
        <f>CHOOSE( CONTROL!$C$33, 39.5556, 39.5545) * CHOOSE(CONTROL!$C$16, $D$10, 100%, $F$10)</f>
        <v>39.555599999999998</v>
      </c>
      <c r="I998" s="8">
        <f>CHOOSE( CONTROL!$C$33, 38.1336, 38.1325) * CHOOSE(CONTROL!$C$16, $D$10, 100%, $F$10)</f>
        <v>38.133600000000001</v>
      </c>
      <c r="J998" s="4">
        <f>CHOOSE( CONTROL!$C$33, 37.9495, 37.9484) * CHOOSE(CONTROL!$C$16, $D$10, 100%, $F$10)</f>
        <v>37.9495</v>
      </c>
      <c r="K998" s="4"/>
      <c r="L998" s="9">
        <v>28.360600000000002</v>
      </c>
      <c r="M998" s="9">
        <v>11.6745</v>
      </c>
      <c r="N998" s="9">
        <v>4.7850000000000001</v>
      </c>
      <c r="O998" s="9">
        <v>0.36199999999999999</v>
      </c>
      <c r="P998" s="9">
        <v>1.2509999999999999</v>
      </c>
      <c r="Q998" s="9">
        <v>19.053000000000001</v>
      </c>
      <c r="R998" s="9"/>
      <c r="S998" s="11"/>
    </row>
    <row r="999" spans="1:19" ht="15" customHeight="1">
      <c r="A999" s="13">
        <v>71589</v>
      </c>
      <c r="B999" s="8">
        <f>CHOOSE( CONTROL!$C$33, 39.1034, 39.1023) * CHOOSE(CONTROL!$C$16, $D$10, 100%, $F$10)</f>
        <v>39.103400000000001</v>
      </c>
      <c r="C999" s="8">
        <f>CHOOSE( CONTROL!$C$33, 39.1085, 39.1074) * CHOOSE(CONTROL!$C$16, $D$10, 100%, $F$10)</f>
        <v>39.108499999999999</v>
      </c>
      <c r="D999" s="8">
        <f>CHOOSE( CONTROL!$C$33, 39.0896, 39.0885) * CHOOSE( CONTROL!$C$16, $D$10, 100%, $F$10)</f>
        <v>39.089599999999997</v>
      </c>
      <c r="E999" s="12">
        <f>CHOOSE( CONTROL!$C$33, 39.096, 39.0949) * CHOOSE( CONTROL!$C$16, $D$10, 100%, $F$10)</f>
        <v>39.095999999999997</v>
      </c>
      <c r="F999" s="4">
        <f>CHOOSE( CONTROL!$C$33, 39.7663, 39.7651) * CHOOSE(CONTROL!$C$16, $D$10, 100%, $F$10)</f>
        <v>39.766300000000001</v>
      </c>
      <c r="G999" s="8">
        <f>CHOOSE( CONTROL!$C$33, 38.5949, 38.5937) * CHOOSE( CONTROL!$C$16, $D$10, 100%, $F$10)</f>
        <v>38.594900000000003</v>
      </c>
      <c r="H999" s="4">
        <f>CHOOSE( CONTROL!$C$33, 39.4853, 39.4842) * CHOOSE(CONTROL!$C$16, $D$10, 100%, $F$10)</f>
        <v>39.485300000000002</v>
      </c>
      <c r="I999" s="8">
        <f>CHOOSE( CONTROL!$C$33, 38.0691, 38.068) * CHOOSE(CONTROL!$C$16, $D$10, 100%, $F$10)</f>
        <v>38.069099999999999</v>
      </c>
      <c r="J999" s="4">
        <f>CHOOSE( CONTROL!$C$33, 37.8805, 37.8794) * CHOOSE(CONTROL!$C$16, $D$10, 100%, $F$10)</f>
        <v>37.880499999999998</v>
      </c>
      <c r="K999" s="4"/>
      <c r="L999" s="9">
        <v>29.306000000000001</v>
      </c>
      <c r="M999" s="9">
        <v>12.063700000000001</v>
      </c>
      <c r="N999" s="9">
        <v>4.9444999999999997</v>
      </c>
      <c r="O999" s="9">
        <v>0.37409999999999999</v>
      </c>
      <c r="P999" s="9">
        <v>1.2927</v>
      </c>
      <c r="Q999" s="9">
        <v>19.688099999999999</v>
      </c>
      <c r="R999" s="9"/>
      <c r="S999" s="11"/>
    </row>
    <row r="1000" spans="1:19" ht="15" customHeight="1">
      <c r="A1000" s="13">
        <v>71620</v>
      </c>
      <c r="B1000" s="8">
        <f>CHOOSE( CONTROL!$C$33, 40.2573, 40.2562) * CHOOSE(CONTROL!$C$16, $D$10, 100%, $F$10)</f>
        <v>40.257300000000001</v>
      </c>
      <c r="C1000" s="8">
        <f>CHOOSE( CONTROL!$C$33, 40.2624, 40.2613) * CHOOSE(CONTROL!$C$16, $D$10, 100%, $F$10)</f>
        <v>40.2624</v>
      </c>
      <c r="D1000" s="8">
        <f>CHOOSE( CONTROL!$C$33, 40.2548, 40.2536) * CHOOSE( CONTROL!$C$16, $D$10, 100%, $F$10)</f>
        <v>40.254800000000003</v>
      </c>
      <c r="E1000" s="12">
        <f>CHOOSE( CONTROL!$C$33, 40.257, 40.2559) * CHOOSE( CONTROL!$C$16, $D$10, 100%, $F$10)</f>
        <v>40.256999999999998</v>
      </c>
      <c r="F1000" s="4">
        <f>CHOOSE( CONTROL!$C$33, 40.9202, 40.919) * CHOOSE(CONTROL!$C$16, $D$10, 100%, $F$10)</f>
        <v>40.920200000000001</v>
      </c>
      <c r="G1000" s="8">
        <f>CHOOSE( CONTROL!$C$33, 39.7385, 39.7374) * CHOOSE( CONTROL!$C$16, $D$10, 100%, $F$10)</f>
        <v>39.738500000000002</v>
      </c>
      <c r="H1000" s="4">
        <f>CHOOSE( CONTROL!$C$33, 40.6231, 40.622) * CHOOSE(CONTROL!$C$16, $D$10, 100%, $F$10)</f>
        <v>40.623100000000001</v>
      </c>
      <c r="I1000" s="8">
        <f>CHOOSE( CONTROL!$C$33, 39.1782, 39.1772) * CHOOSE(CONTROL!$C$16, $D$10, 100%, $F$10)</f>
        <v>39.178199999999997</v>
      </c>
      <c r="J1000" s="4">
        <f>CHOOSE( CONTROL!$C$33, 38.9978, 38.9967) * CHOOSE(CONTROL!$C$16, $D$10, 100%, $F$10)</f>
        <v>38.997799999999998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" customHeight="1">
      <c r="A1001" s="13">
        <v>71649</v>
      </c>
      <c r="B1001" s="8">
        <f>CHOOSE( CONTROL!$C$33, 37.6537, 37.6526) * CHOOSE(CONTROL!$C$16, $D$10, 100%, $F$10)</f>
        <v>37.653700000000001</v>
      </c>
      <c r="C1001" s="8">
        <f>CHOOSE( CONTROL!$C$33, 37.6588, 37.6577) * CHOOSE(CONTROL!$C$16, $D$10, 100%, $F$10)</f>
        <v>37.658799999999999</v>
      </c>
      <c r="D1001" s="8">
        <f>CHOOSE( CONTROL!$C$33, 37.651, 37.6498) * CHOOSE( CONTROL!$C$16, $D$10, 100%, $F$10)</f>
        <v>37.651000000000003</v>
      </c>
      <c r="E1001" s="12">
        <f>CHOOSE( CONTROL!$C$33, 37.6533, 37.6521) * CHOOSE( CONTROL!$C$16, $D$10, 100%, $F$10)</f>
        <v>37.653300000000002</v>
      </c>
      <c r="F1001" s="4">
        <f>CHOOSE( CONTROL!$C$33, 38.3166, 38.3154) * CHOOSE(CONTROL!$C$16, $D$10, 100%, $F$10)</f>
        <v>38.316600000000001</v>
      </c>
      <c r="G1001" s="8">
        <f>CHOOSE( CONTROL!$C$33, 37.1711, 37.17) * CHOOSE( CONTROL!$C$16, $D$10, 100%, $F$10)</f>
        <v>37.171100000000003</v>
      </c>
      <c r="H1001" s="4">
        <f>CHOOSE( CONTROL!$C$33, 38.0558, 38.0547) * CHOOSE(CONTROL!$C$16, $D$10, 100%, $F$10)</f>
        <v>38.055799999999998</v>
      </c>
      <c r="I1001" s="8">
        <f>CHOOSE( CONTROL!$C$33, 36.6553, 36.6542) * CHOOSE(CONTROL!$C$16, $D$10, 100%, $F$10)</f>
        <v>36.655299999999997</v>
      </c>
      <c r="J1001" s="4">
        <f>CHOOSE( CONTROL!$C$33, 36.4767, 36.4756) * CHOOSE(CONTROL!$C$16, $D$10, 100%, $F$10)</f>
        <v>36.476700000000001</v>
      </c>
      <c r="K1001" s="4"/>
      <c r="L1001" s="9">
        <v>27.415299999999998</v>
      </c>
      <c r="M1001" s="9">
        <v>11.285299999999999</v>
      </c>
      <c r="N1001" s="9">
        <v>4.6254999999999997</v>
      </c>
      <c r="O1001" s="9">
        <v>0.34989999999999999</v>
      </c>
      <c r="P1001" s="9">
        <v>1.2093</v>
      </c>
      <c r="Q1001" s="9">
        <v>18.417899999999999</v>
      </c>
      <c r="R1001" s="9"/>
      <c r="S1001" s="11"/>
    </row>
    <row r="1002" spans="1:19" ht="15" customHeight="1">
      <c r="A1002" s="13">
        <v>71680</v>
      </c>
      <c r="B1002" s="8">
        <f>CHOOSE( CONTROL!$C$33, 36.8518, 36.8507) * CHOOSE(CONTROL!$C$16, $D$10, 100%, $F$10)</f>
        <v>36.851799999999997</v>
      </c>
      <c r="C1002" s="8">
        <f>CHOOSE( CONTROL!$C$33, 36.8569, 36.8558) * CHOOSE(CONTROL!$C$16, $D$10, 100%, $F$10)</f>
        <v>36.856900000000003</v>
      </c>
      <c r="D1002" s="8">
        <f>CHOOSE( CONTROL!$C$33, 36.8483, 36.8472) * CHOOSE( CONTROL!$C$16, $D$10, 100%, $F$10)</f>
        <v>36.848300000000002</v>
      </c>
      <c r="E1002" s="12">
        <f>CHOOSE( CONTROL!$C$33, 36.8509, 36.8498) * CHOOSE( CONTROL!$C$16, $D$10, 100%, $F$10)</f>
        <v>36.850900000000003</v>
      </c>
      <c r="F1002" s="4">
        <f>CHOOSE( CONTROL!$C$33, 37.5146, 37.5135) * CHOOSE(CONTROL!$C$16, $D$10, 100%, $F$10)</f>
        <v>37.514600000000002</v>
      </c>
      <c r="G1002" s="8">
        <f>CHOOSE( CONTROL!$C$33, 36.3798, 36.3787) * CHOOSE( CONTROL!$C$16, $D$10, 100%, $F$10)</f>
        <v>36.379800000000003</v>
      </c>
      <c r="H1002" s="4">
        <f>CHOOSE( CONTROL!$C$33, 37.2651, 37.264) * CHOOSE(CONTROL!$C$16, $D$10, 100%, $F$10)</f>
        <v>37.265099999999997</v>
      </c>
      <c r="I1002" s="8">
        <f>CHOOSE( CONTROL!$C$33, 35.8762, 35.8751) * CHOOSE(CONTROL!$C$16, $D$10, 100%, $F$10)</f>
        <v>35.876199999999997</v>
      </c>
      <c r="J1002" s="4">
        <f>CHOOSE( CONTROL!$C$33, 35.7002, 35.6992) * CHOOSE(CONTROL!$C$16, $D$10, 100%, $F$10)</f>
        <v>35.700200000000002</v>
      </c>
      <c r="K1002" s="4"/>
      <c r="L1002" s="9">
        <v>29.306000000000001</v>
      </c>
      <c r="M1002" s="9">
        <v>12.063700000000001</v>
      </c>
      <c r="N1002" s="9">
        <v>4.9444999999999997</v>
      </c>
      <c r="O1002" s="9">
        <v>0.37409999999999999</v>
      </c>
      <c r="P1002" s="9">
        <v>1.2927</v>
      </c>
      <c r="Q1002" s="9">
        <v>19.688099999999999</v>
      </c>
      <c r="R1002" s="9"/>
      <c r="S1002" s="11"/>
    </row>
    <row r="1003" spans="1:19" ht="15" customHeight="1">
      <c r="A1003" s="13">
        <v>71710</v>
      </c>
      <c r="B1003" s="8">
        <f>CHOOSE( CONTROL!$C$33, 37.4129, 37.4118) * CHOOSE(CONTROL!$C$16, $D$10, 100%, $F$10)</f>
        <v>37.4129</v>
      </c>
      <c r="C1003" s="8">
        <f>CHOOSE( CONTROL!$C$33, 37.4174, 37.4163) * CHOOSE(CONTROL!$C$16, $D$10, 100%, $F$10)</f>
        <v>37.417400000000001</v>
      </c>
      <c r="D1003" s="8">
        <f>CHOOSE( CONTROL!$C$33, 37.4463, 37.4452) * CHOOSE( CONTROL!$C$16, $D$10, 100%, $F$10)</f>
        <v>37.446300000000001</v>
      </c>
      <c r="E1003" s="12">
        <f>CHOOSE( CONTROL!$C$33, 37.4362, 37.4351) * CHOOSE( CONTROL!$C$16, $D$10, 100%, $F$10)</f>
        <v>37.436199999999999</v>
      </c>
      <c r="F1003" s="4">
        <f>CHOOSE( CONTROL!$C$33, 38.1912, 38.1901) * CHOOSE(CONTROL!$C$16, $D$10, 100%, $F$10)</f>
        <v>38.191200000000002</v>
      </c>
      <c r="G1003" s="8">
        <f>CHOOSE( CONTROL!$C$33, 36.9533, 36.9522) * CHOOSE( CONTROL!$C$16, $D$10, 100%, $F$10)</f>
        <v>36.953299999999999</v>
      </c>
      <c r="H1003" s="4">
        <f>CHOOSE( CONTROL!$C$33, 37.9322, 37.9311) * CHOOSE(CONTROL!$C$16, $D$10, 100%, $F$10)</f>
        <v>37.932200000000002</v>
      </c>
      <c r="I1003" s="8">
        <f>CHOOSE( CONTROL!$C$33, 36.377, 36.3759) * CHOOSE(CONTROL!$C$16, $D$10, 100%, $F$10)</f>
        <v>36.377000000000002</v>
      </c>
      <c r="J1003" s="4">
        <f>CHOOSE( CONTROL!$C$33, 36.2428, 36.2417) * CHOOSE(CONTROL!$C$16, $D$10, 100%, $F$10)</f>
        <v>36.242800000000003</v>
      </c>
      <c r="K1003" s="4"/>
      <c r="L1003" s="9">
        <v>30.092199999999998</v>
      </c>
      <c r="M1003" s="9">
        <v>11.6745</v>
      </c>
      <c r="N1003" s="9">
        <v>4.7850000000000001</v>
      </c>
      <c r="O1003" s="9">
        <v>0.36199999999999999</v>
      </c>
      <c r="P1003" s="9">
        <v>1.2509999999999999</v>
      </c>
      <c r="Q1003" s="9">
        <v>19.053000000000001</v>
      </c>
      <c r="R1003" s="9"/>
      <c r="S1003" s="11"/>
    </row>
    <row r="1004" spans="1:19" ht="15" customHeight="1">
      <c r="A1004" s="13">
        <v>71741</v>
      </c>
      <c r="B1004" s="8">
        <f>CHOOSE( CONTROL!$C$33, 38.412, 38.4104) * CHOOSE(CONTROL!$C$16, $D$10, 100%, $F$10)</f>
        <v>38.411999999999999</v>
      </c>
      <c r="C1004" s="8">
        <f>CHOOSE( CONTROL!$C$33, 38.42, 38.4184) * CHOOSE(CONTROL!$C$16, $D$10, 100%, $F$10)</f>
        <v>38.42</v>
      </c>
      <c r="D1004" s="8">
        <f>CHOOSE( CONTROL!$C$33, 38.4422, 38.4407) * CHOOSE( CONTROL!$C$16, $D$10, 100%, $F$10)</f>
        <v>38.4422</v>
      </c>
      <c r="E1004" s="12">
        <f>CHOOSE( CONTROL!$C$33, 38.4329, 38.4314) * CHOOSE( CONTROL!$C$16, $D$10, 100%, $F$10)</f>
        <v>38.432899999999997</v>
      </c>
      <c r="F1004" s="4">
        <f>CHOOSE( CONTROL!$C$33, 39.1889, 39.1874) * CHOOSE(CONTROL!$C$16, $D$10, 100%, $F$10)</f>
        <v>39.188899999999997</v>
      </c>
      <c r="G1004" s="8">
        <f>CHOOSE( CONTROL!$C$33, 37.9371, 37.9355) * CHOOSE( CONTROL!$C$16, $D$10, 100%, $F$10)</f>
        <v>37.937100000000001</v>
      </c>
      <c r="H1004" s="4">
        <f>CHOOSE( CONTROL!$C$33, 38.916, 38.9145) * CHOOSE(CONTROL!$C$16, $D$10, 100%, $F$10)</f>
        <v>38.915999999999997</v>
      </c>
      <c r="I1004" s="8">
        <f>CHOOSE( CONTROL!$C$33, 37.3433, 37.3417) * CHOOSE(CONTROL!$C$16, $D$10, 100%, $F$10)</f>
        <v>37.343299999999999</v>
      </c>
      <c r="J1004" s="4">
        <f>CHOOSE( CONTROL!$C$33, 37.2089, 37.2074) * CHOOSE(CONTROL!$C$16, $D$10, 100%, $F$10)</f>
        <v>37.2089</v>
      </c>
      <c r="K1004" s="4"/>
      <c r="L1004" s="9">
        <v>30.7165</v>
      </c>
      <c r="M1004" s="9">
        <v>12.063700000000001</v>
      </c>
      <c r="N1004" s="9">
        <v>4.9444999999999997</v>
      </c>
      <c r="O1004" s="9">
        <v>0.37409999999999999</v>
      </c>
      <c r="P1004" s="9">
        <v>1.2927</v>
      </c>
      <c r="Q1004" s="9">
        <v>19.688099999999999</v>
      </c>
      <c r="R1004" s="9"/>
      <c r="S1004" s="11"/>
    </row>
    <row r="1005" spans="1:19" ht="15" customHeight="1">
      <c r="A1005" s="13">
        <v>71771</v>
      </c>
      <c r="B1005" s="8">
        <f>CHOOSE( CONTROL!$C$33, 37.7942, 37.7926) * CHOOSE(CONTROL!$C$16, $D$10, 100%, $F$10)</f>
        <v>37.794199999999996</v>
      </c>
      <c r="C1005" s="8">
        <f>CHOOSE( CONTROL!$C$33, 37.8022, 37.8006) * CHOOSE(CONTROL!$C$16, $D$10, 100%, $F$10)</f>
        <v>37.802199999999999</v>
      </c>
      <c r="D1005" s="8">
        <f>CHOOSE( CONTROL!$C$33, 37.8246, 37.823) * CHOOSE( CONTROL!$C$16, $D$10, 100%, $F$10)</f>
        <v>37.824599999999997</v>
      </c>
      <c r="E1005" s="12">
        <f>CHOOSE( CONTROL!$C$33, 37.8153, 37.8137) * CHOOSE( CONTROL!$C$16, $D$10, 100%, $F$10)</f>
        <v>37.815300000000001</v>
      </c>
      <c r="F1005" s="4">
        <f>CHOOSE( CONTROL!$C$33, 38.5711, 38.5696) * CHOOSE(CONTROL!$C$16, $D$10, 100%, $F$10)</f>
        <v>38.571100000000001</v>
      </c>
      <c r="G1005" s="8">
        <f>CHOOSE( CONTROL!$C$33, 37.328, 37.3265) * CHOOSE( CONTROL!$C$16, $D$10, 100%, $F$10)</f>
        <v>37.328000000000003</v>
      </c>
      <c r="H1005" s="4">
        <f>CHOOSE( CONTROL!$C$33, 38.3069, 38.3053) * CHOOSE(CONTROL!$C$16, $D$10, 100%, $F$10)</f>
        <v>38.306899999999999</v>
      </c>
      <c r="I1005" s="8">
        <f>CHOOSE( CONTROL!$C$33, 36.7453, 36.7438) * CHOOSE(CONTROL!$C$16, $D$10, 100%, $F$10)</f>
        <v>36.7453</v>
      </c>
      <c r="J1005" s="4">
        <f>CHOOSE( CONTROL!$C$33, 36.6107, 36.6092) * CHOOSE(CONTROL!$C$16, $D$10, 100%, $F$10)</f>
        <v>36.610700000000001</v>
      </c>
      <c r="K1005" s="4"/>
      <c r="L1005" s="9">
        <v>29.7257</v>
      </c>
      <c r="M1005" s="9">
        <v>11.6745</v>
      </c>
      <c r="N1005" s="9">
        <v>4.7850000000000001</v>
      </c>
      <c r="O1005" s="9">
        <v>0.36199999999999999</v>
      </c>
      <c r="P1005" s="9">
        <v>1.2509999999999999</v>
      </c>
      <c r="Q1005" s="9">
        <v>19.053000000000001</v>
      </c>
      <c r="R1005" s="9"/>
      <c r="S1005" s="11"/>
    </row>
    <row r="1006" spans="1:19" ht="15" customHeight="1">
      <c r="A1006" s="13">
        <v>71802</v>
      </c>
      <c r="B1006" s="8">
        <f>CHOOSE( CONTROL!$C$33, 39.4211, 39.4195) * CHOOSE(CONTROL!$C$16, $D$10, 100%, $F$10)</f>
        <v>39.421100000000003</v>
      </c>
      <c r="C1006" s="8">
        <f>CHOOSE( CONTROL!$C$33, 39.4291, 39.4275) * CHOOSE(CONTROL!$C$16, $D$10, 100%, $F$10)</f>
        <v>39.429099999999998</v>
      </c>
      <c r="D1006" s="8">
        <f>CHOOSE( CONTROL!$C$33, 39.4517, 39.4501) * CHOOSE( CONTROL!$C$16, $D$10, 100%, $F$10)</f>
        <v>39.451700000000002</v>
      </c>
      <c r="E1006" s="12">
        <f>CHOOSE( CONTROL!$C$33, 39.4423, 39.4407) * CHOOSE( CONTROL!$C$16, $D$10, 100%, $F$10)</f>
        <v>39.442300000000003</v>
      </c>
      <c r="F1006" s="4">
        <f>CHOOSE( CONTROL!$C$33, 40.198, 40.1964) * CHOOSE(CONTROL!$C$16, $D$10, 100%, $F$10)</f>
        <v>40.198</v>
      </c>
      <c r="G1006" s="8">
        <f>CHOOSE( CONTROL!$C$33, 38.9324, 38.9309) * CHOOSE( CONTROL!$C$16, $D$10, 100%, $F$10)</f>
        <v>38.932400000000001</v>
      </c>
      <c r="H1006" s="4">
        <f>CHOOSE( CONTROL!$C$33, 39.911, 39.9095) * CHOOSE(CONTROL!$C$16, $D$10, 100%, $F$10)</f>
        <v>39.911000000000001</v>
      </c>
      <c r="I1006" s="8">
        <f>CHOOSE( CONTROL!$C$33, 38.3222, 38.3207) * CHOOSE(CONTROL!$C$16, $D$10, 100%, $F$10)</f>
        <v>38.322200000000002</v>
      </c>
      <c r="J1006" s="4">
        <f>CHOOSE( CONTROL!$C$33, 38.186, 38.1845) * CHOOSE(CONTROL!$C$16, $D$10, 100%, $F$10)</f>
        <v>38.186</v>
      </c>
      <c r="K1006" s="4"/>
      <c r="L1006" s="9">
        <v>30.7165</v>
      </c>
      <c r="M1006" s="9">
        <v>12.063700000000001</v>
      </c>
      <c r="N1006" s="9">
        <v>4.9444999999999997</v>
      </c>
      <c r="O1006" s="9">
        <v>0.37409999999999999</v>
      </c>
      <c r="P1006" s="9">
        <v>1.2927</v>
      </c>
      <c r="Q1006" s="9">
        <v>19.688099999999999</v>
      </c>
      <c r="R1006" s="9"/>
      <c r="S1006" s="11"/>
    </row>
    <row r="1007" spans="1:19" ht="15" customHeight="1">
      <c r="A1007" s="13">
        <v>71833</v>
      </c>
      <c r="B1007" s="8">
        <f>CHOOSE( CONTROL!$C$33, 36.377, 36.3755) * CHOOSE(CONTROL!$C$16, $D$10, 100%, $F$10)</f>
        <v>36.377000000000002</v>
      </c>
      <c r="C1007" s="8">
        <f>CHOOSE( CONTROL!$C$33, 36.385, 36.3835) * CHOOSE(CONTROL!$C$16, $D$10, 100%, $F$10)</f>
        <v>36.384999999999998</v>
      </c>
      <c r="D1007" s="8">
        <f>CHOOSE( CONTROL!$C$33, 36.4077, 36.4061) * CHOOSE( CONTROL!$C$16, $D$10, 100%, $F$10)</f>
        <v>36.407699999999998</v>
      </c>
      <c r="E1007" s="12">
        <f>CHOOSE( CONTROL!$C$33, 36.3983, 36.3967) * CHOOSE( CONTROL!$C$16, $D$10, 100%, $F$10)</f>
        <v>36.398299999999999</v>
      </c>
      <c r="F1007" s="4">
        <f>CHOOSE( CONTROL!$C$33, 37.154, 37.1524) * CHOOSE(CONTROL!$C$16, $D$10, 100%, $F$10)</f>
        <v>37.154000000000003</v>
      </c>
      <c r="G1007" s="8">
        <f>CHOOSE( CONTROL!$C$33, 35.9309, 35.9293) * CHOOSE( CONTROL!$C$16, $D$10, 100%, $F$10)</f>
        <v>35.930900000000001</v>
      </c>
      <c r="H1007" s="4">
        <f>CHOOSE( CONTROL!$C$33, 36.9095, 36.9079) * CHOOSE(CONTROL!$C$16, $D$10, 100%, $F$10)</f>
        <v>36.909500000000001</v>
      </c>
      <c r="I1007" s="8">
        <f>CHOOSE( CONTROL!$C$33, 35.3733, 35.3718) * CHOOSE(CONTROL!$C$16, $D$10, 100%, $F$10)</f>
        <v>35.3733</v>
      </c>
      <c r="J1007" s="4">
        <f>CHOOSE( CONTROL!$C$33, 35.2385, 35.237) * CHOOSE(CONTROL!$C$16, $D$10, 100%, $F$10)</f>
        <v>35.238500000000002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1.2927</v>
      </c>
      <c r="Q1007" s="9">
        <v>19.688099999999999</v>
      </c>
      <c r="R1007" s="9"/>
      <c r="S1007" s="11"/>
    </row>
    <row r="1008" spans="1:19" ht="15" customHeight="1">
      <c r="A1008" s="13">
        <v>71863</v>
      </c>
      <c r="B1008" s="8">
        <f>CHOOSE( CONTROL!$C$33, 35.6148, 35.6132) * CHOOSE(CONTROL!$C$16, $D$10, 100%, $F$10)</f>
        <v>35.614800000000002</v>
      </c>
      <c r="C1008" s="8">
        <f>CHOOSE( CONTROL!$C$33, 35.6228, 35.6212) * CHOOSE(CONTROL!$C$16, $D$10, 100%, $F$10)</f>
        <v>35.622799999999998</v>
      </c>
      <c r="D1008" s="8">
        <f>CHOOSE( CONTROL!$C$33, 35.6453, 35.6437) * CHOOSE( CONTROL!$C$16, $D$10, 100%, $F$10)</f>
        <v>35.645299999999999</v>
      </c>
      <c r="E1008" s="12">
        <f>CHOOSE( CONTROL!$C$33, 35.6359, 35.6343) * CHOOSE( CONTROL!$C$16, $D$10, 100%, $F$10)</f>
        <v>35.635899999999999</v>
      </c>
      <c r="F1008" s="4">
        <f>CHOOSE( CONTROL!$C$33, 36.3917, 36.3901) * CHOOSE(CONTROL!$C$16, $D$10, 100%, $F$10)</f>
        <v>36.3917</v>
      </c>
      <c r="G1008" s="8">
        <f>CHOOSE( CONTROL!$C$33, 35.1791, 35.1776) * CHOOSE( CONTROL!$C$16, $D$10, 100%, $F$10)</f>
        <v>35.179099999999998</v>
      </c>
      <c r="H1008" s="4">
        <f>CHOOSE( CONTROL!$C$33, 36.1578, 36.1563) * CHOOSE(CONTROL!$C$16, $D$10, 100%, $F$10)</f>
        <v>36.157800000000002</v>
      </c>
      <c r="I1008" s="8">
        <f>CHOOSE( CONTROL!$C$33, 34.6344, 34.6329) * CHOOSE(CONTROL!$C$16, $D$10, 100%, $F$10)</f>
        <v>34.634399999999999</v>
      </c>
      <c r="J1008" s="4">
        <f>CHOOSE( CONTROL!$C$33, 34.5004, 34.4988) * CHOOSE(CONTROL!$C$16, $D$10, 100%, $F$10)</f>
        <v>34.500399999999999</v>
      </c>
      <c r="K1008" s="4"/>
      <c r="L1008" s="9">
        <v>29.7257</v>
      </c>
      <c r="M1008" s="9">
        <v>11.6745</v>
      </c>
      <c r="N1008" s="9">
        <v>4.7850000000000001</v>
      </c>
      <c r="O1008" s="9">
        <v>0.36199999999999999</v>
      </c>
      <c r="P1008" s="9">
        <v>1.2509999999999999</v>
      </c>
      <c r="Q1008" s="9">
        <v>19.053000000000001</v>
      </c>
      <c r="R1008" s="9"/>
      <c r="S1008" s="11"/>
    </row>
    <row r="1009" spans="1:19" ht="15" customHeight="1">
      <c r="A1009" s="13">
        <v>71894</v>
      </c>
      <c r="B1009" s="8">
        <f>CHOOSE( CONTROL!$C$33, 37.1953, 37.1942) * CHOOSE(CONTROL!$C$16, $D$10, 100%, $F$10)</f>
        <v>37.195300000000003</v>
      </c>
      <c r="C1009" s="8">
        <f>CHOOSE( CONTROL!$C$33, 37.2007, 37.1996) * CHOOSE(CONTROL!$C$16, $D$10, 100%, $F$10)</f>
        <v>37.200699999999998</v>
      </c>
      <c r="D1009" s="8">
        <f>CHOOSE( CONTROL!$C$33, 37.2294, 37.2283) * CHOOSE( CONTROL!$C$16, $D$10, 100%, $F$10)</f>
        <v>37.229399999999998</v>
      </c>
      <c r="E1009" s="12">
        <f>CHOOSE( CONTROL!$C$33, 37.2194, 37.2183) * CHOOSE( CONTROL!$C$16, $D$10, 100%, $F$10)</f>
        <v>37.2194</v>
      </c>
      <c r="F1009" s="4">
        <f>CHOOSE( CONTROL!$C$33, 37.974, 37.9728) * CHOOSE(CONTROL!$C$16, $D$10, 100%, $F$10)</f>
        <v>37.973999999999997</v>
      </c>
      <c r="G1009" s="8">
        <f>CHOOSE( CONTROL!$C$33, 36.7394, 36.7383) * CHOOSE( CONTROL!$C$16, $D$10, 100%, $F$10)</f>
        <v>36.739400000000003</v>
      </c>
      <c r="H1009" s="4">
        <f>CHOOSE( CONTROL!$C$33, 37.718, 37.7169) * CHOOSE(CONTROL!$C$16, $D$10, 100%, $F$10)</f>
        <v>37.718000000000004</v>
      </c>
      <c r="I1009" s="8">
        <f>CHOOSE( CONTROL!$C$33, 36.1679, 36.1668) * CHOOSE(CONTROL!$C$16, $D$10, 100%, $F$10)</f>
        <v>36.167900000000003</v>
      </c>
      <c r="J1009" s="4">
        <f>CHOOSE( CONTROL!$C$33, 36.0325, 36.0314) * CHOOSE(CONTROL!$C$16, $D$10, 100%, $F$10)</f>
        <v>36.032499999999999</v>
      </c>
      <c r="K1009" s="4"/>
      <c r="L1009" s="9">
        <v>31.095300000000002</v>
      </c>
      <c r="M1009" s="9">
        <v>12.063700000000001</v>
      </c>
      <c r="N1009" s="9">
        <v>4.9444999999999997</v>
      </c>
      <c r="O1009" s="9">
        <v>0.37409999999999999</v>
      </c>
      <c r="P1009" s="9">
        <v>1.2927</v>
      </c>
      <c r="Q1009" s="9">
        <v>19.688099999999999</v>
      </c>
      <c r="R1009" s="9"/>
      <c r="S1009" s="11"/>
    </row>
    <row r="1010" spans="1:19" ht="15" customHeight="1">
      <c r="A1010" s="13">
        <v>71924</v>
      </c>
      <c r="B1010" s="8">
        <f>CHOOSE( CONTROL!$C$33, 40.1163, 40.1152) * CHOOSE(CONTROL!$C$16, $D$10, 100%, $F$10)</f>
        <v>40.116300000000003</v>
      </c>
      <c r="C1010" s="8">
        <f>CHOOSE( CONTROL!$C$33, 40.1214, 40.1203) * CHOOSE(CONTROL!$C$16, $D$10, 100%, $F$10)</f>
        <v>40.121400000000001</v>
      </c>
      <c r="D1010" s="8">
        <f>CHOOSE( CONTROL!$C$33, 40.1011, 40.1) * CHOOSE( CONTROL!$C$16, $D$10, 100%, $F$10)</f>
        <v>40.101100000000002</v>
      </c>
      <c r="E1010" s="12">
        <f>CHOOSE( CONTROL!$C$33, 40.108, 40.1069) * CHOOSE( CONTROL!$C$16, $D$10, 100%, $F$10)</f>
        <v>40.107999999999997</v>
      </c>
      <c r="F1010" s="4">
        <f>CHOOSE( CONTROL!$C$33, 40.7792, 40.7781) * CHOOSE(CONTROL!$C$16, $D$10, 100%, $F$10)</f>
        <v>40.779200000000003</v>
      </c>
      <c r="G1010" s="8">
        <f>CHOOSE( CONTROL!$C$33, 39.5926, 39.5915) * CHOOSE( CONTROL!$C$16, $D$10, 100%, $F$10)</f>
        <v>39.592599999999997</v>
      </c>
      <c r="H1010" s="4">
        <f>CHOOSE( CONTROL!$C$33, 40.4841, 40.483) * CHOOSE(CONTROL!$C$16, $D$10, 100%, $F$10)</f>
        <v>40.484099999999998</v>
      </c>
      <c r="I1010" s="8">
        <f>CHOOSE( CONTROL!$C$33, 39.0459, 39.0448) * CHOOSE(CONTROL!$C$16, $D$10, 100%, $F$10)</f>
        <v>39.045900000000003</v>
      </c>
      <c r="J1010" s="4">
        <f>CHOOSE( CONTROL!$C$33, 38.8613, 38.8602) * CHOOSE(CONTROL!$C$16, $D$10, 100%, $F$10)</f>
        <v>38.8613</v>
      </c>
      <c r="K1010" s="4"/>
      <c r="L1010" s="9">
        <v>28.360600000000002</v>
      </c>
      <c r="M1010" s="9">
        <v>11.6745</v>
      </c>
      <c r="N1010" s="9">
        <v>4.7850000000000001</v>
      </c>
      <c r="O1010" s="9">
        <v>0.36199999999999999</v>
      </c>
      <c r="P1010" s="9">
        <v>1.2509999999999999</v>
      </c>
      <c r="Q1010" s="9">
        <v>19.053000000000001</v>
      </c>
      <c r="R1010" s="9"/>
      <c r="S1010" s="11"/>
    </row>
    <row r="1011" spans="1:19" ht="15" customHeight="1">
      <c r="A1011" s="13">
        <v>71955</v>
      </c>
      <c r="B1011" s="8">
        <f>CHOOSE( CONTROL!$C$33, 40.0433, 40.0422) * CHOOSE(CONTROL!$C$16, $D$10, 100%, $F$10)</f>
        <v>40.043300000000002</v>
      </c>
      <c r="C1011" s="8">
        <f>CHOOSE( CONTROL!$C$33, 40.0484, 40.0473) * CHOOSE(CONTROL!$C$16, $D$10, 100%, $F$10)</f>
        <v>40.048400000000001</v>
      </c>
      <c r="D1011" s="8">
        <f>CHOOSE( CONTROL!$C$33, 40.0296, 40.0284) * CHOOSE( CONTROL!$C$16, $D$10, 100%, $F$10)</f>
        <v>40.029600000000002</v>
      </c>
      <c r="E1011" s="12">
        <f>CHOOSE( CONTROL!$C$33, 40.0359, 40.0348) * CHOOSE( CONTROL!$C$16, $D$10, 100%, $F$10)</f>
        <v>40.035899999999998</v>
      </c>
      <c r="F1011" s="4">
        <f>CHOOSE( CONTROL!$C$33, 40.7062, 40.7051) * CHOOSE(CONTROL!$C$16, $D$10, 100%, $F$10)</f>
        <v>40.706200000000003</v>
      </c>
      <c r="G1011" s="8">
        <f>CHOOSE( CONTROL!$C$33, 39.5217, 39.5206) * CHOOSE( CONTROL!$C$16, $D$10, 100%, $F$10)</f>
        <v>39.521700000000003</v>
      </c>
      <c r="H1011" s="4">
        <f>CHOOSE( CONTROL!$C$33, 40.4121, 40.411) * CHOOSE(CONTROL!$C$16, $D$10, 100%, $F$10)</f>
        <v>40.412100000000002</v>
      </c>
      <c r="I1011" s="8">
        <f>CHOOSE( CONTROL!$C$33, 38.9797, 38.9786) * CHOOSE(CONTROL!$C$16, $D$10, 100%, $F$10)</f>
        <v>38.979700000000001</v>
      </c>
      <c r="J1011" s="4">
        <f>CHOOSE( CONTROL!$C$33, 38.7906, 38.7895) * CHOOSE(CONTROL!$C$16, $D$10, 100%, $F$10)</f>
        <v>38.790599999999998</v>
      </c>
      <c r="K1011" s="4"/>
      <c r="L1011" s="9">
        <v>29.306000000000001</v>
      </c>
      <c r="M1011" s="9">
        <v>12.063700000000001</v>
      </c>
      <c r="N1011" s="9">
        <v>4.9444999999999997</v>
      </c>
      <c r="O1011" s="9">
        <v>0.37409999999999999</v>
      </c>
      <c r="P1011" s="9">
        <v>1.2927</v>
      </c>
      <c r="Q1011" s="9">
        <v>19.688099999999999</v>
      </c>
      <c r="R1011" s="9"/>
      <c r="S1011" s="11"/>
    </row>
    <row r="1012" spans="1:19" ht="15" customHeight="1">
      <c r="A1012" s="13">
        <v>71986</v>
      </c>
      <c r="B1012" s="8">
        <f>CHOOSE( CONTROL!$C$33, 41.225, 41.2238) * CHOOSE(CONTROL!$C$16, $D$10, 100%, $F$10)</f>
        <v>41.225000000000001</v>
      </c>
      <c r="C1012" s="8">
        <f>CHOOSE( CONTROL!$C$33, 41.2301, 41.2289) * CHOOSE(CONTROL!$C$16, $D$10, 100%, $F$10)</f>
        <v>41.2301</v>
      </c>
      <c r="D1012" s="8">
        <f>CHOOSE( CONTROL!$C$33, 41.2224, 41.2213) * CHOOSE( CONTROL!$C$16, $D$10, 100%, $F$10)</f>
        <v>41.2224</v>
      </c>
      <c r="E1012" s="12">
        <f>CHOOSE( CONTROL!$C$33, 41.2247, 41.2235) * CHOOSE( CONTROL!$C$16, $D$10, 100%, $F$10)</f>
        <v>41.224699999999999</v>
      </c>
      <c r="F1012" s="4">
        <f>CHOOSE( CONTROL!$C$33, 41.8878, 41.8867) * CHOOSE(CONTROL!$C$16, $D$10, 100%, $F$10)</f>
        <v>41.887799999999999</v>
      </c>
      <c r="G1012" s="8">
        <f>CHOOSE( CONTROL!$C$33, 40.6927, 40.6916) * CHOOSE( CONTROL!$C$16, $D$10, 100%, $F$10)</f>
        <v>40.692700000000002</v>
      </c>
      <c r="H1012" s="4">
        <f>CHOOSE( CONTROL!$C$33, 41.5773, 41.5762) * CHOOSE(CONTROL!$C$16, $D$10, 100%, $F$10)</f>
        <v>41.577300000000001</v>
      </c>
      <c r="I1012" s="8">
        <f>CHOOSE( CONTROL!$C$33, 40.1157, 40.1146) * CHOOSE(CONTROL!$C$16, $D$10, 100%, $F$10)</f>
        <v>40.115699999999997</v>
      </c>
      <c r="J1012" s="4">
        <f>CHOOSE( CONTROL!$C$33, 39.9348, 39.9337) * CHOOSE(CONTROL!$C$16, $D$10, 100%, $F$10)</f>
        <v>39.934800000000003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" customHeight="1">
      <c r="A1013" s="13">
        <v>72014</v>
      </c>
      <c r="B1013" s="8">
        <f>CHOOSE( CONTROL!$C$33, 38.5588, 38.5577) * CHOOSE(CONTROL!$C$16, $D$10, 100%, $F$10)</f>
        <v>38.558799999999998</v>
      </c>
      <c r="C1013" s="8">
        <f>CHOOSE( CONTROL!$C$33, 38.5639, 38.5628) * CHOOSE(CONTROL!$C$16, $D$10, 100%, $F$10)</f>
        <v>38.563899999999997</v>
      </c>
      <c r="D1013" s="8">
        <f>CHOOSE( CONTROL!$C$33, 38.5561, 38.5549) * CHOOSE( CONTROL!$C$16, $D$10, 100%, $F$10)</f>
        <v>38.556100000000001</v>
      </c>
      <c r="E1013" s="12">
        <f>CHOOSE( CONTROL!$C$33, 38.5584, 38.5572) * CHOOSE( CONTROL!$C$16, $D$10, 100%, $F$10)</f>
        <v>38.558399999999999</v>
      </c>
      <c r="F1013" s="4">
        <f>CHOOSE( CONTROL!$C$33, 39.2217, 39.2205) * CHOOSE(CONTROL!$C$16, $D$10, 100%, $F$10)</f>
        <v>39.221699999999998</v>
      </c>
      <c r="G1013" s="8">
        <f>CHOOSE( CONTROL!$C$33, 38.0636, 38.0625) * CHOOSE( CONTROL!$C$16, $D$10, 100%, $F$10)</f>
        <v>38.063600000000001</v>
      </c>
      <c r="H1013" s="4">
        <f>CHOOSE( CONTROL!$C$33, 38.9483, 38.9472) * CHOOSE(CONTROL!$C$16, $D$10, 100%, $F$10)</f>
        <v>38.948300000000003</v>
      </c>
      <c r="I1013" s="8">
        <f>CHOOSE( CONTROL!$C$33, 37.5322, 37.5311) * CHOOSE(CONTROL!$C$16, $D$10, 100%, $F$10)</f>
        <v>37.532200000000003</v>
      </c>
      <c r="J1013" s="4">
        <f>CHOOSE( CONTROL!$C$33, 37.3531, 37.352) * CHOOSE(CONTROL!$C$16, $D$10, 100%, $F$10)</f>
        <v>37.353099999999998</v>
      </c>
      <c r="K1013" s="4"/>
      <c r="L1013" s="9">
        <v>26.469899999999999</v>
      </c>
      <c r="M1013" s="9">
        <v>10.8962</v>
      </c>
      <c r="N1013" s="9">
        <v>4.4660000000000002</v>
      </c>
      <c r="O1013" s="9">
        <v>0.33789999999999998</v>
      </c>
      <c r="P1013" s="9">
        <v>1.1676</v>
      </c>
      <c r="Q1013" s="9">
        <v>17.782800000000002</v>
      </c>
      <c r="R1013" s="9"/>
      <c r="S1013" s="11"/>
    </row>
    <row r="1014" spans="1:19" ht="15" customHeight="1">
      <c r="A1014" s="13">
        <v>72045</v>
      </c>
      <c r="B1014" s="8">
        <f>CHOOSE( CONTROL!$C$33, 37.7376, 37.7365) * CHOOSE(CONTROL!$C$16, $D$10, 100%, $F$10)</f>
        <v>37.7376</v>
      </c>
      <c r="C1014" s="8">
        <f>CHOOSE( CONTROL!$C$33, 37.7427, 37.7416) * CHOOSE(CONTROL!$C$16, $D$10, 100%, $F$10)</f>
        <v>37.742699999999999</v>
      </c>
      <c r="D1014" s="8">
        <f>CHOOSE( CONTROL!$C$33, 37.7342, 37.733) * CHOOSE( CONTROL!$C$16, $D$10, 100%, $F$10)</f>
        <v>37.734200000000001</v>
      </c>
      <c r="E1014" s="12">
        <f>CHOOSE( CONTROL!$C$33, 37.7368, 37.7356) * CHOOSE( CONTROL!$C$16, $D$10, 100%, $F$10)</f>
        <v>37.736800000000002</v>
      </c>
      <c r="F1014" s="4">
        <f>CHOOSE( CONTROL!$C$33, 38.4005, 38.3994) * CHOOSE(CONTROL!$C$16, $D$10, 100%, $F$10)</f>
        <v>38.400500000000001</v>
      </c>
      <c r="G1014" s="8">
        <f>CHOOSE( CONTROL!$C$33, 37.2533, 37.2522) * CHOOSE( CONTROL!$C$16, $D$10, 100%, $F$10)</f>
        <v>37.253300000000003</v>
      </c>
      <c r="H1014" s="4">
        <f>CHOOSE( CONTROL!$C$33, 38.1386, 38.1375) * CHOOSE(CONTROL!$C$16, $D$10, 100%, $F$10)</f>
        <v>38.138599999999997</v>
      </c>
      <c r="I1014" s="8">
        <f>CHOOSE( CONTROL!$C$33, 36.7344, 36.7333) * CHOOSE(CONTROL!$C$16, $D$10, 100%, $F$10)</f>
        <v>36.734400000000001</v>
      </c>
      <c r="J1014" s="4">
        <f>CHOOSE( CONTROL!$C$33, 36.558, 36.5569) * CHOOSE(CONTROL!$C$16, $D$10, 100%, $F$10)</f>
        <v>36.558</v>
      </c>
      <c r="K1014" s="4"/>
      <c r="L1014" s="9">
        <v>29.306000000000001</v>
      </c>
      <c r="M1014" s="9">
        <v>12.063700000000001</v>
      </c>
      <c r="N1014" s="9">
        <v>4.9444999999999997</v>
      </c>
      <c r="O1014" s="9">
        <v>0.37409999999999999</v>
      </c>
      <c r="P1014" s="9">
        <v>1.2927</v>
      </c>
      <c r="Q1014" s="9">
        <v>19.688099999999999</v>
      </c>
      <c r="R1014" s="9"/>
      <c r="S1014" s="11"/>
    </row>
    <row r="1015" spans="1:19" ht="15" customHeight="1">
      <c r="A1015" s="13">
        <v>72075</v>
      </c>
      <c r="B1015" s="8">
        <f>CHOOSE( CONTROL!$C$33, 38.3122, 38.3111) * CHOOSE(CONTROL!$C$16, $D$10, 100%, $F$10)</f>
        <v>38.312199999999997</v>
      </c>
      <c r="C1015" s="8">
        <f>CHOOSE( CONTROL!$C$33, 38.3167, 38.3156) * CHOOSE(CONTROL!$C$16, $D$10, 100%, $F$10)</f>
        <v>38.316699999999997</v>
      </c>
      <c r="D1015" s="8">
        <f>CHOOSE( CONTROL!$C$33, 38.3456, 38.3445) * CHOOSE( CONTROL!$C$16, $D$10, 100%, $F$10)</f>
        <v>38.345599999999997</v>
      </c>
      <c r="E1015" s="12">
        <f>CHOOSE( CONTROL!$C$33, 38.3355, 38.3344) * CHOOSE( CONTROL!$C$16, $D$10, 100%, $F$10)</f>
        <v>38.335500000000003</v>
      </c>
      <c r="F1015" s="4">
        <f>CHOOSE( CONTROL!$C$33, 39.0905, 39.0894) * CHOOSE(CONTROL!$C$16, $D$10, 100%, $F$10)</f>
        <v>39.090499999999999</v>
      </c>
      <c r="G1015" s="8">
        <f>CHOOSE( CONTROL!$C$33, 37.8401, 37.839) * CHOOSE( CONTROL!$C$16, $D$10, 100%, $F$10)</f>
        <v>37.8401</v>
      </c>
      <c r="H1015" s="4">
        <f>CHOOSE( CONTROL!$C$33, 38.819, 38.8179) * CHOOSE(CONTROL!$C$16, $D$10, 100%, $F$10)</f>
        <v>38.819000000000003</v>
      </c>
      <c r="I1015" s="8">
        <f>CHOOSE( CONTROL!$C$33, 37.2483, 37.2472) * CHOOSE(CONTROL!$C$16, $D$10, 100%, $F$10)</f>
        <v>37.2483</v>
      </c>
      <c r="J1015" s="4">
        <f>CHOOSE( CONTROL!$C$33, 37.1136, 37.1125) * CHOOSE(CONTROL!$C$16, $D$10, 100%, $F$10)</f>
        <v>37.113599999999998</v>
      </c>
      <c r="K1015" s="4"/>
      <c r="L1015" s="9">
        <v>30.092199999999998</v>
      </c>
      <c r="M1015" s="9">
        <v>11.6745</v>
      </c>
      <c r="N1015" s="9">
        <v>4.7850000000000001</v>
      </c>
      <c r="O1015" s="9">
        <v>0.36199999999999999</v>
      </c>
      <c r="P1015" s="9">
        <v>1.2509999999999999</v>
      </c>
      <c r="Q1015" s="9">
        <v>19.053000000000001</v>
      </c>
      <c r="R1015" s="9"/>
      <c r="S1015" s="11"/>
    </row>
    <row r="1016" spans="1:19" ht="15" customHeight="1">
      <c r="A1016" s="13">
        <v>72106</v>
      </c>
      <c r="B1016" s="8">
        <f>CHOOSE( CONTROL!$C$33, 39.3353, 39.3337) * CHOOSE(CONTROL!$C$16, $D$10, 100%, $F$10)</f>
        <v>39.335299999999997</v>
      </c>
      <c r="C1016" s="8">
        <f>CHOOSE( CONTROL!$C$33, 39.3433, 39.3417) * CHOOSE(CONTROL!$C$16, $D$10, 100%, $F$10)</f>
        <v>39.343299999999999</v>
      </c>
      <c r="D1016" s="8">
        <f>CHOOSE( CONTROL!$C$33, 39.3655, 39.3639) * CHOOSE( CONTROL!$C$16, $D$10, 100%, $F$10)</f>
        <v>39.365499999999997</v>
      </c>
      <c r="E1016" s="12">
        <f>CHOOSE( CONTROL!$C$33, 39.3562, 39.3546) * CHOOSE( CONTROL!$C$16, $D$10, 100%, $F$10)</f>
        <v>39.356200000000001</v>
      </c>
      <c r="F1016" s="4">
        <f>CHOOSE( CONTROL!$C$33, 40.1122, 40.1106) * CHOOSE(CONTROL!$C$16, $D$10, 100%, $F$10)</f>
        <v>40.112200000000001</v>
      </c>
      <c r="G1016" s="8">
        <f>CHOOSE( CONTROL!$C$33, 38.8475, 38.8459) * CHOOSE( CONTROL!$C$16, $D$10, 100%, $F$10)</f>
        <v>38.847499999999997</v>
      </c>
      <c r="H1016" s="4">
        <f>CHOOSE( CONTROL!$C$33, 39.8264, 39.8249) * CHOOSE(CONTROL!$C$16, $D$10, 100%, $F$10)</f>
        <v>39.8264</v>
      </c>
      <c r="I1016" s="8">
        <f>CHOOSE( CONTROL!$C$33, 38.2377, 38.2362) * CHOOSE(CONTROL!$C$16, $D$10, 100%, $F$10)</f>
        <v>38.237699999999997</v>
      </c>
      <c r="J1016" s="4">
        <f>CHOOSE( CONTROL!$C$33, 38.1029, 38.1014) * CHOOSE(CONTROL!$C$16, $D$10, 100%, $F$10)</f>
        <v>38.102899999999998</v>
      </c>
      <c r="K1016" s="4"/>
      <c r="L1016" s="9">
        <v>30.7165</v>
      </c>
      <c r="M1016" s="9">
        <v>12.063700000000001</v>
      </c>
      <c r="N1016" s="9">
        <v>4.9444999999999997</v>
      </c>
      <c r="O1016" s="9">
        <v>0.37409999999999999</v>
      </c>
      <c r="P1016" s="9">
        <v>1.2927</v>
      </c>
      <c r="Q1016" s="9">
        <v>19.688099999999999</v>
      </c>
      <c r="R1016" s="9"/>
      <c r="S1016" s="11"/>
    </row>
    <row r="1017" spans="1:19" ht="15" customHeight="1">
      <c r="A1017" s="13">
        <v>72136</v>
      </c>
      <c r="B1017" s="8">
        <f>CHOOSE( CONTROL!$C$33, 38.7026, 38.7011) * CHOOSE(CONTROL!$C$16, $D$10, 100%, $F$10)</f>
        <v>38.702599999999997</v>
      </c>
      <c r="C1017" s="8">
        <f>CHOOSE( CONTROL!$C$33, 38.7106, 38.7091) * CHOOSE(CONTROL!$C$16, $D$10, 100%, $F$10)</f>
        <v>38.710599999999999</v>
      </c>
      <c r="D1017" s="8">
        <f>CHOOSE( CONTROL!$C$33, 38.733, 38.7315) * CHOOSE( CONTROL!$C$16, $D$10, 100%, $F$10)</f>
        <v>38.732999999999997</v>
      </c>
      <c r="E1017" s="12">
        <f>CHOOSE( CONTROL!$C$33, 38.7237, 38.7222) * CHOOSE( CONTROL!$C$16, $D$10, 100%, $F$10)</f>
        <v>38.723700000000001</v>
      </c>
      <c r="F1017" s="4">
        <f>CHOOSE( CONTROL!$C$33, 39.4796, 39.478) * CHOOSE(CONTROL!$C$16, $D$10, 100%, $F$10)</f>
        <v>39.479599999999998</v>
      </c>
      <c r="G1017" s="8">
        <f>CHOOSE( CONTROL!$C$33, 38.2238, 38.2223) * CHOOSE( CONTROL!$C$16, $D$10, 100%, $F$10)</f>
        <v>38.223799999999997</v>
      </c>
      <c r="H1017" s="4">
        <f>CHOOSE( CONTROL!$C$33, 39.2026, 39.2011) * CHOOSE(CONTROL!$C$16, $D$10, 100%, $F$10)</f>
        <v>39.202599999999997</v>
      </c>
      <c r="I1017" s="8">
        <f>CHOOSE( CONTROL!$C$33, 37.6254, 37.6239) * CHOOSE(CONTROL!$C$16, $D$10, 100%, $F$10)</f>
        <v>37.625399999999999</v>
      </c>
      <c r="J1017" s="4">
        <f>CHOOSE( CONTROL!$C$33, 37.4904, 37.4888) * CHOOSE(CONTROL!$C$16, $D$10, 100%, $F$10)</f>
        <v>37.490400000000001</v>
      </c>
      <c r="K1017" s="4"/>
      <c r="L1017" s="9">
        <v>29.7257</v>
      </c>
      <c r="M1017" s="9">
        <v>11.6745</v>
      </c>
      <c r="N1017" s="9">
        <v>4.7850000000000001</v>
      </c>
      <c r="O1017" s="9">
        <v>0.36199999999999999</v>
      </c>
      <c r="P1017" s="9">
        <v>1.2509999999999999</v>
      </c>
      <c r="Q1017" s="9">
        <v>19.053000000000001</v>
      </c>
      <c r="R1017" s="9"/>
      <c r="S1017" s="11"/>
    </row>
    <row r="1018" spans="1:19" ht="15" customHeight="1">
      <c r="A1018" s="13">
        <v>72167</v>
      </c>
      <c r="B1018" s="8">
        <f>CHOOSE( CONTROL!$C$33, 40.3686, 40.367) * CHOOSE(CONTROL!$C$16, $D$10, 100%, $F$10)</f>
        <v>40.368600000000001</v>
      </c>
      <c r="C1018" s="8">
        <f>CHOOSE( CONTROL!$C$33, 40.3766, 40.375) * CHOOSE(CONTROL!$C$16, $D$10, 100%, $F$10)</f>
        <v>40.376600000000003</v>
      </c>
      <c r="D1018" s="8">
        <f>CHOOSE( CONTROL!$C$33, 40.3992, 40.3977) * CHOOSE( CONTROL!$C$16, $D$10, 100%, $F$10)</f>
        <v>40.3992</v>
      </c>
      <c r="E1018" s="12">
        <f>CHOOSE( CONTROL!$C$33, 40.3898, 40.3883) * CHOOSE( CONTROL!$C$16, $D$10, 100%, $F$10)</f>
        <v>40.389800000000001</v>
      </c>
      <c r="F1018" s="4">
        <f>CHOOSE( CONTROL!$C$33, 41.1455, 41.144) * CHOOSE(CONTROL!$C$16, $D$10, 100%, $F$10)</f>
        <v>41.145499999999998</v>
      </c>
      <c r="G1018" s="8">
        <f>CHOOSE( CONTROL!$C$33, 39.8667, 39.8652) * CHOOSE( CONTROL!$C$16, $D$10, 100%, $F$10)</f>
        <v>39.866700000000002</v>
      </c>
      <c r="H1018" s="4">
        <f>CHOOSE( CONTROL!$C$33, 40.8453, 40.8438) * CHOOSE(CONTROL!$C$16, $D$10, 100%, $F$10)</f>
        <v>40.845300000000002</v>
      </c>
      <c r="I1018" s="8">
        <f>CHOOSE( CONTROL!$C$33, 39.2401, 39.2386) * CHOOSE(CONTROL!$C$16, $D$10, 100%, $F$10)</f>
        <v>39.240099999999998</v>
      </c>
      <c r="J1018" s="4">
        <f>CHOOSE( CONTROL!$C$33, 39.1035, 39.102) * CHOOSE(CONTROL!$C$16, $D$10, 100%, $F$10)</f>
        <v>39.103499999999997</v>
      </c>
      <c r="K1018" s="4"/>
      <c r="L1018" s="9">
        <v>30.7165</v>
      </c>
      <c r="M1018" s="9">
        <v>12.063700000000001</v>
      </c>
      <c r="N1018" s="9">
        <v>4.9444999999999997</v>
      </c>
      <c r="O1018" s="9">
        <v>0.37409999999999999</v>
      </c>
      <c r="P1018" s="9">
        <v>1.2927</v>
      </c>
      <c r="Q1018" s="9">
        <v>19.688099999999999</v>
      </c>
      <c r="R1018" s="9"/>
      <c r="S1018" s="11"/>
    </row>
    <row r="1019" spans="1:19" ht="15" customHeight="1">
      <c r="A1019" s="13">
        <v>72198</v>
      </c>
      <c r="B1019" s="8">
        <f>CHOOSE( CONTROL!$C$33, 37.2514, 37.2498) * CHOOSE(CONTROL!$C$16, $D$10, 100%, $F$10)</f>
        <v>37.251399999999997</v>
      </c>
      <c r="C1019" s="8">
        <f>CHOOSE( CONTROL!$C$33, 37.2594, 37.2578) * CHOOSE(CONTROL!$C$16, $D$10, 100%, $F$10)</f>
        <v>37.259399999999999</v>
      </c>
      <c r="D1019" s="8">
        <f>CHOOSE( CONTROL!$C$33, 37.2821, 37.2805) * CHOOSE( CONTROL!$C$16, $D$10, 100%, $F$10)</f>
        <v>37.2821</v>
      </c>
      <c r="E1019" s="12">
        <f>CHOOSE( CONTROL!$C$33, 37.2727, 37.2711) * CHOOSE( CONTROL!$C$16, $D$10, 100%, $F$10)</f>
        <v>37.2727</v>
      </c>
      <c r="F1019" s="4">
        <f>CHOOSE( CONTROL!$C$33, 38.0283, 38.0268) * CHOOSE(CONTROL!$C$16, $D$10, 100%, $F$10)</f>
        <v>38.028300000000002</v>
      </c>
      <c r="G1019" s="8">
        <f>CHOOSE( CONTROL!$C$33, 36.793, 36.7915) * CHOOSE( CONTROL!$C$16, $D$10, 100%, $F$10)</f>
        <v>36.792999999999999</v>
      </c>
      <c r="H1019" s="4">
        <f>CHOOSE( CONTROL!$C$33, 37.7716, 37.7701) * CHOOSE(CONTROL!$C$16, $D$10, 100%, $F$10)</f>
        <v>37.771599999999999</v>
      </c>
      <c r="I1019" s="8">
        <f>CHOOSE( CONTROL!$C$33, 36.2204, 36.2189) * CHOOSE(CONTROL!$C$16, $D$10, 100%, $F$10)</f>
        <v>36.220399999999998</v>
      </c>
      <c r="J1019" s="4">
        <f>CHOOSE( CONTROL!$C$33, 36.0851, 36.0836) * CHOOSE(CONTROL!$C$16, $D$10, 100%, $F$10)</f>
        <v>36.085099999999997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1.2927</v>
      </c>
      <c r="Q1019" s="9">
        <v>19.688099999999999</v>
      </c>
      <c r="R1019" s="9"/>
      <c r="S1019" s="11"/>
    </row>
    <row r="1020" spans="1:19" ht="15" customHeight="1">
      <c r="A1020" s="13">
        <v>72228</v>
      </c>
      <c r="B1020" s="8">
        <f>CHOOSE( CONTROL!$C$33, 36.4708, 36.4692) * CHOOSE(CONTROL!$C$16, $D$10, 100%, $F$10)</f>
        <v>36.470799999999997</v>
      </c>
      <c r="C1020" s="8">
        <f>CHOOSE( CONTROL!$C$33, 36.4788, 36.4772) * CHOOSE(CONTROL!$C$16, $D$10, 100%, $F$10)</f>
        <v>36.4788</v>
      </c>
      <c r="D1020" s="8">
        <f>CHOOSE( CONTROL!$C$33, 36.5014, 36.4998) * CHOOSE( CONTROL!$C$16, $D$10, 100%, $F$10)</f>
        <v>36.501399999999997</v>
      </c>
      <c r="E1020" s="12">
        <f>CHOOSE( CONTROL!$C$33, 36.492, 36.4904) * CHOOSE( CONTROL!$C$16, $D$10, 100%, $F$10)</f>
        <v>36.491999999999997</v>
      </c>
      <c r="F1020" s="4">
        <f>CHOOSE( CONTROL!$C$33, 37.2477, 37.2462) * CHOOSE(CONTROL!$C$16, $D$10, 100%, $F$10)</f>
        <v>37.247700000000002</v>
      </c>
      <c r="G1020" s="8">
        <f>CHOOSE( CONTROL!$C$33, 36.0232, 36.0217) * CHOOSE( CONTROL!$C$16, $D$10, 100%, $F$10)</f>
        <v>36.023200000000003</v>
      </c>
      <c r="H1020" s="4">
        <f>CHOOSE( CONTROL!$C$33, 37.0019, 37.0004) * CHOOSE(CONTROL!$C$16, $D$10, 100%, $F$10)</f>
        <v>37.001899999999999</v>
      </c>
      <c r="I1020" s="8">
        <f>CHOOSE( CONTROL!$C$33, 35.4638, 35.4622) * CHOOSE(CONTROL!$C$16, $D$10, 100%, $F$10)</f>
        <v>35.463799999999999</v>
      </c>
      <c r="J1020" s="4">
        <f>CHOOSE( CONTROL!$C$33, 35.3293, 35.3278) * CHOOSE(CONTROL!$C$16, $D$10, 100%, $F$10)</f>
        <v>35.329300000000003</v>
      </c>
      <c r="K1020" s="4"/>
      <c r="L1020" s="9">
        <v>29.7257</v>
      </c>
      <c r="M1020" s="9">
        <v>11.6745</v>
      </c>
      <c r="N1020" s="9">
        <v>4.7850000000000001</v>
      </c>
      <c r="O1020" s="9">
        <v>0.36199999999999999</v>
      </c>
      <c r="P1020" s="9">
        <v>1.2509999999999999</v>
      </c>
      <c r="Q1020" s="9">
        <v>19.053000000000001</v>
      </c>
      <c r="R1020" s="9"/>
      <c r="S1020" s="11"/>
    </row>
    <row r="1021" spans="1:19" ht="15" customHeight="1">
      <c r="A1021" s="13">
        <v>72259</v>
      </c>
      <c r="B1021" s="8">
        <f>CHOOSE( CONTROL!$C$33, 38.0894, 38.0883) * CHOOSE(CONTROL!$C$16, $D$10, 100%, $F$10)</f>
        <v>38.089399999999998</v>
      </c>
      <c r="C1021" s="8">
        <f>CHOOSE( CONTROL!$C$33, 38.0948, 38.0936) * CHOOSE(CONTROL!$C$16, $D$10, 100%, $F$10)</f>
        <v>38.094799999999999</v>
      </c>
      <c r="D1021" s="8">
        <f>CHOOSE( CONTROL!$C$33, 38.1235, 38.1224) * CHOOSE( CONTROL!$C$16, $D$10, 100%, $F$10)</f>
        <v>38.1235</v>
      </c>
      <c r="E1021" s="12">
        <f>CHOOSE( CONTROL!$C$33, 38.1135, 38.1123) * CHOOSE( CONTROL!$C$16, $D$10, 100%, $F$10)</f>
        <v>38.113500000000002</v>
      </c>
      <c r="F1021" s="4">
        <f>CHOOSE( CONTROL!$C$33, 38.8681, 38.8669) * CHOOSE(CONTROL!$C$16, $D$10, 100%, $F$10)</f>
        <v>38.868099999999998</v>
      </c>
      <c r="G1021" s="8">
        <f>CHOOSE( CONTROL!$C$33, 37.6211, 37.6199) * CHOOSE( CONTROL!$C$16, $D$10, 100%, $F$10)</f>
        <v>37.621099999999998</v>
      </c>
      <c r="H1021" s="4">
        <f>CHOOSE( CONTROL!$C$33, 38.5996, 38.5985) * CHOOSE(CONTROL!$C$16, $D$10, 100%, $F$10)</f>
        <v>38.599600000000002</v>
      </c>
      <c r="I1021" s="8">
        <f>CHOOSE( CONTROL!$C$33, 37.0341, 37.033) * CHOOSE(CONTROL!$C$16, $D$10, 100%, $F$10)</f>
        <v>37.034100000000002</v>
      </c>
      <c r="J1021" s="4">
        <f>CHOOSE( CONTROL!$C$33, 36.8982, 36.8972) * CHOOSE(CONTROL!$C$16, $D$10, 100%, $F$10)</f>
        <v>36.898200000000003</v>
      </c>
      <c r="K1021" s="4"/>
      <c r="L1021" s="9">
        <v>31.095300000000002</v>
      </c>
      <c r="M1021" s="9">
        <v>12.063700000000001</v>
      </c>
      <c r="N1021" s="9">
        <v>4.9444999999999997</v>
      </c>
      <c r="O1021" s="9">
        <v>0.37409999999999999</v>
      </c>
      <c r="P1021" s="9">
        <v>1.2927</v>
      </c>
      <c r="Q1021" s="9">
        <v>19.688099999999999</v>
      </c>
      <c r="R1021" s="9"/>
      <c r="S1021" s="11"/>
    </row>
    <row r="1022" spans="1:19" ht="15" customHeight="1">
      <c r="A1022" s="13">
        <v>72289</v>
      </c>
      <c r="B1022" s="8">
        <f>CHOOSE( CONTROL!$C$33, 41.0806, 41.0795) * CHOOSE(CONTROL!$C$16, $D$10, 100%, $F$10)</f>
        <v>41.080599999999997</v>
      </c>
      <c r="C1022" s="8">
        <f>CHOOSE( CONTROL!$C$33, 41.0857, 41.0846) * CHOOSE(CONTROL!$C$16, $D$10, 100%, $F$10)</f>
        <v>41.085700000000003</v>
      </c>
      <c r="D1022" s="8">
        <f>CHOOSE( CONTROL!$C$33, 41.0654, 41.0643) * CHOOSE( CONTROL!$C$16, $D$10, 100%, $F$10)</f>
        <v>41.065399999999997</v>
      </c>
      <c r="E1022" s="12">
        <f>CHOOSE( CONTROL!$C$33, 41.0723, 41.0712) * CHOOSE( CONTROL!$C$16, $D$10, 100%, $F$10)</f>
        <v>41.072299999999998</v>
      </c>
      <c r="F1022" s="4">
        <f>CHOOSE( CONTROL!$C$33, 41.7435, 41.7423) * CHOOSE(CONTROL!$C$16, $D$10, 100%, $F$10)</f>
        <v>41.743499999999997</v>
      </c>
      <c r="G1022" s="8">
        <f>CHOOSE( CONTROL!$C$33, 40.5434, 40.5423) * CHOOSE( CONTROL!$C$16, $D$10, 100%, $F$10)</f>
        <v>40.543399999999998</v>
      </c>
      <c r="H1022" s="4">
        <f>CHOOSE( CONTROL!$C$33, 41.4349, 41.4338) * CHOOSE(CONTROL!$C$16, $D$10, 100%, $F$10)</f>
        <v>41.434899999999999</v>
      </c>
      <c r="I1022" s="8">
        <f>CHOOSE( CONTROL!$C$33, 39.9801, 39.979) * CHOOSE(CONTROL!$C$16, $D$10, 100%, $F$10)</f>
        <v>39.9801</v>
      </c>
      <c r="J1022" s="4">
        <f>CHOOSE( CONTROL!$C$33, 39.795, 39.7939) * CHOOSE(CONTROL!$C$16, $D$10, 100%, $F$10)</f>
        <v>39.795000000000002</v>
      </c>
      <c r="K1022" s="4"/>
      <c r="L1022" s="9">
        <v>28.360600000000002</v>
      </c>
      <c r="M1022" s="9">
        <v>11.6745</v>
      </c>
      <c r="N1022" s="9">
        <v>4.7850000000000001</v>
      </c>
      <c r="O1022" s="9">
        <v>0.36199999999999999</v>
      </c>
      <c r="P1022" s="9">
        <v>1.2509999999999999</v>
      </c>
      <c r="Q1022" s="9">
        <v>19.053000000000001</v>
      </c>
      <c r="R1022" s="9"/>
      <c r="S1022" s="11"/>
    </row>
    <row r="1023" spans="1:19" ht="15" customHeight="1">
      <c r="A1023" s="13">
        <v>72320</v>
      </c>
      <c r="B1023" s="8">
        <f>CHOOSE( CONTROL!$C$33, 41.0059, 41.0047) * CHOOSE(CONTROL!$C$16, $D$10, 100%, $F$10)</f>
        <v>41.005899999999997</v>
      </c>
      <c r="C1023" s="8">
        <f>CHOOSE( CONTROL!$C$33, 41.011, 41.0098) * CHOOSE(CONTROL!$C$16, $D$10, 100%, $F$10)</f>
        <v>41.011000000000003</v>
      </c>
      <c r="D1023" s="8">
        <f>CHOOSE( CONTROL!$C$33, 40.9921, 40.991) * CHOOSE( CONTROL!$C$16, $D$10, 100%, $F$10)</f>
        <v>40.992100000000001</v>
      </c>
      <c r="E1023" s="12">
        <f>CHOOSE( CONTROL!$C$33, 40.9985, 40.9973) * CHOOSE( CONTROL!$C$16, $D$10, 100%, $F$10)</f>
        <v>40.9985</v>
      </c>
      <c r="F1023" s="4">
        <f>CHOOSE( CONTROL!$C$33, 41.6687, 41.6676) * CHOOSE(CONTROL!$C$16, $D$10, 100%, $F$10)</f>
        <v>41.668700000000001</v>
      </c>
      <c r="G1023" s="8">
        <f>CHOOSE( CONTROL!$C$33, 40.4708, 40.4697) * CHOOSE( CONTROL!$C$16, $D$10, 100%, $F$10)</f>
        <v>40.470799999999997</v>
      </c>
      <c r="H1023" s="4">
        <f>CHOOSE( CONTROL!$C$33, 41.3612, 41.3601) * CHOOSE(CONTROL!$C$16, $D$10, 100%, $F$10)</f>
        <v>41.361199999999997</v>
      </c>
      <c r="I1023" s="8">
        <f>CHOOSE( CONTROL!$C$33, 39.9122, 39.9111) * CHOOSE(CONTROL!$C$16, $D$10, 100%, $F$10)</f>
        <v>39.912199999999999</v>
      </c>
      <c r="J1023" s="4">
        <f>CHOOSE( CONTROL!$C$33, 39.7226, 39.7215) * CHOOSE(CONTROL!$C$16, $D$10, 100%, $F$10)</f>
        <v>39.7226</v>
      </c>
      <c r="K1023" s="4"/>
      <c r="L1023" s="9">
        <v>29.306000000000001</v>
      </c>
      <c r="M1023" s="9">
        <v>12.063700000000001</v>
      </c>
      <c r="N1023" s="9">
        <v>4.9444999999999997</v>
      </c>
      <c r="O1023" s="9">
        <v>0.37409999999999999</v>
      </c>
      <c r="P1023" s="9">
        <v>1.2927</v>
      </c>
      <c r="Q1023" s="9">
        <v>19.688099999999999</v>
      </c>
      <c r="R1023" s="9"/>
      <c r="S1023" s="11"/>
    </row>
    <row r="1024" spans="1:19" ht="15" customHeight="1">
      <c r="A1024" s="13">
        <v>72351</v>
      </c>
      <c r="B1024" s="8">
        <f>CHOOSE( CONTROL!$C$33, 42.2159, 42.2147) * CHOOSE(CONTROL!$C$16, $D$10, 100%, $F$10)</f>
        <v>42.215899999999998</v>
      </c>
      <c r="C1024" s="8">
        <f>CHOOSE( CONTROL!$C$33, 42.221, 42.2198) * CHOOSE(CONTROL!$C$16, $D$10, 100%, $F$10)</f>
        <v>42.220999999999997</v>
      </c>
      <c r="D1024" s="8">
        <f>CHOOSE( CONTROL!$C$33, 42.2133, 42.2122) * CHOOSE( CONTROL!$C$16, $D$10, 100%, $F$10)</f>
        <v>42.213299999999997</v>
      </c>
      <c r="E1024" s="12">
        <f>CHOOSE( CONTROL!$C$33, 42.2156, 42.2144) * CHOOSE( CONTROL!$C$16, $D$10, 100%, $F$10)</f>
        <v>42.215600000000002</v>
      </c>
      <c r="F1024" s="4">
        <f>CHOOSE( CONTROL!$C$33, 42.8787, 42.8776) * CHOOSE(CONTROL!$C$16, $D$10, 100%, $F$10)</f>
        <v>42.878700000000002</v>
      </c>
      <c r="G1024" s="8">
        <f>CHOOSE( CONTROL!$C$33, 41.6698, 41.6687) * CHOOSE( CONTROL!$C$16, $D$10, 100%, $F$10)</f>
        <v>41.669800000000002</v>
      </c>
      <c r="H1024" s="4">
        <f>CHOOSE( CONTROL!$C$33, 42.5544, 42.5533) * CHOOSE(CONTROL!$C$16, $D$10, 100%, $F$10)</f>
        <v>42.554400000000001</v>
      </c>
      <c r="I1024" s="8">
        <f>CHOOSE( CONTROL!$C$33, 41.0757, 41.0746) * CHOOSE(CONTROL!$C$16, $D$10, 100%, $F$10)</f>
        <v>41.075699999999998</v>
      </c>
      <c r="J1024" s="4">
        <f>CHOOSE( CONTROL!$C$33, 40.8943, 40.8932) * CHOOSE(CONTROL!$C$16, $D$10, 100%, $F$10)</f>
        <v>40.894300000000001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" customHeight="1">
      <c r="A1025" s="13">
        <v>72379</v>
      </c>
      <c r="B1025" s="8">
        <f>CHOOSE( CONTROL!$C$33, 39.4856, 39.4845) * CHOOSE(CONTROL!$C$16, $D$10, 100%, $F$10)</f>
        <v>39.485599999999998</v>
      </c>
      <c r="C1025" s="8">
        <f>CHOOSE( CONTROL!$C$33, 39.4907, 39.4896) * CHOOSE(CONTROL!$C$16, $D$10, 100%, $F$10)</f>
        <v>39.490699999999997</v>
      </c>
      <c r="D1025" s="8">
        <f>CHOOSE( CONTROL!$C$33, 39.4829, 39.4818) * CHOOSE( CONTROL!$C$16, $D$10, 100%, $F$10)</f>
        <v>39.482900000000001</v>
      </c>
      <c r="E1025" s="12">
        <f>CHOOSE( CONTROL!$C$33, 39.4852, 39.4841) * CHOOSE( CONTROL!$C$16, $D$10, 100%, $F$10)</f>
        <v>39.485199999999999</v>
      </c>
      <c r="F1025" s="4">
        <f>CHOOSE( CONTROL!$C$33, 40.1485, 40.1474) * CHOOSE(CONTROL!$C$16, $D$10, 100%, $F$10)</f>
        <v>40.148499999999999</v>
      </c>
      <c r="G1025" s="8">
        <f>CHOOSE( CONTROL!$C$33, 38.9775, 38.9764) * CHOOSE( CONTROL!$C$16, $D$10, 100%, $F$10)</f>
        <v>38.977499999999999</v>
      </c>
      <c r="H1025" s="4">
        <f>CHOOSE( CONTROL!$C$33, 39.8622, 39.8611) * CHOOSE(CONTROL!$C$16, $D$10, 100%, $F$10)</f>
        <v>39.862200000000001</v>
      </c>
      <c r="I1025" s="8">
        <f>CHOOSE( CONTROL!$C$33, 38.4301, 38.429) * CHOOSE(CONTROL!$C$16, $D$10, 100%, $F$10)</f>
        <v>38.430100000000003</v>
      </c>
      <c r="J1025" s="4">
        <f>CHOOSE( CONTROL!$C$33, 38.2506, 38.2495) * CHOOSE(CONTROL!$C$16, $D$10, 100%, $F$10)</f>
        <v>38.250599999999999</v>
      </c>
      <c r="K1025" s="4"/>
      <c r="L1025" s="9">
        <v>26.469899999999999</v>
      </c>
      <c r="M1025" s="9">
        <v>10.8962</v>
      </c>
      <c r="N1025" s="9">
        <v>4.4660000000000002</v>
      </c>
      <c r="O1025" s="9">
        <v>0.33789999999999998</v>
      </c>
      <c r="P1025" s="9">
        <v>1.1676</v>
      </c>
      <c r="Q1025" s="9">
        <v>17.782800000000002</v>
      </c>
      <c r="R1025" s="9"/>
      <c r="S1025" s="11"/>
    </row>
    <row r="1026" spans="1:19" ht="15" customHeight="1">
      <c r="A1026" s="13">
        <v>72410</v>
      </c>
      <c r="B1026" s="8">
        <f>CHOOSE( CONTROL!$C$33, 38.6447, 38.6436) * CHOOSE(CONTROL!$C$16, $D$10, 100%, $F$10)</f>
        <v>38.6447</v>
      </c>
      <c r="C1026" s="8">
        <f>CHOOSE( CONTROL!$C$33, 38.6498, 38.6487) * CHOOSE(CONTROL!$C$16, $D$10, 100%, $F$10)</f>
        <v>38.649799999999999</v>
      </c>
      <c r="D1026" s="8">
        <f>CHOOSE( CONTROL!$C$33, 38.6413, 38.6402) * CHOOSE( CONTROL!$C$16, $D$10, 100%, $F$10)</f>
        <v>38.641300000000001</v>
      </c>
      <c r="E1026" s="12">
        <f>CHOOSE( CONTROL!$C$33, 38.6439, 38.6428) * CHOOSE( CONTROL!$C$16, $D$10, 100%, $F$10)</f>
        <v>38.643900000000002</v>
      </c>
      <c r="F1026" s="4">
        <f>CHOOSE( CONTROL!$C$33, 39.3076, 39.3065) * CHOOSE(CONTROL!$C$16, $D$10, 100%, $F$10)</f>
        <v>39.307600000000001</v>
      </c>
      <c r="G1026" s="8">
        <f>CHOOSE( CONTROL!$C$33, 38.1478, 38.1467) * CHOOSE( CONTROL!$C$16, $D$10, 100%, $F$10)</f>
        <v>38.147799999999997</v>
      </c>
      <c r="H1026" s="4">
        <f>CHOOSE( CONTROL!$C$33, 39.0331, 39.032) * CHOOSE(CONTROL!$C$16, $D$10, 100%, $F$10)</f>
        <v>39.033099999999997</v>
      </c>
      <c r="I1026" s="8">
        <f>CHOOSE( CONTROL!$C$33, 37.6132, 37.6121) * CHOOSE(CONTROL!$C$16, $D$10, 100%, $F$10)</f>
        <v>37.613199999999999</v>
      </c>
      <c r="J1026" s="4">
        <f>CHOOSE( CONTROL!$C$33, 37.4364, 37.4353) * CHOOSE(CONTROL!$C$16, $D$10, 100%, $F$10)</f>
        <v>37.436399999999999</v>
      </c>
      <c r="K1026" s="4"/>
      <c r="L1026" s="9">
        <v>29.306000000000001</v>
      </c>
      <c r="M1026" s="9">
        <v>12.063700000000001</v>
      </c>
      <c r="N1026" s="9">
        <v>4.9444999999999997</v>
      </c>
      <c r="O1026" s="9">
        <v>0.37409999999999999</v>
      </c>
      <c r="P1026" s="9">
        <v>1.2927</v>
      </c>
      <c r="Q1026" s="9">
        <v>19.688099999999999</v>
      </c>
      <c r="R1026" s="9"/>
      <c r="S1026" s="11"/>
    </row>
    <row r="1027" spans="1:19" ht="15" customHeight="1">
      <c r="A1027" s="13">
        <v>72440</v>
      </c>
      <c r="B1027" s="8">
        <f>CHOOSE( CONTROL!$C$33, 39.2331, 39.232) * CHOOSE(CONTROL!$C$16, $D$10, 100%, $F$10)</f>
        <v>39.2331</v>
      </c>
      <c r="C1027" s="8">
        <f>CHOOSE( CONTROL!$C$33, 39.2376, 39.2365) * CHOOSE(CONTROL!$C$16, $D$10, 100%, $F$10)</f>
        <v>39.2376</v>
      </c>
      <c r="D1027" s="8">
        <f>CHOOSE( CONTROL!$C$33, 39.2665, 39.2654) * CHOOSE( CONTROL!$C$16, $D$10, 100%, $F$10)</f>
        <v>39.266500000000001</v>
      </c>
      <c r="E1027" s="12">
        <f>CHOOSE( CONTROL!$C$33, 39.2564, 39.2553) * CHOOSE( CONTROL!$C$16, $D$10, 100%, $F$10)</f>
        <v>39.256399999999999</v>
      </c>
      <c r="F1027" s="4">
        <f>CHOOSE( CONTROL!$C$33, 40.0114, 40.0103) * CHOOSE(CONTROL!$C$16, $D$10, 100%, $F$10)</f>
        <v>40.011400000000002</v>
      </c>
      <c r="G1027" s="8">
        <f>CHOOSE( CONTROL!$C$33, 38.7482, 38.747) * CHOOSE( CONTROL!$C$16, $D$10, 100%, $F$10)</f>
        <v>38.748199999999997</v>
      </c>
      <c r="H1027" s="4">
        <f>CHOOSE( CONTROL!$C$33, 39.727, 39.7259) * CHOOSE(CONTROL!$C$16, $D$10, 100%, $F$10)</f>
        <v>39.726999999999997</v>
      </c>
      <c r="I1027" s="8">
        <f>CHOOSE( CONTROL!$C$33, 38.1404, 38.1393) * CHOOSE(CONTROL!$C$16, $D$10, 100%, $F$10)</f>
        <v>38.1404</v>
      </c>
      <c r="J1027" s="4">
        <f>CHOOSE( CONTROL!$C$33, 38.0053, 38.0043) * CHOOSE(CONTROL!$C$16, $D$10, 100%, $F$10)</f>
        <v>38.005299999999998</v>
      </c>
      <c r="K1027" s="4"/>
      <c r="L1027" s="9">
        <v>30.092199999999998</v>
      </c>
      <c r="M1027" s="9">
        <v>11.6745</v>
      </c>
      <c r="N1027" s="9">
        <v>4.7850000000000001</v>
      </c>
      <c r="O1027" s="9">
        <v>0.36199999999999999</v>
      </c>
      <c r="P1027" s="9">
        <v>1.2509999999999999</v>
      </c>
      <c r="Q1027" s="9">
        <v>19.053000000000001</v>
      </c>
      <c r="R1027" s="9"/>
      <c r="S1027" s="11"/>
    </row>
    <row r="1028" spans="1:19" ht="15" customHeight="1">
      <c r="A1028" s="13">
        <v>72471</v>
      </c>
      <c r="B1028" s="8">
        <f>CHOOSE( CONTROL!$C$33, 40.2807, 40.2792) * CHOOSE(CONTROL!$C$16, $D$10, 100%, $F$10)</f>
        <v>40.280700000000003</v>
      </c>
      <c r="C1028" s="8">
        <f>CHOOSE( CONTROL!$C$33, 40.2887, 40.2872) * CHOOSE(CONTROL!$C$16, $D$10, 100%, $F$10)</f>
        <v>40.288699999999999</v>
      </c>
      <c r="D1028" s="8">
        <f>CHOOSE( CONTROL!$C$33, 40.311, 40.3094) * CHOOSE( CONTROL!$C$16, $D$10, 100%, $F$10)</f>
        <v>40.311</v>
      </c>
      <c r="E1028" s="12">
        <f>CHOOSE( CONTROL!$C$33, 40.3017, 40.3001) * CHOOSE( CONTROL!$C$16, $D$10, 100%, $F$10)</f>
        <v>40.301699999999997</v>
      </c>
      <c r="F1028" s="4">
        <f>CHOOSE( CONTROL!$C$33, 41.0576, 41.0561) * CHOOSE(CONTROL!$C$16, $D$10, 100%, $F$10)</f>
        <v>41.057600000000001</v>
      </c>
      <c r="G1028" s="8">
        <f>CHOOSE( CONTROL!$C$33, 39.7797, 39.7782) * CHOOSE( CONTROL!$C$16, $D$10, 100%, $F$10)</f>
        <v>39.779699999999998</v>
      </c>
      <c r="H1028" s="4">
        <f>CHOOSE( CONTROL!$C$33, 40.7587, 40.7571) * CHOOSE(CONTROL!$C$16, $D$10, 100%, $F$10)</f>
        <v>40.758699999999997</v>
      </c>
      <c r="I1028" s="8">
        <f>CHOOSE( CONTROL!$C$33, 39.1536, 39.1521) * CHOOSE(CONTROL!$C$16, $D$10, 100%, $F$10)</f>
        <v>39.153599999999997</v>
      </c>
      <c r="J1028" s="4">
        <f>CHOOSE( CONTROL!$C$33, 39.0184, 39.0169) * CHOOSE(CONTROL!$C$16, $D$10, 100%, $F$10)</f>
        <v>39.0184</v>
      </c>
      <c r="K1028" s="4"/>
      <c r="L1028" s="9">
        <v>30.7165</v>
      </c>
      <c r="M1028" s="9">
        <v>12.063700000000001</v>
      </c>
      <c r="N1028" s="9">
        <v>4.9444999999999997</v>
      </c>
      <c r="O1028" s="9">
        <v>0.37409999999999999</v>
      </c>
      <c r="P1028" s="9">
        <v>1.2927</v>
      </c>
      <c r="Q1028" s="9">
        <v>19.688099999999999</v>
      </c>
      <c r="R1028" s="9"/>
      <c r="S1028" s="11"/>
    </row>
    <row r="1029" spans="1:19" ht="15" customHeight="1">
      <c r="A1029" s="13">
        <v>72501</v>
      </c>
      <c r="B1029" s="8">
        <f>CHOOSE( CONTROL!$C$33, 39.6329, 39.6313) * CHOOSE(CONTROL!$C$16, $D$10, 100%, $F$10)</f>
        <v>39.632899999999999</v>
      </c>
      <c r="C1029" s="8">
        <f>CHOOSE( CONTROL!$C$33, 39.6409, 39.6393) * CHOOSE(CONTROL!$C$16, $D$10, 100%, $F$10)</f>
        <v>39.640900000000002</v>
      </c>
      <c r="D1029" s="8">
        <f>CHOOSE( CONTROL!$C$33, 39.6633, 39.6617) * CHOOSE( CONTROL!$C$16, $D$10, 100%, $F$10)</f>
        <v>39.6633</v>
      </c>
      <c r="E1029" s="12">
        <f>CHOOSE( CONTROL!$C$33, 39.654, 39.6524) * CHOOSE( CONTROL!$C$16, $D$10, 100%, $F$10)</f>
        <v>39.654000000000003</v>
      </c>
      <c r="F1029" s="4">
        <f>CHOOSE( CONTROL!$C$33, 40.4098, 40.4082) * CHOOSE(CONTROL!$C$16, $D$10, 100%, $F$10)</f>
        <v>40.409799999999997</v>
      </c>
      <c r="G1029" s="8">
        <f>CHOOSE( CONTROL!$C$33, 39.1411, 39.1395) * CHOOSE( CONTROL!$C$16, $D$10, 100%, $F$10)</f>
        <v>39.141100000000002</v>
      </c>
      <c r="H1029" s="4">
        <f>CHOOSE( CONTROL!$C$33, 40.1199, 40.1183) * CHOOSE(CONTROL!$C$16, $D$10, 100%, $F$10)</f>
        <v>40.119900000000001</v>
      </c>
      <c r="I1029" s="8">
        <f>CHOOSE( CONTROL!$C$33, 38.5266, 38.5251) * CHOOSE(CONTROL!$C$16, $D$10, 100%, $F$10)</f>
        <v>38.526600000000002</v>
      </c>
      <c r="J1029" s="4">
        <f>CHOOSE( CONTROL!$C$33, 38.3911, 38.3896) * CHOOSE(CONTROL!$C$16, $D$10, 100%, $F$10)</f>
        <v>38.391100000000002</v>
      </c>
      <c r="K1029" s="4"/>
      <c r="L1029" s="9">
        <v>29.7257</v>
      </c>
      <c r="M1029" s="9">
        <v>11.6745</v>
      </c>
      <c r="N1029" s="9">
        <v>4.7850000000000001</v>
      </c>
      <c r="O1029" s="9">
        <v>0.36199999999999999</v>
      </c>
      <c r="P1029" s="9">
        <v>1.2509999999999999</v>
      </c>
      <c r="Q1029" s="9">
        <v>19.053000000000001</v>
      </c>
      <c r="R1029" s="9"/>
      <c r="S1029" s="11"/>
    </row>
    <row r="1030" spans="1:19" ht="15" customHeight="1">
      <c r="A1030" s="13">
        <v>72532</v>
      </c>
      <c r="B1030" s="8">
        <f>CHOOSE( CONTROL!$C$33, 41.3389, 41.3373) * CHOOSE(CONTROL!$C$16, $D$10, 100%, $F$10)</f>
        <v>41.338900000000002</v>
      </c>
      <c r="C1030" s="8">
        <f>CHOOSE( CONTROL!$C$33, 41.3469, 41.3453) * CHOOSE(CONTROL!$C$16, $D$10, 100%, $F$10)</f>
        <v>41.346899999999998</v>
      </c>
      <c r="D1030" s="8">
        <f>CHOOSE( CONTROL!$C$33, 41.3695, 41.3679) * CHOOSE( CONTROL!$C$16, $D$10, 100%, $F$10)</f>
        <v>41.369500000000002</v>
      </c>
      <c r="E1030" s="12">
        <f>CHOOSE( CONTROL!$C$33, 41.3601, 41.3585) * CHOOSE( CONTROL!$C$16, $D$10, 100%, $F$10)</f>
        <v>41.360100000000003</v>
      </c>
      <c r="F1030" s="4">
        <f>CHOOSE( CONTROL!$C$33, 42.1158, 42.1142) * CHOOSE(CONTROL!$C$16, $D$10, 100%, $F$10)</f>
        <v>42.1158</v>
      </c>
      <c r="G1030" s="8">
        <f>CHOOSE( CONTROL!$C$33, 40.8234, 40.8219) * CHOOSE( CONTROL!$C$16, $D$10, 100%, $F$10)</f>
        <v>40.823399999999999</v>
      </c>
      <c r="H1030" s="4">
        <f>CHOOSE( CONTROL!$C$33, 41.8021, 41.8005) * CHOOSE(CONTROL!$C$16, $D$10, 100%, $F$10)</f>
        <v>41.802100000000003</v>
      </c>
      <c r="I1030" s="8">
        <f>CHOOSE( CONTROL!$C$33, 40.1801, 40.1786) * CHOOSE(CONTROL!$C$16, $D$10, 100%, $F$10)</f>
        <v>40.180100000000003</v>
      </c>
      <c r="J1030" s="4">
        <f>CHOOSE( CONTROL!$C$33, 40.043, 40.0415) * CHOOSE(CONTROL!$C$16, $D$10, 100%, $F$10)</f>
        <v>40.042999999999999</v>
      </c>
      <c r="K1030" s="4"/>
      <c r="L1030" s="9">
        <v>30.7165</v>
      </c>
      <c r="M1030" s="9">
        <v>12.063700000000001</v>
      </c>
      <c r="N1030" s="9">
        <v>4.9444999999999997</v>
      </c>
      <c r="O1030" s="9">
        <v>0.37409999999999999</v>
      </c>
      <c r="P1030" s="9">
        <v>1.2927</v>
      </c>
      <c r="Q1030" s="9">
        <v>19.688099999999999</v>
      </c>
      <c r="R1030" s="9"/>
      <c r="S1030" s="11"/>
    </row>
    <row r="1031" spans="1:19" ht="15" customHeight="1">
      <c r="A1031" s="13">
        <v>72563</v>
      </c>
      <c r="B1031" s="8">
        <f>CHOOSE( CONTROL!$C$33, 38.1468, 38.1452) * CHOOSE(CONTROL!$C$16, $D$10, 100%, $F$10)</f>
        <v>38.146799999999999</v>
      </c>
      <c r="C1031" s="8">
        <f>CHOOSE( CONTROL!$C$33, 38.1548, 38.1532) * CHOOSE(CONTROL!$C$16, $D$10, 100%, $F$10)</f>
        <v>38.154800000000002</v>
      </c>
      <c r="D1031" s="8">
        <f>CHOOSE( CONTROL!$C$33, 38.1775, 38.1759) * CHOOSE( CONTROL!$C$16, $D$10, 100%, $F$10)</f>
        <v>38.177500000000002</v>
      </c>
      <c r="E1031" s="12">
        <f>CHOOSE( CONTROL!$C$33, 38.1681, 38.1665) * CHOOSE( CONTROL!$C$16, $D$10, 100%, $F$10)</f>
        <v>38.168100000000003</v>
      </c>
      <c r="F1031" s="4">
        <f>CHOOSE( CONTROL!$C$33, 38.9237, 38.9221) * CHOOSE(CONTROL!$C$16, $D$10, 100%, $F$10)</f>
        <v>38.923699999999997</v>
      </c>
      <c r="G1031" s="8">
        <f>CHOOSE( CONTROL!$C$33, 37.6759, 37.6744) * CHOOSE( CONTROL!$C$16, $D$10, 100%, $F$10)</f>
        <v>37.675899999999999</v>
      </c>
      <c r="H1031" s="4">
        <f>CHOOSE( CONTROL!$C$33, 38.6545, 38.653) * CHOOSE(CONTROL!$C$16, $D$10, 100%, $F$10)</f>
        <v>38.654499999999999</v>
      </c>
      <c r="I1031" s="8">
        <f>CHOOSE( CONTROL!$C$33, 37.0878, 37.0863) * CHOOSE(CONTROL!$C$16, $D$10, 100%, $F$10)</f>
        <v>37.087800000000001</v>
      </c>
      <c r="J1031" s="4">
        <f>CHOOSE( CONTROL!$C$33, 36.9521, 36.9506) * CHOOSE(CONTROL!$C$16, $D$10, 100%, $F$10)</f>
        <v>36.952100000000002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1.2927</v>
      </c>
      <c r="Q1031" s="9">
        <v>19.688099999999999</v>
      </c>
      <c r="R1031" s="9"/>
      <c r="S1031" s="11"/>
    </row>
    <row r="1032" spans="1:19" ht="15" customHeight="1">
      <c r="A1032" s="13">
        <v>72593</v>
      </c>
      <c r="B1032" s="8">
        <f>CHOOSE( CONTROL!$C$33, 37.3474, 37.3459) * CHOOSE(CONTROL!$C$16, $D$10, 100%, $F$10)</f>
        <v>37.3474</v>
      </c>
      <c r="C1032" s="8">
        <f>CHOOSE( CONTROL!$C$33, 37.3554, 37.3539) * CHOOSE(CONTROL!$C$16, $D$10, 100%, $F$10)</f>
        <v>37.355400000000003</v>
      </c>
      <c r="D1032" s="8">
        <f>CHOOSE( CONTROL!$C$33, 37.378, 37.3764) * CHOOSE( CONTROL!$C$16, $D$10, 100%, $F$10)</f>
        <v>37.378</v>
      </c>
      <c r="E1032" s="12">
        <f>CHOOSE( CONTROL!$C$33, 37.3686, 37.367) * CHOOSE( CONTROL!$C$16, $D$10, 100%, $F$10)</f>
        <v>37.368600000000001</v>
      </c>
      <c r="F1032" s="4">
        <f>CHOOSE( CONTROL!$C$33, 38.1244, 38.1228) * CHOOSE(CONTROL!$C$16, $D$10, 100%, $F$10)</f>
        <v>38.124400000000001</v>
      </c>
      <c r="G1032" s="8">
        <f>CHOOSE( CONTROL!$C$33, 36.8876, 36.8861) * CHOOSE( CONTROL!$C$16, $D$10, 100%, $F$10)</f>
        <v>36.887599999999999</v>
      </c>
      <c r="H1032" s="4">
        <f>CHOOSE( CONTROL!$C$33, 37.8663, 37.8648) * CHOOSE(CONTROL!$C$16, $D$10, 100%, $F$10)</f>
        <v>37.866300000000003</v>
      </c>
      <c r="I1032" s="8">
        <f>CHOOSE( CONTROL!$C$33, 36.313, 36.3115) * CHOOSE(CONTROL!$C$16, $D$10, 100%, $F$10)</f>
        <v>36.313000000000002</v>
      </c>
      <c r="J1032" s="4">
        <f>CHOOSE( CONTROL!$C$33, 36.1781, 36.1766) * CHOOSE(CONTROL!$C$16, $D$10, 100%, $F$10)</f>
        <v>36.178100000000001</v>
      </c>
      <c r="K1032" s="4"/>
      <c r="L1032" s="9">
        <v>29.7257</v>
      </c>
      <c r="M1032" s="9">
        <v>11.6745</v>
      </c>
      <c r="N1032" s="9">
        <v>4.7850000000000001</v>
      </c>
      <c r="O1032" s="9">
        <v>0.36199999999999999</v>
      </c>
      <c r="P1032" s="9">
        <v>1.2509999999999999</v>
      </c>
      <c r="Q1032" s="9">
        <v>19.053000000000001</v>
      </c>
      <c r="R1032" s="9"/>
      <c r="S1032" s="11"/>
    </row>
    <row r="1033" spans="1:19" ht="15" customHeight="1">
      <c r="A1033" s="13">
        <v>72624</v>
      </c>
      <c r="B1033" s="8">
        <f>CHOOSE( CONTROL!$C$33, 39.005, 39.0039) * CHOOSE(CONTROL!$C$16, $D$10, 100%, $F$10)</f>
        <v>39.005000000000003</v>
      </c>
      <c r="C1033" s="8">
        <f>CHOOSE( CONTROL!$C$33, 39.0103, 39.0092) * CHOOSE(CONTROL!$C$16, $D$10, 100%, $F$10)</f>
        <v>39.010300000000001</v>
      </c>
      <c r="D1033" s="8">
        <f>CHOOSE( CONTROL!$C$33, 39.0391, 39.038) * CHOOSE( CONTROL!$C$16, $D$10, 100%, $F$10)</f>
        <v>39.039099999999998</v>
      </c>
      <c r="E1033" s="12">
        <f>CHOOSE( CONTROL!$C$33, 39.029, 39.0279) * CHOOSE( CONTROL!$C$16, $D$10, 100%, $F$10)</f>
        <v>39.029000000000003</v>
      </c>
      <c r="F1033" s="4">
        <f>CHOOSE( CONTROL!$C$33, 39.7836, 39.7825) * CHOOSE(CONTROL!$C$16, $D$10, 100%, $F$10)</f>
        <v>39.7836</v>
      </c>
      <c r="G1033" s="8">
        <f>CHOOSE( CONTROL!$C$33, 38.5238, 38.5227) * CHOOSE( CONTROL!$C$16, $D$10, 100%, $F$10)</f>
        <v>38.523800000000001</v>
      </c>
      <c r="H1033" s="4">
        <f>CHOOSE( CONTROL!$C$33, 39.5024, 39.5013) * CHOOSE(CONTROL!$C$16, $D$10, 100%, $F$10)</f>
        <v>39.502400000000002</v>
      </c>
      <c r="I1033" s="8">
        <f>CHOOSE( CONTROL!$C$33, 37.9211, 37.92) * CHOOSE(CONTROL!$C$16, $D$10, 100%, $F$10)</f>
        <v>37.921100000000003</v>
      </c>
      <c r="J1033" s="4">
        <f>CHOOSE( CONTROL!$C$33, 37.7848, 37.7837) * CHOOSE(CONTROL!$C$16, $D$10, 100%, $F$10)</f>
        <v>37.784799999999997</v>
      </c>
      <c r="K1033" s="4"/>
      <c r="L1033" s="9">
        <v>31.095300000000002</v>
      </c>
      <c r="M1033" s="9">
        <v>12.063700000000001</v>
      </c>
      <c r="N1033" s="9">
        <v>4.9444999999999997</v>
      </c>
      <c r="O1033" s="9">
        <v>0.37409999999999999</v>
      </c>
      <c r="P1033" s="9">
        <v>1.2927</v>
      </c>
      <c r="Q1033" s="9">
        <v>19.688099999999999</v>
      </c>
      <c r="R1033" s="9"/>
      <c r="S1033" s="11"/>
    </row>
    <row r="1034" spans="1:19" ht="15" customHeight="1">
      <c r="A1034" s="13">
        <v>72654</v>
      </c>
      <c r="B1034" s="8">
        <f>CHOOSE( CONTROL!$C$33, 42.068, 42.0669) * CHOOSE(CONTROL!$C$16, $D$10, 100%, $F$10)</f>
        <v>42.067999999999998</v>
      </c>
      <c r="C1034" s="8">
        <f>CHOOSE( CONTROL!$C$33, 42.0731, 42.072) * CHOOSE(CONTROL!$C$16, $D$10, 100%, $F$10)</f>
        <v>42.073099999999997</v>
      </c>
      <c r="D1034" s="8">
        <f>CHOOSE( CONTROL!$C$33, 42.0528, 42.0517) * CHOOSE( CONTROL!$C$16, $D$10, 100%, $F$10)</f>
        <v>42.052799999999998</v>
      </c>
      <c r="E1034" s="12">
        <f>CHOOSE( CONTROL!$C$33, 42.0597, 42.0586) * CHOOSE( CONTROL!$C$16, $D$10, 100%, $F$10)</f>
        <v>42.059699999999999</v>
      </c>
      <c r="F1034" s="4">
        <f>CHOOSE( CONTROL!$C$33, 42.7309, 42.7298) * CHOOSE(CONTROL!$C$16, $D$10, 100%, $F$10)</f>
        <v>42.730899999999998</v>
      </c>
      <c r="G1034" s="8">
        <f>CHOOSE( CONTROL!$C$33, 41.5171, 41.516) * CHOOSE( CONTROL!$C$16, $D$10, 100%, $F$10)</f>
        <v>41.517099999999999</v>
      </c>
      <c r="H1034" s="4">
        <f>CHOOSE( CONTROL!$C$33, 42.4086, 42.4075) * CHOOSE(CONTROL!$C$16, $D$10, 100%, $F$10)</f>
        <v>42.4086</v>
      </c>
      <c r="I1034" s="8">
        <f>CHOOSE( CONTROL!$C$33, 40.9367, 40.9356) * CHOOSE(CONTROL!$C$16, $D$10, 100%, $F$10)</f>
        <v>40.936700000000002</v>
      </c>
      <c r="J1034" s="4">
        <f>CHOOSE( CONTROL!$C$33, 40.7512, 40.7501) * CHOOSE(CONTROL!$C$16, $D$10, 100%, $F$10)</f>
        <v>40.751199999999997</v>
      </c>
      <c r="K1034" s="4"/>
      <c r="L1034" s="9">
        <v>28.360600000000002</v>
      </c>
      <c r="M1034" s="9">
        <v>11.6745</v>
      </c>
      <c r="N1034" s="9">
        <v>4.7850000000000001</v>
      </c>
      <c r="O1034" s="9">
        <v>0.36199999999999999</v>
      </c>
      <c r="P1034" s="9">
        <v>1.2509999999999999</v>
      </c>
      <c r="Q1034" s="9">
        <v>19.053000000000001</v>
      </c>
      <c r="R1034" s="9"/>
      <c r="S1034" s="11"/>
    </row>
    <row r="1035" spans="1:19" ht="15" customHeight="1">
      <c r="A1035" s="13">
        <v>72685</v>
      </c>
      <c r="B1035" s="8">
        <f>CHOOSE( CONTROL!$C$33, 41.9915, 41.9904) * CHOOSE(CONTROL!$C$16, $D$10, 100%, $F$10)</f>
        <v>41.991500000000002</v>
      </c>
      <c r="C1035" s="8">
        <f>CHOOSE( CONTROL!$C$33, 41.9966, 41.9955) * CHOOSE(CONTROL!$C$16, $D$10, 100%, $F$10)</f>
        <v>41.996600000000001</v>
      </c>
      <c r="D1035" s="8">
        <f>CHOOSE( CONTROL!$C$33, 41.9777, 41.9766) * CHOOSE( CONTROL!$C$16, $D$10, 100%, $F$10)</f>
        <v>41.977699999999999</v>
      </c>
      <c r="E1035" s="12">
        <f>CHOOSE( CONTROL!$C$33, 41.9841, 41.983) * CHOOSE( CONTROL!$C$16, $D$10, 100%, $F$10)</f>
        <v>41.984099999999998</v>
      </c>
      <c r="F1035" s="4">
        <f>CHOOSE( CONTROL!$C$33, 42.6544, 42.6533) * CHOOSE(CONTROL!$C$16, $D$10, 100%, $F$10)</f>
        <v>42.654400000000003</v>
      </c>
      <c r="G1035" s="8">
        <f>CHOOSE( CONTROL!$C$33, 41.4427, 41.4416) * CHOOSE( CONTROL!$C$16, $D$10, 100%, $F$10)</f>
        <v>41.442700000000002</v>
      </c>
      <c r="H1035" s="4">
        <f>CHOOSE( CONTROL!$C$33, 42.3331, 42.332) * CHOOSE(CONTROL!$C$16, $D$10, 100%, $F$10)</f>
        <v>42.333100000000002</v>
      </c>
      <c r="I1035" s="8">
        <f>CHOOSE( CONTROL!$C$33, 40.8671, 40.866) * CHOOSE(CONTROL!$C$16, $D$10, 100%, $F$10)</f>
        <v>40.867100000000001</v>
      </c>
      <c r="J1035" s="4">
        <f>CHOOSE( CONTROL!$C$33, 40.677, 40.676) * CHOOSE(CONTROL!$C$16, $D$10, 100%, $F$10)</f>
        <v>40.677</v>
      </c>
      <c r="K1035" s="4"/>
      <c r="L1035" s="9">
        <v>29.306000000000001</v>
      </c>
      <c r="M1035" s="9">
        <v>12.063700000000001</v>
      </c>
      <c r="N1035" s="9">
        <v>4.9444999999999997</v>
      </c>
      <c r="O1035" s="9">
        <v>0.37409999999999999</v>
      </c>
      <c r="P1035" s="9">
        <v>1.2927</v>
      </c>
      <c r="Q1035" s="9">
        <v>19.688099999999999</v>
      </c>
      <c r="R1035" s="9"/>
      <c r="S1035" s="11"/>
    </row>
    <row r="1036" spans="1:19" ht="15" customHeight="1">
      <c r="A1036" s="13">
        <v>72716</v>
      </c>
      <c r="B1036" s="8">
        <f>CHOOSE( CONTROL!$C$33, 43.2306, 43.2295) * CHOOSE(CONTROL!$C$16, $D$10, 100%, $F$10)</f>
        <v>43.230600000000003</v>
      </c>
      <c r="C1036" s="8">
        <f>CHOOSE( CONTROL!$C$33, 43.2357, 43.2346) * CHOOSE(CONTROL!$C$16, $D$10, 100%, $F$10)</f>
        <v>43.235700000000001</v>
      </c>
      <c r="D1036" s="8">
        <f>CHOOSE( CONTROL!$C$33, 43.2281, 43.2269) * CHOOSE( CONTROL!$C$16, $D$10, 100%, $F$10)</f>
        <v>43.228099999999998</v>
      </c>
      <c r="E1036" s="12">
        <f>CHOOSE( CONTROL!$C$33, 43.2303, 43.2292) * CHOOSE( CONTROL!$C$16, $D$10, 100%, $F$10)</f>
        <v>43.2303</v>
      </c>
      <c r="F1036" s="4">
        <f>CHOOSE( CONTROL!$C$33, 43.8935, 43.8923) * CHOOSE(CONTROL!$C$16, $D$10, 100%, $F$10)</f>
        <v>43.893500000000003</v>
      </c>
      <c r="G1036" s="8">
        <f>CHOOSE( CONTROL!$C$33, 42.6703, 42.6692) * CHOOSE( CONTROL!$C$16, $D$10, 100%, $F$10)</f>
        <v>42.670299999999997</v>
      </c>
      <c r="H1036" s="4">
        <f>CHOOSE( CONTROL!$C$33, 43.5549, 43.5538) * CHOOSE(CONTROL!$C$16, $D$10, 100%, $F$10)</f>
        <v>43.554900000000004</v>
      </c>
      <c r="I1036" s="8">
        <f>CHOOSE( CONTROL!$C$33, 42.0587, 42.0576) * CHOOSE(CONTROL!$C$16, $D$10, 100%, $F$10)</f>
        <v>42.058700000000002</v>
      </c>
      <c r="J1036" s="4">
        <f>CHOOSE( CONTROL!$C$33, 41.8768, 41.8758) * CHOOSE(CONTROL!$C$16, $D$10, 100%, $F$10)</f>
        <v>41.876800000000003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 ht="15" customHeight="1">
      <c r="A1037" s="13">
        <v>72744</v>
      </c>
      <c r="B1037" s="8">
        <f>CHOOSE( CONTROL!$C$33, 40.4348, 40.4336) * CHOOSE(CONTROL!$C$16, $D$10, 100%, $F$10)</f>
        <v>40.434800000000003</v>
      </c>
      <c r="C1037" s="8">
        <f>CHOOSE( CONTROL!$C$33, 40.4399, 40.4387) * CHOOSE(CONTROL!$C$16, $D$10, 100%, $F$10)</f>
        <v>40.439900000000002</v>
      </c>
      <c r="D1037" s="8">
        <f>CHOOSE( CONTROL!$C$33, 40.432, 40.4309) * CHOOSE( CONTROL!$C$16, $D$10, 100%, $F$10)</f>
        <v>40.432000000000002</v>
      </c>
      <c r="E1037" s="12">
        <f>CHOOSE( CONTROL!$C$33, 40.4343, 40.4332) * CHOOSE( CONTROL!$C$16, $D$10, 100%, $F$10)</f>
        <v>40.4343</v>
      </c>
      <c r="F1037" s="4">
        <f>CHOOSE( CONTROL!$C$33, 41.0976, 41.0965) * CHOOSE(CONTROL!$C$16, $D$10, 100%, $F$10)</f>
        <v>41.0976</v>
      </c>
      <c r="G1037" s="8">
        <f>CHOOSE( CONTROL!$C$33, 39.9134, 39.9123) * CHOOSE( CONTROL!$C$16, $D$10, 100%, $F$10)</f>
        <v>39.913400000000003</v>
      </c>
      <c r="H1037" s="4">
        <f>CHOOSE( CONTROL!$C$33, 40.7981, 40.797) * CHOOSE(CONTROL!$C$16, $D$10, 100%, $F$10)</f>
        <v>40.798099999999998</v>
      </c>
      <c r="I1037" s="8">
        <f>CHOOSE( CONTROL!$C$33, 39.3496, 39.3485) * CHOOSE(CONTROL!$C$16, $D$10, 100%, $F$10)</f>
        <v>39.349600000000002</v>
      </c>
      <c r="J1037" s="4">
        <f>CHOOSE( CONTROL!$C$33, 39.1696, 39.1686) * CHOOSE(CONTROL!$C$16, $D$10, 100%, $F$10)</f>
        <v>39.169600000000003</v>
      </c>
      <c r="K1037" s="4"/>
      <c r="L1037" s="9">
        <v>26.469899999999999</v>
      </c>
      <c r="M1037" s="9">
        <v>10.8962</v>
      </c>
      <c r="N1037" s="9">
        <v>4.4660000000000002</v>
      </c>
      <c r="O1037" s="9">
        <v>0.33789999999999998</v>
      </c>
      <c r="P1037" s="9">
        <v>1.1676</v>
      </c>
      <c r="Q1037" s="9">
        <v>17.782800000000002</v>
      </c>
      <c r="R1037" s="9"/>
      <c r="S1037" s="11"/>
    </row>
    <row r="1038" spans="1:19" ht="15" customHeight="1">
      <c r="A1038" s="13">
        <v>72775</v>
      </c>
      <c r="B1038" s="8">
        <f>CHOOSE( CONTROL!$C$33, 39.5737, 39.5725) * CHOOSE(CONTROL!$C$16, $D$10, 100%, $F$10)</f>
        <v>39.573700000000002</v>
      </c>
      <c r="C1038" s="8">
        <f>CHOOSE( CONTROL!$C$33, 39.5788, 39.5776) * CHOOSE(CONTROL!$C$16, $D$10, 100%, $F$10)</f>
        <v>39.578800000000001</v>
      </c>
      <c r="D1038" s="8">
        <f>CHOOSE( CONTROL!$C$33, 39.5702, 39.5691) * CHOOSE( CONTROL!$C$16, $D$10, 100%, $F$10)</f>
        <v>39.5702</v>
      </c>
      <c r="E1038" s="12">
        <f>CHOOSE( CONTROL!$C$33, 39.5728, 39.5717) * CHOOSE( CONTROL!$C$16, $D$10, 100%, $F$10)</f>
        <v>39.572800000000001</v>
      </c>
      <c r="F1038" s="4">
        <f>CHOOSE( CONTROL!$C$33, 40.2365, 40.2354) * CHOOSE(CONTROL!$C$16, $D$10, 100%, $F$10)</f>
        <v>40.236499999999999</v>
      </c>
      <c r="G1038" s="8">
        <f>CHOOSE( CONTROL!$C$33, 39.0638, 39.0627) * CHOOSE( CONTROL!$C$16, $D$10, 100%, $F$10)</f>
        <v>39.063800000000001</v>
      </c>
      <c r="H1038" s="4">
        <f>CHOOSE( CONTROL!$C$33, 39.949, 39.9479) * CHOOSE(CONTROL!$C$16, $D$10, 100%, $F$10)</f>
        <v>39.948999999999998</v>
      </c>
      <c r="I1038" s="8">
        <f>CHOOSE( CONTROL!$C$33, 38.5131, 38.512) * CHOOSE(CONTROL!$C$16, $D$10, 100%, $F$10)</f>
        <v>38.513100000000001</v>
      </c>
      <c r="J1038" s="4">
        <f>CHOOSE( CONTROL!$C$33, 38.3358, 38.3348) * CHOOSE(CONTROL!$C$16, $D$10, 100%, $F$10)</f>
        <v>38.335799999999999</v>
      </c>
      <c r="K1038" s="4"/>
      <c r="L1038" s="9">
        <v>29.306000000000001</v>
      </c>
      <c r="M1038" s="9">
        <v>12.063700000000001</v>
      </c>
      <c r="N1038" s="9">
        <v>4.9444999999999997</v>
      </c>
      <c r="O1038" s="9">
        <v>0.37409999999999999</v>
      </c>
      <c r="P1038" s="9">
        <v>1.2927</v>
      </c>
      <c r="Q1038" s="9">
        <v>19.688099999999999</v>
      </c>
      <c r="R1038" s="9"/>
      <c r="S1038" s="11"/>
    </row>
    <row r="1039" spans="1:19" ht="15" customHeight="1">
      <c r="A1039" s="13">
        <v>72805</v>
      </c>
      <c r="B1039" s="8">
        <f>CHOOSE( CONTROL!$C$33, 40.1762, 40.175) * CHOOSE(CONTROL!$C$16, $D$10, 100%, $F$10)</f>
        <v>40.176200000000001</v>
      </c>
      <c r="C1039" s="8">
        <f>CHOOSE( CONTROL!$C$33, 40.1807, 40.1796) * CHOOSE(CONTROL!$C$16, $D$10, 100%, $F$10)</f>
        <v>40.180700000000002</v>
      </c>
      <c r="D1039" s="8">
        <f>CHOOSE( CONTROL!$C$33, 40.2096, 40.2084) * CHOOSE( CONTROL!$C$16, $D$10, 100%, $F$10)</f>
        <v>40.209600000000002</v>
      </c>
      <c r="E1039" s="12">
        <f>CHOOSE( CONTROL!$C$33, 40.1995, 40.1984) * CHOOSE( CONTROL!$C$16, $D$10, 100%, $F$10)</f>
        <v>40.1995</v>
      </c>
      <c r="F1039" s="4">
        <f>CHOOSE( CONTROL!$C$33, 40.9544, 40.9533) * CHOOSE(CONTROL!$C$16, $D$10, 100%, $F$10)</f>
        <v>40.9544</v>
      </c>
      <c r="G1039" s="8">
        <f>CHOOSE( CONTROL!$C$33, 39.678, 39.6769) * CHOOSE( CONTROL!$C$16, $D$10, 100%, $F$10)</f>
        <v>39.677999999999997</v>
      </c>
      <c r="H1039" s="4">
        <f>CHOOSE( CONTROL!$C$33, 40.6569, 40.6558) * CHOOSE(CONTROL!$C$16, $D$10, 100%, $F$10)</f>
        <v>40.6569</v>
      </c>
      <c r="I1039" s="8">
        <f>CHOOSE( CONTROL!$C$33, 39.054, 39.0529) * CHOOSE(CONTROL!$C$16, $D$10, 100%, $F$10)</f>
        <v>39.054000000000002</v>
      </c>
      <c r="J1039" s="4">
        <f>CHOOSE( CONTROL!$C$33, 38.9185, 38.9174) * CHOOSE(CONTROL!$C$16, $D$10, 100%, $F$10)</f>
        <v>38.918500000000002</v>
      </c>
      <c r="K1039" s="4"/>
      <c r="L1039" s="9">
        <v>30.092199999999998</v>
      </c>
      <c r="M1039" s="9">
        <v>11.6745</v>
      </c>
      <c r="N1039" s="9">
        <v>4.7850000000000001</v>
      </c>
      <c r="O1039" s="9">
        <v>0.36199999999999999</v>
      </c>
      <c r="P1039" s="9">
        <v>1.2509999999999999</v>
      </c>
      <c r="Q1039" s="9">
        <v>19.053000000000001</v>
      </c>
      <c r="R1039" s="9"/>
      <c r="S1039" s="11"/>
    </row>
    <row r="1040" spans="1:19" ht="15" customHeight="1">
      <c r="A1040" s="13">
        <v>72836</v>
      </c>
      <c r="B1040" s="8">
        <f>CHOOSE( CONTROL!$C$33, 41.2489, 41.2473) * CHOOSE(CONTROL!$C$16, $D$10, 100%, $F$10)</f>
        <v>41.248899999999999</v>
      </c>
      <c r="C1040" s="8">
        <f>CHOOSE( CONTROL!$C$33, 41.2569, 41.2553) * CHOOSE(CONTROL!$C$16, $D$10, 100%, $F$10)</f>
        <v>41.256900000000002</v>
      </c>
      <c r="D1040" s="8">
        <f>CHOOSE( CONTROL!$C$33, 41.2791, 41.2776) * CHOOSE( CONTROL!$C$16, $D$10, 100%, $F$10)</f>
        <v>41.2791</v>
      </c>
      <c r="E1040" s="12">
        <f>CHOOSE( CONTROL!$C$33, 41.2698, 41.2683) * CHOOSE( CONTROL!$C$16, $D$10, 100%, $F$10)</f>
        <v>41.269799999999996</v>
      </c>
      <c r="F1040" s="4">
        <f>CHOOSE( CONTROL!$C$33, 42.0258, 42.0242) * CHOOSE(CONTROL!$C$16, $D$10, 100%, $F$10)</f>
        <v>42.025799999999997</v>
      </c>
      <c r="G1040" s="8">
        <f>CHOOSE( CONTROL!$C$33, 40.7344, 40.7329) * CHOOSE( CONTROL!$C$16, $D$10, 100%, $F$10)</f>
        <v>40.734400000000001</v>
      </c>
      <c r="H1040" s="4">
        <f>CHOOSE( CONTROL!$C$33, 41.7134, 41.7118) * CHOOSE(CONTROL!$C$16, $D$10, 100%, $F$10)</f>
        <v>41.7134</v>
      </c>
      <c r="I1040" s="8">
        <f>CHOOSE( CONTROL!$C$33, 40.0916, 40.0901) * CHOOSE(CONTROL!$C$16, $D$10, 100%, $F$10)</f>
        <v>40.0916</v>
      </c>
      <c r="J1040" s="4">
        <f>CHOOSE( CONTROL!$C$33, 39.9559, 39.9544) * CHOOSE(CONTROL!$C$16, $D$10, 100%, $F$10)</f>
        <v>39.9559</v>
      </c>
      <c r="K1040" s="4"/>
      <c r="L1040" s="9">
        <v>30.7165</v>
      </c>
      <c r="M1040" s="9">
        <v>12.063700000000001</v>
      </c>
      <c r="N1040" s="9">
        <v>4.9444999999999997</v>
      </c>
      <c r="O1040" s="9">
        <v>0.37409999999999999</v>
      </c>
      <c r="P1040" s="9">
        <v>1.2927</v>
      </c>
      <c r="Q1040" s="9">
        <v>19.688099999999999</v>
      </c>
      <c r="R1040" s="9"/>
      <c r="S1040" s="11"/>
    </row>
    <row r="1041" spans="1:19" ht="15" customHeight="1">
      <c r="A1041" s="13">
        <v>72866</v>
      </c>
      <c r="B1041" s="8">
        <f>CHOOSE( CONTROL!$C$33, 40.5855, 40.5839) * CHOOSE(CONTROL!$C$16, $D$10, 100%, $F$10)</f>
        <v>40.585500000000003</v>
      </c>
      <c r="C1041" s="8">
        <f>CHOOSE( CONTROL!$C$33, 40.5935, 40.5919) * CHOOSE(CONTROL!$C$16, $D$10, 100%, $F$10)</f>
        <v>40.593499999999999</v>
      </c>
      <c r="D1041" s="8">
        <f>CHOOSE( CONTROL!$C$33, 40.6159, 40.6143) * CHOOSE( CONTROL!$C$16, $D$10, 100%, $F$10)</f>
        <v>40.615900000000003</v>
      </c>
      <c r="E1041" s="12">
        <f>CHOOSE( CONTROL!$C$33, 40.6066, 40.605) * CHOOSE( CONTROL!$C$16, $D$10, 100%, $F$10)</f>
        <v>40.6066</v>
      </c>
      <c r="F1041" s="4">
        <f>CHOOSE( CONTROL!$C$33, 41.3624, 41.3608) * CHOOSE(CONTROL!$C$16, $D$10, 100%, $F$10)</f>
        <v>41.362400000000001</v>
      </c>
      <c r="G1041" s="8">
        <f>CHOOSE( CONTROL!$C$33, 40.0804, 40.0788) * CHOOSE( CONTROL!$C$16, $D$10, 100%, $F$10)</f>
        <v>40.080399999999997</v>
      </c>
      <c r="H1041" s="4">
        <f>CHOOSE( CONTROL!$C$33, 41.0592, 41.0577) * CHOOSE(CONTROL!$C$16, $D$10, 100%, $F$10)</f>
        <v>41.059199999999997</v>
      </c>
      <c r="I1041" s="8">
        <f>CHOOSE( CONTROL!$C$33, 39.4495, 39.4479) * CHOOSE(CONTROL!$C$16, $D$10, 100%, $F$10)</f>
        <v>39.4495</v>
      </c>
      <c r="J1041" s="4">
        <f>CHOOSE( CONTROL!$C$33, 39.3135, 39.312) * CHOOSE(CONTROL!$C$16, $D$10, 100%, $F$10)</f>
        <v>39.313499999999998</v>
      </c>
      <c r="K1041" s="4"/>
      <c r="L1041" s="9">
        <v>29.7257</v>
      </c>
      <c r="M1041" s="9">
        <v>11.6745</v>
      </c>
      <c r="N1041" s="9">
        <v>4.7850000000000001</v>
      </c>
      <c r="O1041" s="9">
        <v>0.36199999999999999</v>
      </c>
      <c r="P1041" s="9">
        <v>1.2509999999999999</v>
      </c>
      <c r="Q1041" s="9">
        <v>19.053000000000001</v>
      </c>
      <c r="R1041" s="9"/>
      <c r="S1041" s="11"/>
    </row>
    <row r="1042" spans="1:19" ht="15" customHeight="1">
      <c r="A1042" s="13">
        <v>72897</v>
      </c>
      <c r="B1042" s="8">
        <f>CHOOSE( CONTROL!$C$33, 42.3325, 42.3309) * CHOOSE(CONTROL!$C$16, $D$10, 100%, $F$10)</f>
        <v>42.332500000000003</v>
      </c>
      <c r="C1042" s="8">
        <f>CHOOSE( CONTROL!$C$33, 42.3405, 42.3389) * CHOOSE(CONTROL!$C$16, $D$10, 100%, $F$10)</f>
        <v>42.340499999999999</v>
      </c>
      <c r="D1042" s="8">
        <f>CHOOSE( CONTROL!$C$33, 42.3631, 42.3615) * CHOOSE( CONTROL!$C$16, $D$10, 100%, $F$10)</f>
        <v>42.363100000000003</v>
      </c>
      <c r="E1042" s="12">
        <f>CHOOSE( CONTROL!$C$33, 42.3537, 42.3521) * CHOOSE( CONTROL!$C$16, $D$10, 100%, $F$10)</f>
        <v>42.353700000000003</v>
      </c>
      <c r="F1042" s="4">
        <f>CHOOSE( CONTROL!$C$33, 43.1094, 43.1078) * CHOOSE(CONTROL!$C$16, $D$10, 100%, $F$10)</f>
        <v>43.109400000000001</v>
      </c>
      <c r="G1042" s="8">
        <f>CHOOSE( CONTROL!$C$33, 41.8032, 41.8016) * CHOOSE( CONTROL!$C$16, $D$10, 100%, $F$10)</f>
        <v>41.803199999999997</v>
      </c>
      <c r="H1042" s="4">
        <f>CHOOSE( CONTROL!$C$33, 42.7818, 42.7803) * CHOOSE(CONTROL!$C$16, $D$10, 100%, $F$10)</f>
        <v>42.781799999999997</v>
      </c>
      <c r="I1042" s="8">
        <f>CHOOSE( CONTROL!$C$33, 41.1427, 41.1412) * CHOOSE(CONTROL!$C$16, $D$10, 100%, $F$10)</f>
        <v>41.142699999999998</v>
      </c>
      <c r="J1042" s="4">
        <f>CHOOSE( CONTROL!$C$33, 41.0051, 41.0036) * CHOOSE(CONTROL!$C$16, $D$10, 100%, $F$10)</f>
        <v>41.005099999999999</v>
      </c>
      <c r="K1042" s="4"/>
      <c r="L1042" s="9">
        <v>30.7165</v>
      </c>
      <c r="M1042" s="9">
        <v>12.063700000000001</v>
      </c>
      <c r="N1042" s="9">
        <v>4.9444999999999997</v>
      </c>
      <c r="O1042" s="9">
        <v>0.37409999999999999</v>
      </c>
      <c r="P1042" s="9">
        <v>1.2927</v>
      </c>
      <c r="Q1042" s="9">
        <v>19.688099999999999</v>
      </c>
      <c r="R1042" s="9"/>
      <c r="S1042" s="11"/>
    </row>
    <row r="1043" spans="1:19" ht="15" customHeight="1">
      <c r="A1043" s="13">
        <v>72928</v>
      </c>
      <c r="B1043" s="8">
        <f>CHOOSE( CONTROL!$C$33, 39.0637, 39.0621) * CHOOSE(CONTROL!$C$16, $D$10, 100%, $F$10)</f>
        <v>39.063699999999997</v>
      </c>
      <c r="C1043" s="8">
        <f>CHOOSE( CONTROL!$C$33, 39.0717, 39.0701) * CHOOSE(CONTROL!$C$16, $D$10, 100%, $F$10)</f>
        <v>39.0717</v>
      </c>
      <c r="D1043" s="8">
        <f>CHOOSE( CONTROL!$C$33, 39.0943, 39.0928) * CHOOSE( CONTROL!$C$16, $D$10, 100%, $F$10)</f>
        <v>39.094299999999997</v>
      </c>
      <c r="E1043" s="12">
        <f>CHOOSE( CONTROL!$C$33, 39.0849, 39.0834) * CHOOSE( CONTROL!$C$16, $D$10, 100%, $F$10)</f>
        <v>39.084899999999998</v>
      </c>
      <c r="F1043" s="4">
        <f>CHOOSE( CONTROL!$C$33, 39.8406, 39.839) * CHOOSE(CONTROL!$C$16, $D$10, 100%, $F$10)</f>
        <v>39.840600000000002</v>
      </c>
      <c r="G1043" s="8">
        <f>CHOOSE( CONTROL!$C$33, 38.58, 38.5785) * CHOOSE( CONTROL!$C$16, $D$10, 100%, $F$10)</f>
        <v>38.58</v>
      </c>
      <c r="H1043" s="4">
        <f>CHOOSE( CONTROL!$C$33, 39.5586, 39.5571) * CHOOSE(CONTROL!$C$16, $D$10, 100%, $F$10)</f>
        <v>39.558599999999998</v>
      </c>
      <c r="I1043" s="8">
        <f>CHOOSE( CONTROL!$C$33, 37.9761, 37.9746) * CHOOSE(CONTROL!$C$16, $D$10, 100%, $F$10)</f>
        <v>37.976100000000002</v>
      </c>
      <c r="J1043" s="4">
        <f>CHOOSE( CONTROL!$C$33, 37.84, 37.8384) * CHOOSE(CONTROL!$C$16, $D$10, 100%, $F$10)</f>
        <v>37.840000000000003</v>
      </c>
      <c r="K1043" s="4"/>
      <c r="L1043" s="9">
        <v>30.7165</v>
      </c>
      <c r="M1043" s="9">
        <v>12.063700000000001</v>
      </c>
      <c r="N1043" s="9">
        <v>4.9444999999999997</v>
      </c>
      <c r="O1043" s="9">
        <v>0.37409999999999999</v>
      </c>
      <c r="P1043" s="9">
        <v>1.2927</v>
      </c>
      <c r="Q1043" s="9">
        <v>19.688099999999999</v>
      </c>
      <c r="R1043" s="9"/>
      <c r="S1043" s="11"/>
    </row>
    <row r="1044" spans="1:19" ht="15" customHeight="1">
      <c r="A1044" s="13">
        <v>72958</v>
      </c>
      <c r="B1044" s="8">
        <f>CHOOSE( CONTROL!$C$33, 38.2451, 38.2436) * CHOOSE(CONTROL!$C$16, $D$10, 100%, $F$10)</f>
        <v>38.245100000000001</v>
      </c>
      <c r="C1044" s="8">
        <f>CHOOSE( CONTROL!$C$33, 38.2531, 38.2516) * CHOOSE(CONTROL!$C$16, $D$10, 100%, $F$10)</f>
        <v>38.253100000000003</v>
      </c>
      <c r="D1044" s="8">
        <f>CHOOSE( CONTROL!$C$33, 38.2757, 38.2741) * CHOOSE( CONTROL!$C$16, $D$10, 100%, $F$10)</f>
        <v>38.275700000000001</v>
      </c>
      <c r="E1044" s="12">
        <f>CHOOSE( CONTROL!$C$33, 38.2663, 38.2647) * CHOOSE( CONTROL!$C$16, $D$10, 100%, $F$10)</f>
        <v>38.266300000000001</v>
      </c>
      <c r="F1044" s="4">
        <f>CHOOSE( CONTROL!$C$33, 39.0221, 39.0205) * CHOOSE(CONTROL!$C$16, $D$10, 100%, $F$10)</f>
        <v>39.022100000000002</v>
      </c>
      <c r="G1044" s="8">
        <f>CHOOSE( CONTROL!$C$33, 37.7728, 37.7712) * CHOOSE( CONTROL!$C$16, $D$10, 100%, $F$10)</f>
        <v>37.772799999999997</v>
      </c>
      <c r="H1044" s="4">
        <f>CHOOSE( CONTROL!$C$33, 38.7515, 38.7499) * CHOOSE(CONTROL!$C$16, $D$10, 100%, $F$10)</f>
        <v>38.7515</v>
      </c>
      <c r="I1044" s="8">
        <f>CHOOSE( CONTROL!$C$33, 37.1827, 37.1812) * CHOOSE(CONTROL!$C$16, $D$10, 100%, $F$10)</f>
        <v>37.182699999999997</v>
      </c>
      <c r="J1044" s="4">
        <f>CHOOSE( CONTROL!$C$33, 37.0474, 37.0458) * CHOOSE(CONTROL!$C$16, $D$10, 100%, $F$10)</f>
        <v>37.047400000000003</v>
      </c>
      <c r="K1044" s="4"/>
      <c r="L1044" s="9">
        <v>29.7257</v>
      </c>
      <c r="M1044" s="9">
        <v>11.6745</v>
      </c>
      <c r="N1044" s="9">
        <v>4.7850000000000001</v>
      </c>
      <c r="O1044" s="9">
        <v>0.36199999999999999</v>
      </c>
      <c r="P1044" s="9">
        <v>1.2509999999999999</v>
      </c>
      <c r="Q1044" s="9">
        <v>19.053000000000001</v>
      </c>
      <c r="R1044" s="9"/>
      <c r="S1044" s="11"/>
    </row>
    <row r="1045" spans="1:19" ht="15" customHeight="1">
      <c r="A1045" s="13">
        <v>72989</v>
      </c>
      <c r="B1045" s="8">
        <f>CHOOSE( CONTROL!$C$33, 39.9425, 39.9414) * CHOOSE(CONTROL!$C$16, $D$10, 100%, $F$10)</f>
        <v>39.942500000000003</v>
      </c>
      <c r="C1045" s="8">
        <f>CHOOSE( CONTROL!$C$33, 39.9479, 39.9468) * CHOOSE(CONTROL!$C$16, $D$10, 100%, $F$10)</f>
        <v>39.947899999999997</v>
      </c>
      <c r="D1045" s="8">
        <f>CHOOSE( CONTROL!$C$33, 39.9767, 39.9755) * CHOOSE( CONTROL!$C$16, $D$10, 100%, $F$10)</f>
        <v>39.976700000000001</v>
      </c>
      <c r="E1045" s="12">
        <f>CHOOSE( CONTROL!$C$33, 39.9666, 39.9655) * CHOOSE( CONTROL!$C$16, $D$10, 100%, $F$10)</f>
        <v>39.9666</v>
      </c>
      <c r="F1045" s="4">
        <f>CHOOSE( CONTROL!$C$33, 40.7212, 40.7201) * CHOOSE(CONTROL!$C$16, $D$10, 100%, $F$10)</f>
        <v>40.721200000000003</v>
      </c>
      <c r="G1045" s="8">
        <f>CHOOSE( CONTROL!$C$33, 39.4483, 39.4472) * CHOOSE( CONTROL!$C$16, $D$10, 100%, $F$10)</f>
        <v>39.448300000000003</v>
      </c>
      <c r="H1045" s="4">
        <f>CHOOSE( CONTROL!$C$33, 40.4269, 40.4258) * CHOOSE(CONTROL!$C$16, $D$10, 100%, $F$10)</f>
        <v>40.426900000000003</v>
      </c>
      <c r="I1045" s="8">
        <f>CHOOSE( CONTROL!$C$33, 38.8294, 38.8283) * CHOOSE(CONTROL!$C$16, $D$10, 100%, $F$10)</f>
        <v>38.8294</v>
      </c>
      <c r="J1045" s="4">
        <f>CHOOSE( CONTROL!$C$33, 38.6926, 38.6915) * CHOOSE(CONTROL!$C$16, $D$10, 100%, $F$10)</f>
        <v>38.692599999999999</v>
      </c>
      <c r="K1045" s="4"/>
      <c r="L1045" s="9">
        <v>31.095300000000002</v>
      </c>
      <c r="M1045" s="9">
        <v>12.063700000000001</v>
      </c>
      <c r="N1045" s="9">
        <v>4.9444999999999997</v>
      </c>
      <c r="O1045" s="9">
        <v>0.37409999999999999</v>
      </c>
      <c r="P1045" s="9">
        <v>1.2927</v>
      </c>
      <c r="Q1045" s="9">
        <v>19.688099999999999</v>
      </c>
      <c r="R1045" s="9"/>
      <c r="S1045" s="11"/>
    </row>
    <row r="1046" spans="1:19" ht="15" customHeight="1">
      <c r="A1046" s="13">
        <v>73019</v>
      </c>
      <c r="B1046" s="8">
        <f>CHOOSE( CONTROL!$C$33, 43.0792, 43.0781) * CHOOSE(CONTROL!$C$16, $D$10, 100%, $F$10)</f>
        <v>43.0792</v>
      </c>
      <c r="C1046" s="8">
        <f>CHOOSE( CONTROL!$C$33, 43.0843, 43.0832) * CHOOSE(CONTROL!$C$16, $D$10, 100%, $F$10)</f>
        <v>43.084299999999999</v>
      </c>
      <c r="D1046" s="8">
        <f>CHOOSE( CONTROL!$C$33, 43.064, 43.0629) * CHOOSE( CONTROL!$C$16, $D$10, 100%, $F$10)</f>
        <v>43.064</v>
      </c>
      <c r="E1046" s="12">
        <f>CHOOSE( CONTROL!$C$33, 43.0709, 43.0698) * CHOOSE( CONTROL!$C$16, $D$10, 100%, $F$10)</f>
        <v>43.070900000000002</v>
      </c>
      <c r="F1046" s="4">
        <f>CHOOSE( CONTROL!$C$33, 43.7421, 43.741) * CHOOSE(CONTROL!$C$16, $D$10, 100%, $F$10)</f>
        <v>43.742100000000001</v>
      </c>
      <c r="G1046" s="8">
        <f>CHOOSE( CONTROL!$C$33, 42.5142, 42.5131) * CHOOSE( CONTROL!$C$16, $D$10, 100%, $F$10)</f>
        <v>42.514200000000002</v>
      </c>
      <c r="H1046" s="4">
        <f>CHOOSE( CONTROL!$C$33, 43.4057, 43.4046) * CHOOSE(CONTROL!$C$16, $D$10, 100%, $F$10)</f>
        <v>43.405700000000003</v>
      </c>
      <c r="I1046" s="8">
        <f>CHOOSE( CONTROL!$C$33, 41.9163, 41.9152) * CHOOSE(CONTROL!$C$16, $D$10, 100%, $F$10)</f>
        <v>41.9163</v>
      </c>
      <c r="J1046" s="4">
        <f>CHOOSE( CONTROL!$C$33, 41.7303, 41.7292) * CHOOSE(CONTROL!$C$16, $D$10, 100%, $F$10)</f>
        <v>41.7303</v>
      </c>
      <c r="K1046" s="4"/>
      <c r="L1046" s="9">
        <v>28.360600000000002</v>
      </c>
      <c r="M1046" s="9">
        <v>11.6745</v>
      </c>
      <c r="N1046" s="9">
        <v>4.7850000000000001</v>
      </c>
      <c r="O1046" s="9">
        <v>0.36199999999999999</v>
      </c>
      <c r="P1046" s="9">
        <v>1.2509999999999999</v>
      </c>
      <c r="Q1046" s="9">
        <v>19.053000000000001</v>
      </c>
      <c r="R1046" s="9"/>
      <c r="S1046" s="11"/>
    </row>
    <row r="1047" spans="1:19" ht="15" customHeight="1">
      <c r="A1047" s="13">
        <v>73050</v>
      </c>
      <c r="B1047" s="8">
        <f>CHOOSE( CONTROL!$C$33, 43.0008, 42.9997) * CHOOSE(CONTROL!$C$16, $D$10, 100%, $F$10)</f>
        <v>43.000799999999998</v>
      </c>
      <c r="C1047" s="8">
        <f>CHOOSE( CONTROL!$C$33, 43.0059, 43.0048) * CHOOSE(CONTROL!$C$16, $D$10, 100%, $F$10)</f>
        <v>43.005899999999997</v>
      </c>
      <c r="D1047" s="8">
        <f>CHOOSE( CONTROL!$C$33, 42.9871, 42.986) * CHOOSE( CONTROL!$C$16, $D$10, 100%, $F$10)</f>
        <v>42.987099999999998</v>
      </c>
      <c r="E1047" s="12">
        <f>CHOOSE( CONTROL!$C$33, 42.9934, 42.9923) * CHOOSE( CONTROL!$C$16, $D$10, 100%, $F$10)</f>
        <v>42.993400000000001</v>
      </c>
      <c r="F1047" s="4">
        <f>CHOOSE( CONTROL!$C$33, 43.6637, 43.6626) * CHOOSE(CONTROL!$C$16, $D$10, 100%, $F$10)</f>
        <v>43.663699999999999</v>
      </c>
      <c r="G1047" s="8">
        <f>CHOOSE( CONTROL!$C$33, 42.4379, 42.4368) * CHOOSE( CONTROL!$C$16, $D$10, 100%, $F$10)</f>
        <v>42.437899999999999</v>
      </c>
      <c r="H1047" s="4">
        <f>CHOOSE( CONTROL!$C$33, 43.3284, 43.3273) * CHOOSE(CONTROL!$C$16, $D$10, 100%, $F$10)</f>
        <v>43.328400000000002</v>
      </c>
      <c r="I1047" s="8">
        <f>CHOOSE( CONTROL!$C$33, 41.8449, 41.8438) * CHOOSE(CONTROL!$C$16, $D$10, 100%, $F$10)</f>
        <v>41.844900000000003</v>
      </c>
      <c r="J1047" s="4">
        <f>CHOOSE( CONTROL!$C$33, 41.6544, 41.6533) * CHOOSE(CONTROL!$C$16, $D$10, 100%, $F$10)</f>
        <v>41.654400000000003</v>
      </c>
      <c r="K1047" s="4"/>
      <c r="L1047" s="9">
        <v>29.306000000000001</v>
      </c>
      <c r="M1047" s="9">
        <v>12.063700000000001</v>
      </c>
      <c r="N1047" s="9">
        <v>4.9444999999999997</v>
      </c>
      <c r="O1047" s="9">
        <v>0.37409999999999999</v>
      </c>
      <c r="P1047" s="9">
        <v>1.2927</v>
      </c>
      <c r="Q1047" s="9">
        <v>19.688099999999999</v>
      </c>
      <c r="R1047" s="9"/>
      <c r="S1047" s="11"/>
    </row>
    <row r="1048" spans="1:19" ht="15" customHeight="1">
      <c r="A1048" s="13">
        <v>73081</v>
      </c>
      <c r="B1048" s="8">
        <f>CHOOSE( CONTROL!$C$33, 44.2697, 44.2686) * CHOOSE(CONTROL!$C$16, $D$10, 100%, $F$10)</f>
        <v>44.2697</v>
      </c>
      <c r="C1048" s="8">
        <f>CHOOSE( CONTROL!$C$33, 44.2748, 44.2737) * CHOOSE(CONTROL!$C$16, $D$10, 100%, $F$10)</f>
        <v>44.274799999999999</v>
      </c>
      <c r="D1048" s="8">
        <f>CHOOSE( CONTROL!$C$33, 44.2672, 44.266) * CHOOSE( CONTROL!$C$16, $D$10, 100%, $F$10)</f>
        <v>44.267200000000003</v>
      </c>
      <c r="E1048" s="12">
        <f>CHOOSE( CONTROL!$C$33, 44.2694, 44.2683) * CHOOSE( CONTROL!$C$16, $D$10, 100%, $F$10)</f>
        <v>44.269399999999997</v>
      </c>
      <c r="F1048" s="4">
        <f>CHOOSE( CONTROL!$C$33, 44.9326, 44.9315) * CHOOSE(CONTROL!$C$16, $D$10, 100%, $F$10)</f>
        <v>44.932600000000001</v>
      </c>
      <c r="G1048" s="8">
        <f>CHOOSE( CONTROL!$C$33, 43.6949, 43.6938) * CHOOSE( CONTROL!$C$16, $D$10, 100%, $F$10)</f>
        <v>43.694899999999997</v>
      </c>
      <c r="H1048" s="4">
        <f>CHOOSE( CONTROL!$C$33, 44.5796, 44.5785) * CHOOSE(CONTROL!$C$16, $D$10, 100%, $F$10)</f>
        <v>44.579599999999999</v>
      </c>
      <c r="I1048" s="8">
        <f>CHOOSE( CONTROL!$C$33, 43.0654, 43.0643) * CHOOSE(CONTROL!$C$16, $D$10, 100%, $F$10)</f>
        <v>43.065399999999997</v>
      </c>
      <c r="J1048" s="4">
        <f>CHOOSE( CONTROL!$C$33, 42.883, 42.8819) * CHOOSE(CONTROL!$C$16, $D$10, 100%, $F$10)</f>
        <v>42.883000000000003</v>
      </c>
      <c r="K1048" s="4"/>
      <c r="L1048" s="9">
        <v>29.306000000000001</v>
      </c>
      <c r="M1048" s="9">
        <v>12.063700000000001</v>
      </c>
      <c r="N1048" s="9">
        <v>4.9444999999999997</v>
      </c>
      <c r="O1048" s="9">
        <v>0.37409999999999999</v>
      </c>
      <c r="P1048" s="9">
        <v>1.2927</v>
      </c>
      <c r="Q1048" s="9">
        <v>19.688099999999999</v>
      </c>
      <c r="R1048" s="9"/>
      <c r="S1048" s="11"/>
    </row>
    <row r="1049" spans="1:19" ht="15" customHeight="1">
      <c r="A1049" s="13">
        <v>73109</v>
      </c>
      <c r="B1049" s="8">
        <f>CHOOSE( CONTROL!$C$33, 41.4067, 41.4056) * CHOOSE(CONTROL!$C$16, $D$10, 100%, $F$10)</f>
        <v>41.406700000000001</v>
      </c>
      <c r="C1049" s="8">
        <f>CHOOSE( CONTROL!$C$33, 41.4118, 41.4107) * CHOOSE(CONTROL!$C$16, $D$10, 100%, $F$10)</f>
        <v>41.411799999999999</v>
      </c>
      <c r="D1049" s="8">
        <f>CHOOSE( CONTROL!$C$33, 41.404, 41.4029) * CHOOSE( CONTROL!$C$16, $D$10, 100%, $F$10)</f>
        <v>41.404000000000003</v>
      </c>
      <c r="E1049" s="12">
        <f>CHOOSE( CONTROL!$C$33, 41.4063, 41.4052) * CHOOSE( CONTROL!$C$16, $D$10, 100%, $F$10)</f>
        <v>41.406300000000002</v>
      </c>
      <c r="F1049" s="4">
        <f>CHOOSE( CONTROL!$C$33, 42.0696, 42.0684) * CHOOSE(CONTROL!$C$16, $D$10, 100%, $F$10)</f>
        <v>42.069600000000001</v>
      </c>
      <c r="G1049" s="8">
        <f>CHOOSE( CONTROL!$C$33, 40.8718, 40.8706) * CHOOSE( CONTROL!$C$16, $D$10, 100%, $F$10)</f>
        <v>40.8718</v>
      </c>
      <c r="H1049" s="4">
        <f>CHOOSE( CONTROL!$C$33, 41.7565, 41.7554) * CHOOSE(CONTROL!$C$16, $D$10, 100%, $F$10)</f>
        <v>41.756500000000003</v>
      </c>
      <c r="I1049" s="8">
        <f>CHOOSE( CONTROL!$C$33, 40.2912, 40.2901) * CHOOSE(CONTROL!$C$16, $D$10, 100%, $F$10)</f>
        <v>40.291200000000003</v>
      </c>
      <c r="J1049" s="4">
        <f>CHOOSE( CONTROL!$C$33, 40.1108, 40.1097) * CHOOSE(CONTROL!$C$16, $D$10, 100%, $F$10)</f>
        <v>40.110799999999998</v>
      </c>
      <c r="K1049" s="4"/>
      <c r="L1049" s="9">
        <v>26.469899999999999</v>
      </c>
      <c r="M1049" s="9">
        <v>10.8962</v>
      </c>
      <c r="N1049" s="9">
        <v>4.4660000000000002</v>
      </c>
      <c r="O1049" s="9">
        <v>0.33789999999999998</v>
      </c>
      <c r="P1049" s="9">
        <v>1.1676</v>
      </c>
      <c r="Q1049" s="9">
        <v>17.782800000000002</v>
      </c>
      <c r="R1049" s="9"/>
      <c r="S1049" s="11"/>
    </row>
    <row r="1050" spans="1:19" ht="15" customHeight="1">
      <c r="A1050" s="13">
        <v>73140</v>
      </c>
      <c r="B1050" s="8">
        <f>CHOOSE( CONTROL!$C$33, 40.5249, 40.5238) * CHOOSE(CONTROL!$C$16, $D$10, 100%, $F$10)</f>
        <v>40.524900000000002</v>
      </c>
      <c r="C1050" s="8">
        <f>CHOOSE( CONTROL!$C$33, 40.53, 40.5289) * CHOOSE(CONTROL!$C$16, $D$10, 100%, $F$10)</f>
        <v>40.53</v>
      </c>
      <c r="D1050" s="8">
        <f>CHOOSE( CONTROL!$C$33, 40.5215, 40.5203) * CHOOSE( CONTROL!$C$16, $D$10, 100%, $F$10)</f>
        <v>40.521500000000003</v>
      </c>
      <c r="E1050" s="12">
        <f>CHOOSE( CONTROL!$C$33, 40.5241, 40.5229) * CHOOSE( CONTROL!$C$16, $D$10, 100%, $F$10)</f>
        <v>40.524099999999997</v>
      </c>
      <c r="F1050" s="4">
        <f>CHOOSE( CONTROL!$C$33, 41.1878, 41.1867) * CHOOSE(CONTROL!$C$16, $D$10, 100%, $F$10)</f>
        <v>41.187800000000003</v>
      </c>
      <c r="G1050" s="8">
        <f>CHOOSE( CONTROL!$C$33, 40.0017, 40.0006) * CHOOSE( CONTROL!$C$16, $D$10, 100%, $F$10)</f>
        <v>40.0017</v>
      </c>
      <c r="H1050" s="4">
        <f>CHOOSE( CONTROL!$C$33, 40.887, 40.8859) * CHOOSE(CONTROL!$C$16, $D$10, 100%, $F$10)</f>
        <v>40.887</v>
      </c>
      <c r="I1050" s="8">
        <f>CHOOSE( CONTROL!$C$33, 39.4347, 39.4336) * CHOOSE(CONTROL!$C$16, $D$10, 100%, $F$10)</f>
        <v>39.434699999999999</v>
      </c>
      <c r="J1050" s="4">
        <f>CHOOSE( CONTROL!$C$33, 39.2569, 39.2558) * CHOOSE(CONTROL!$C$16, $D$10, 100%, $F$10)</f>
        <v>39.256900000000002</v>
      </c>
      <c r="K1050" s="4"/>
      <c r="L1050" s="9">
        <v>29.306000000000001</v>
      </c>
      <c r="M1050" s="9">
        <v>12.063700000000001</v>
      </c>
      <c r="N1050" s="9">
        <v>4.9444999999999997</v>
      </c>
      <c r="O1050" s="9">
        <v>0.37409999999999999</v>
      </c>
      <c r="P1050" s="9">
        <v>1.2927</v>
      </c>
      <c r="Q1050" s="9">
        <v>19.688099999999999</v>
      </c>
      <c r="R1050" s="9"/>
      <c r="S1050" s="11"/>
    </row>
    <row r="1051" spans="1:19" ht="15" customHeight="1">
      <c r="A1051" s="13">
        <v>73170</v>
      </c>
      <c r="B1051" s="8">
        <f>CHOOSE( CONTROL!$C$33, 41.1419, 41.1407) * CHOOSE(CONTROL!$C$16, $D$10, 100%, $F$10)</f>
        <v>41.1419</v>
      </c>
      <c r="C1051" s="8">
        <f>CHOOSE( CONTROL!$C$33, 41.1464, 41.1453) * CHOOSE(CONTROL!$C$16, $D$10, 100%, $F$10)</f>
        <v>41.1464</v>
      </c>
      <c r="D1051" s="8">
        <f>CHOOSE( CONTROL!$C$33, 41.1753, 41.1741) * CHOOSE( CONTROL!$C$16, $D$10, 100%, $F$10)</f>
        <v>41.1753</v>
      </c>
      <c r="E1051" s="12">
        <f>CHOOSE( CONTROL!$C$33, 41.1652, 41.1641) * CHOOSE( CONTROL!$C$16, $D$10, 100%, $F$10)</f>
        <v>41.165199999999999</v>
      </c>
      <c r="F1051" s="4">
        <f>CHOOSE( CONTROL!$C$33, 41.9201, 41.919) * CHOOSE(CONTROL!$C$16, $D$10, 100%, $F$10)</f>
        <v>41.920099999999998</v>
      </c>
      <c r="G1051" s="8">
        <f>CHOOSE( CONTROL!$C$33, 40.6303, 40.6292) * CHOOSE( CONTROL!$C$16, $D$10, 100%, $F$10)</f>
        <v>40.630299999999998</v>
      </c>
      <c r="H1051" s="4">
        <f>CHOOSE( CONTROL!$C$33, 41.6092, 41.608) * CHOOSE(CONTROL!$C$16, $D$10, 100%, $F$10)</f>
        <v>41.609200000000001</v>
      </c>
      <c r="I1051" s="8">
        <f>CHOOSE( CONTROL!$C$33, 39.9896, 39.9885) * CHOOSE(CONTROL!$C$16, $D$10, 100%, $F$10)</f>
        <v>39.989600000000003</v>
      </c>
      <c r="J1051" s="4">
        <f>CHOOSE( CONTROL!$C$33, 39.8536, 39.8525) * CHOOSE(CONTROL!$C$16, $D$10, 100%, $F$10)</f>
        <v>39.8536</v>
      </c>
      <c r="K1051" s="4"/>
      <c r="L1051" s="9">
        <v>30.092199999999998</v>
      </c>
      <c r="M1051" s="9">
        <v>11.6745</v>
      </c>
      <c r="N1051" s="9">
        <v>4.7850000000000001</v>
      </c>
      <c r="O1051" s="9">
        <v>0.36199999999999999</v>
      </c>
      <c r="P1051" s="9">
        <v>1.2509999999999999</v>
      </c>
      <c r="Q1051" s="9">
        <v>19.053000000000001</v>
      </c>
      <c r="R1051" s="9"/>
      <c r="S1051" s="11"/>
    </row>
    <row r="1052" spans="1:19" ht="15" customHeight="1">
      <c r="A1052" s="13">
        <v>73201</v>
      </c>
      <c r="B1052" s="8">
        <f>CHOOSE( CONTROL!$C$33, 42.2403, 42.2388) * CHOOSE(CONTROL!$C$16, $D$10, 100%, $F$10)</f>
        <v>42.240299999999998</v>
      </c>
      <c r="C1052" s="8">
        <f>CHOOSE( CONTROL!$C$33, 42.2483, 42.2468) * CHOOSE(CONTROL!$C$16, $D$10, 100%, $F$10)</f>
        <v>42.2483</v>
      </c>
      <c r="D1052" s="8">
        <f>CHOOSE( CONTROL!$C$33, 42.2706, 42.269) * CHOOSE( CONTROL!$C$16, $D$10, 100%, $F$10)</f>
        <v>42.270600000000002</v>
      </c>
      <c r="E1052" s="12">
        <f>CHOOSE( CONTROL!$C$33, 42.2613, 42.2597) * CHOOSE( CONTROL!$C$16, $D$10, 100%, $F$10)</f>
        <v>42.261299999999999</v>
      </c>
      <c r="F1052" s="4">
        <f>CHOOSE( CONTROL!$C$33, 43.0172, 43.0157) * CHOOSE(CONTROL!$C$16, $D$10, 100%, $F$10)</f>
        <v>43.017200000000003</v>
      </c>
      <c r="G1052" s="8">
        <f>CHOOSE( CONTROL!$C$33, 41.712, 41.7104) * CHOOSE( CONTROL!$C$16, $D$10, 100%, $F$10)</f>
        <v>41.712000000000003</v>
      </c>
      <c r="H1052" s="4">
        <f>CHOOSE( CONTROL!$C$33, 42.6909, 42.6894) * CHOOSE(CONTROL!$C$16, $D$10, 100%, $F$10)</f>
        <v>42.690899999999999</v>
      </c>
      <c r="I1052" s="8">
        <f>CHOOSE( CONTROL!$C$33, 41.0521, 41.0505) * CHOOSE(CONTROL!$C$16, $D$10, 100%, $F$10)</f>
        <v>41.052100000000003</v>
      </c>
      <c r="J1052" s="4">
        <f>CHOOSE( CONTROL!$C$33, 40.9159, 40.9144) * CHOOSE(CONTROL!$C$16, $D$10, 100%, $F$10)</f>
        <v>40.915900000000001</v>
      </c>
      <c r="K1052" s="4"/>
      <c r="L1052" s="9">
        <v>30.7165</v>
      </c>
      <c r="M1052" s="9">
        <v>12.063700000000001</v>
      </c>
      <c r="N1052" s="9">
        <v>4.9444999999999997</v>
      </c>
      <c r="O1052" s="9">
        <v>0.37409999999999999</v>
      </c>
      <c r="P1052" s="9">
        <v>1.2927</v>
      </c>
      <c r="Q1052" s="9">
        <v>19.688099999999999</v>
      </c>
      <c r="R1052" s="9"/>
      <c r="S1052" s="11"/>
    </row>
    <row r="1053" spans="1:19" ht="15" customHeight="1">
      <c r="A1053" s="13">
        <v>73231</v>
      </c>
      <c r="B1053" s="8">
        <f>CHOOSE( CONTROL!$C$33, 41.561, 41.5594) * CHOOSE(CONTROL!$C$16, $D$10, 100%, $F$10)</f>
        <v>41.561</v>
      </c>
      <c r="C1053" s="8">
        <f>CHOOSE( CONTROL!$C$33, 41.569, 41.5674) * CHOOSE(CONTROL!$C$16, $D$10, 100%, $F$10)</f>
        <v>41.569000000000003</v>
      </c>
      <c r="D1053" s="8">
        <f>CHOOSE( CONTROL!$C$33, 41.5914, 41.5898) * CHOOSE( CONTROL!$C$16, $D$10, 100%, $F$10)</f>
        <v>41.5914</v>
      </c>
      <c r="E1053" s="12">
        <f>CHOOSE( CONTROL!$C$33, 41.5821, 41.5805) * CHOOSE( CONTROL!$C$16, $D$10, 100%, $F$10)</f>
        <v>41.582099999999997</v>
      </c>
      <c r="F1053" s="4">
        <f>CHOOSE( CONTROL!$C$33, 42.3379, 42.3363) * CHOOSE(CONTROL!$C$16, $D$10, 100%, $F$10)</f>
        <v>42.337899999999998</v>
      </c>
      <c r="G1053" s="8">
        <f>CHOOSE( CONTROL!$C$33, 41.0423, 41.0407) * CHOOSE( CONTROL!$C$16, $D$10, 100%, $F$10)</f>
        <v>41.042299999999997</v>
      </c>
      <c r="H1053" s="4">
        <f>CHOOSE( CONTROL!$C$33, 42.0211, 42.0195) * CHOOSE(CONTROL!$C$16, $D$10, 100%, $F$10)</f>
        <v>42.021099999999997</v>
      </c>
      <c r="I1053" s="8">
        <f>CHOOSE( CONTROL!$C$33, 40.3945, 40.393) * CHOOSE(CONTROL!$C$16, $D$10, 100%, $F$10)</f>
        <v>40.394500000000001</v>
      </c>
      <c r="J1053" s="4">
        <f>CHOOSE( CONTROL!$C$33, 40.2581, 40.2566) * CHOOSE(CONTROL!$C$16, $D$10, 100%, $F$10)</f>
        <v>40.258099999999999</v>
      </c>
      <c r="K1053" s="4"/>
      <c r="L1053" s="9">
        <v>29.7257</v>
      </c>
      <c r="M1053" s="9">
        <v>11.6745</v>
      </c>
      <c r="N1053" s="9">
        <v>4.7850000000000001</v>
      </c>
      <c r="O1053" s="9">
        <v>0.36199999999999999</v>
      </c>
      <c r="P1053" s="9">
        <v>1.2509999999999999</v>
      </c>
      <c r="Q1053" s="9">
        <v>19.053000000000001</v>
      </c>
      <c r="R1053" s="9"/>
      <c r="S1053" s="11"/>
    </row>
    <row r="1054" spans="1:19" ht="15" customHeight="1">
      <c r="A1054" s="13">
        <v>73262</v>
      </c>
      <c r="B1054" s="8">
        <f>CHOOSE( CONTROL!$C$33, 43.3499, 43.3484) * CHOOSE(CONTROL!$C$16, $D$10, 100%, $F$10)</f>
        <v>43.349899999999998</v>
      </c>
      <c r="C1054" s="8">
        <f>CHOOSE( CONTROL!$C$33, 43.3579, 43.3564) * CHOOSE(CONTROL!$C$16, $D$10, 100%, $F$10)</f>
        <v>43.357900000000001</v>
      </c>
      <c r="D1054" s="8">
        <f>CHOOSE( CONTROL!$C$33, 43.3806, 43.379) * CHOOSE( CONTROL!$C$16, $D$10, 100%, $F$10)</f>
        <v>43.380600000000001</v>
      </c>
      <c r="E1054" s="12">
        <f>CHOOSE( CONTROL!$C$33, 43.3712, 43.3696) * CHOOSE( CONTROL!$C$16, $D$10, 100%, $F$10)</f>
        <v>43.371200000000002</v>
      </c>
      <c r="F1054" s="4">
        <f>CHOOSE( CONTROL!$C$33, 44.1269, 44.1253) * CHOOSE(CONTROL!$C$16, $D$10, 100%, $F$10)</f>
        <v>44.126899999999999</v>
      </c>
      <c r="G1054" s="8">
        <f>CHOOSE( CONTROL!$C$33, 42.8064, 42.8049) * CHOOSE( CONTROL!$C$16, $D$10, 100%, $F$10)</f>
        <v>42.806399999999996</v>
      </c>
      <c r="H1054" s="4">
        <f>CHOOSE( CONTROL!$C$33, 43.7851, 43.7835) * CHOOSE(CONTROL!$C$16, $D$10, 100%, $F$10)</f>
        <v>43.7851</v>
      </c>
      <c r="I1054" s="8">
        <f>CHOOSE( CONTROL!$C$33, 42.1284, 42.1269) * CHOOSE(CONTROL!$C$16, $D$10, 100%, $F$10)</f>
        <v>42.128399999999999</v>
      </c>
      <c r="J1054" s="4">
        <f>CHOOSE( CONTROL!$C$33, 41.9903, 41.9888) * CHOOSE(CONTROL!$C$16, $D$10, 100%, $F$10)</f>
        <v>41.990299999999998</v>
      </c>
      <c r="K1054" s="4"/>
      <c r="L1054" s="9">
        <v>30.7165</v>
      </c>
      <c r="M1054" s="9">
        <v>12.063700000000001</v>
      </c>
      <c r="N1054" s="9">
        <v>4.9444999999999997</v>
      </c>
      <c r="O1054" s="9">
        <v>0.37409999999999999</v>
      </c>
      <c r="P1054" s="9">
        <v>1.2927</v>
      </c>
      <c r="Q1054" s="9">
        <v>19.688099999999999</v>
      </c>
      <c r="R1054" s="9"/>
      <c r="S1054" s="11"/>
    </row>
    <row r="1055" spans="1:19" ht="15" customHeight="1">
      <c r="A1055" s="13">
        <v>73293</v>
      </c>
      <c r="B1055" s="8">
        <f>CHOOSE( CONTROL!$C$33, 40.0026, 40.001) * CHOOSE(CONTROL!$C$16, $D$10, 100%, $F$10)</f>
        <v>40.002600000000001</v>
      </c>
      <c r="C1055" s="8">
        <f>CHOOSE( CONTROL!$C$33, 40.0106, 40.009) * CHOOSE(CONTROL!$C$16, $D$10, 100%, $F$10)</f>
        <v>40.010599999999997</v>
      </c>
      <c r="D1055" s="8">
        <f>CHOOSE( CONTROL!$C$33, 40.0333, 40.0317) * CHOOSE( CONTROL!$C$16, $D$10, 100%, $F$10)</f>
        <v>40.033299999999997</v>
      </c>
      <c r="E1055" s="12">
        <f>CHOOSE( CONTROL!$C$33, 40.0239, 40.0223) * CHOOSE( CONTROL!$C$16, $D$10, 100%, $F$10)</f>
        <v>40.023899999999998</v>
      </c>
      <c r="F1055" s="4">
        <f>CHOOSE( CONTROL!$C$33, 40.7795, 40.778) * CHOOSE(CONTROL!$C$16, $D$10, 100%, $F$10)</f>
        <v>40.779499999999999</v>
      </c>
      <c r="G1055" s="8">
        <f>CHOOSE( CONTROL!$C$33, 39.5058, 39.5043) * CHOOSE( CONTROL!$C$16, $D$10, 100%, $F$10)</f>
        <v>39.505800000000001</v>
      </c>
      <c r="H1055" s="4">
        <f>CHOOSE( CONTROL!$C$33, 40.4844, 40.4829) * CHOOSE(CONTROL!$C$16, $D$10, 100%, $F$10)</f>
        <v>40.484400000000001</v>
      </c>
      <c r="I1055" s="8">
        <f>CHOOSE( CONTROL!$C$33, 38.8857, 38.8842) * CHOOSE(CONTROL!$C$16, $D$10, 100%, $F$10)</f>
        <v>38.8857</v>
      </c>
      <c r="J1055" s="4">
        <f>CHOOSE( CONTROL!$C$33, 38.7491, 38.7476) * CHOOSE(CONTROL!$C$16, $D$10, 100%, $F$10)</f>
        <v>38.749099999999999</v>
      </c>
      <c r="K1055" s="4"/>
      <c r="L1055" s="9">
        <v>30.7165</v>
      </c>
      <c r="M1055" s="9">
        <v>12.063700000000001</v>
      </c>
      <c r="N1055" s="9">
        <v>4.9444999999999997</v>
      </c>
      <c r="O1055" s="9">
        <v>0.37409999999999999</v>
      </c>
      <c r="P1055" s="9">
        <v>1.2927</v>
      </c>
      <c r="Q1055" s="9">
        <v>19.688099999999999</v>
      </c>
      <c r="R1055" s="9"/>
      <c r="S1055" s="11"/>
    </row>
    <row r="1056" spans="1:19" ht="15" customHeight="1">
      <c r="A1056" s="13">
        <v>73323</v>
      </c>
      <c r="B1056" s="8">
        <f>CHOOSE( CONTROL!$C$33, 39.1644, 39.1628) * CHOOSE(CONTROL!$C$16, $D$10, 100%, $F$10)</f>
        <v>39.164400000000001</v>
      </c>
      <c r="C1056" s="8">
        <f>CHOOSE( CONTROL!$C$33, 39.1724, 39.1708) * CHOOSE(CONTROL!$C$16, $D$10, 100%, $F$10)</f>
        <v>39.172400000000003</v>
      </c>
      <c r="D1056" s="8">
        <f>CHOOSE( CONTROL!$C$33, 39.1949, 39.1934) * CHOOSE( CONTROL!$C$16, $D$10, 100%, $F$10)</f>
        <v>39.194899999999997</v>
      </c>
      <c r="E1056" s="12">
        <f>CHOOSE( CONTROL!$C$33, 39.1855, 39.184) * CHOOSE( CONTROL!$C$16, $D$10, 100%, $F$10)</f>
        <v>39.185499999999998</v>
      </c>
      <c r="F1056" s="4">
        <f>CHOOSE( CONTROL!$C$33, 39.9413, 39.9397) * CHOOSE(CONTROL!$C$16, $D$10, 100%, $F$10)</f>
        <v>39.941299999999998</v>
      </c>
      <c r="G1056" s="8">
        <f>CHOOSE( CONTROL!$C$33, 38.6792, 38.6777) * CHOOSE( CONTROL!$C$16, $D$10, 100%, $F$10)</f>
        <v>38.679200000000002</v>
      </c>
      <c r="H1056" s="4">
        <f>CHOOSE( CONTROL!$C$33, 39.6579, 39.6564) * CHOOSE(CONTROL!$C$16, $D$10, 100%, $F$10)</f>
        <v>39.657899999999998</v>
      </c>
      <c r="I1056" s="8">
        <f>CHOOSE( CONTROL!$C$33, 38.0732, 38.0717) * CHOOSE(CONTROL!$C$16, $D$10, 100%, $F$10)</f>
        <v>38.0732</v>
      </c>
      <c r="J1056" s="4">
        <f>CHOOSE( CONTROL!$C$33, 37.9375, 37.936) * CHOOSE(CONTROL!$C$16, $D$10, 100%, $F$10)</f>
        <v>37.9375</v>
      </c>
      <c r="K1056" s="4"/>
      <c r="L1056" s="9">
        <v>29.7257</v>
      </c>
      <c r="M1056" s="9">
        <v>11.6745</v>
      </c>
      <c r="N1056" s="9">
        <v>4.7850000000000001</v>
      </c>
      <c r="O1056" s="9">
        <v>0.36199999999999999</v>
      </c>
      <c r="P1056" s="9">
        <v>1.2509999999999999</v>
      </c>
      <c r="Q1056" s="9">
        <v>19.053000000000001</v>
      </c>
      <c r="R1056" s="9"/>
      <c r="S1056" s="11"/>
    </row>
    <row r="1057" spans="1:19" ht="15" customHeight="1">
      <c r="A1057" s="13">
        <v>73354</v>
      </c>
      <c r="B1057" s="8">
        <f>CHOOSE( CONTROL!$C$33, 40.9026, 40.9015) * CHOOSE(CONTROL!$C$16, $D$10, 100%, $F$10)</f>
        <v>40.9026</v>
      </c>
      <c r="C1057" s="8">
        <f>CHOOSE( CONTROL!$C$33, 40.908, 40.9069) * CHOOSE(CONTROL!$C$16, $D$10, 100%, $F$10)</f>
        <v>40.908000000000001</v>
      </c>
      <c r="D1057" s="8">
        <f>CHOOSE( CONTROL!$C$33, 40.9368, 40.9356) * CHOOSE( CONTROL!$C$16, $D$10, 100%, $F$10)</f>
        <v>40.936799999999998</v>
      </c>
      <c r="E1057" s="12">
        <f>CHOOSE( CONTROL!$C$33, 40.9267, 40.9256) * CHOOSE( CONTROL!$C$16, $D$10, 100%, $F$10)</f>
        <v>40.926699999999997</v>
      </c>
      <c r="F1057" s="4">
        <f>CHOOSE( CONTROL!$C$33, 41.6813, 41.6802) * CHOOSE(CONTROL!$C$16, $D$10, 100%, $F$10)</f>
        <v>41.6813</v>
      </c>
      <c r="G1057" s="8">
        <f>CHOOSE( CONTROL!$C$33, 40.395, 40.3939) * CHOOSE( CONTROL!$C$16, $D$10, 100%, $F$10)</f>
        <v>40.395000000000003</v>
      </c>
      <c r="H1057" s="4">
        <f>CHOOSE( CONTROL!$C$33, 41.3736, 41.3725) * CHOOSE(CONTROL!$C$16, $D$10, 100%, $F$10)</f>
        <v>41.373600000000003</v>
      </c>
      <c r="I1057" s="8">
        <f>CHOOSE( CONTROL!$C$33, 39.7595, 39.7584) * CHOOSE(CONTROL!$C$16, $D$10, 100%, $F$10)</f>
        <v>39.759500000000003</v>
      </c>
      <c r="J1057" s="4">
        <f>CHOOSE( CONTROL!$C$33, 39.6223, 39.6212) * CHOOSE(CONTROL!$C$16, $D$10, 100%, $F$10)</f>
        <v>39.622300000000003</v>
      </c>
      <c r="K1057" s="4"/>
      <c r="L1057" s="9">
        <v>31.095300000000002</v>
      </c>
      <c r="M1057" s="9">
        <v>12.063700000000001</v>
      </c>
      <c r="N1057" s="9">
        <v>4.9444999999999997</v>
      </c>
      <c r="O1057" s="9">
        <v>0.37409999999999999</v>
      </c>
      <c r="P1057" s="9">
        <v>1.2927</v>
      </c>
      <c r="Q1057" s="9">
        <v>19.688099999999999</v>
      </c>
      <c r="R1057" s="9"/>
      <c r="S1057" s="11"/>
    </row>
    <row r="1058" spans="1:19" ht="15" customHeight="1">
      <c r="A1058" s="13">
        <v>73384</v>
      </c>
      <c r="B1058" s="8">
        <f>CHOOSE( CONTROL!$C$33, 44.1147, 44.1136) * CHOOSE(CONTROL!$C$16, $D$10, 100%, $F$10)</f>
        <v>44.114699999999999</v>
      </c>
      <c r="C1058" s="8">
        <f>CHOOSE( CONTROL!$C$33, 44.1198, 44.1187) * CHOOSE(CONTROL!$C$16, $D$10, 100%, $F$10)</f>
        <v>44.119799999999998</v>
      </c>
      <c r="D1058" s="8">
        <f>CHOOSE( CONTROL!$C$33, 44.0995, 44.0983) * CHOOSE( CONTROL!$C$16, $D$10, 100%, $F$10)</f>
        <v>44.099499999999999</v>
      </c>
      <c r="E1058" s="12">
        <f>CHOOSE( CONTROL!$C$33, 44.1064, 44.1052) * CHOOSE( CONTROL!$C$16, $D$10, 100%, $F$10)</f>
        <v>44.106400000000001</v>
      </c>
      <c r="F1058" s="4">
        <f>CHOOSE( CONTROL!$C$33, 44.7776, 44.7764) * CHOOSE(CONTROL!$C$16, $D$10, 100%, $F$10)</f>
        <v>44.7776</v>
      </c>
      <c r="G1058" s="8">
        <f>CHOOSE( CONTROL!$C$33, 43.5352, 43.5341) * CHOOSE( CONTROL!$C$16, $D$10, 100%, $F$10)</f>
        <v>43.535200000000003</v>
      </c>
      <c r="H1058" s="4">
        <f>CHOOSE( CONTROL!$C$33, 44.4267, 44.4256) * CHOOSE(CONTROL!$C$16, $D$10, 100%, $F$10)</f>
        <v>44.426699999999997</v>
      </c>
      <c r="I1058" s="8">
        <f>CHOOSE( CONTROL!$C$33, 42.9195, 42.9184) * CHOOSE(CONTROL!$C$16, $D$10, 100%, $F$10)</f>
        <v>42.919499999999999</v>
      </c>
      <c r="J1058" s="4">
        <f>CHOOSE( CONTROL!$C$33, 42.7329, 42.7318) * CHOOSE(CONTROL!$C$16, $D$10, 100%, $F$10)</f>
        <v>42.732900000000001</v>
      </c>
      <c r="K1058" s="4"/>
      <c r="L1058" s="9">
        <v>28.360600000000002</v>
      </c>
      <c r="M1058" s="9">
        <v>11.6745</v>
      </c>
      <c r="N1058" s="9">
        <v>4.7850000000000001</v>
      </c>
      <c r="O1058" s="9">
        <v>0.36199999999999999</v>
      </c>
      <c r="P1058" s="9">
        <v>1.2509999999999999</v>
      </c>
      <c r="Q1058" s="9">
        <v>19.053000000000001</v>
      </c>
      <c r="R1058" s="9"/>
      <c r="S1058" s="11"/>
    </row>
    <row r="1059" spans="1:19" ht="18" customHeight="1">
      <c r="A1059" s="13">
        <v>73415</v>
      </c>
      <c r="B1059" s="8">
        <f>CHOOSE( CONTROL!$C$33, 44.0344, 44.0333) * CHOOSE(CONTROL!$C$16, $D$10, 100%, $F$10)</f>
        <v>44.034399999999998</v>
      </c>
      <c r="C1059" s="8">
        <f>CHOOSE( CONTROL!$C$33, 44.0395, 44.0384) * CHOOSE(CONTROL!$C$16, $D$10, 100%, $F$10)</f>
        <v>44.039499999999997</v>
      </c>
      <c r="D1059" s="8">
        <f>CHOOSE( CONTROL!$C$33, 44.0207, 44.0195) * CHOOSE( CONTROL!$C$16, $D$10, 100%, $F$10)</f>
        <v>44.020699999999998</v>
      </c>
      <c r="E1059" s="12">
        <f>CHOOSE( CONTROL!$C$33, 44.027, 44.0259) * CHOOSE( CONTROL!$C$16, $D$10, 100%, $F$10)</f>
        <v>44.027000000000001</v>
      </c>
      <c r="F1059" s="4">
        <f>CHOOSE( CONTROL!$C$33, 44.6973, 44.6962) * CHOOSE(CONTROL!$C$16, $D$10, 100%, $F$10)</f>
        <v>44.697299999999998</v>
      </c>
      <c r="G1059" s="8">
        <f>CHOOSE( CONTROL!$C$33, 43.4571, 43.456) * CHOOSE( CONTROL!$C$16, $D$10, 100%, $F$10)</f>
        <v>43.457099999999997</v>
      </c>
      <c r="H1059" s="4">
        <f>CHOOSE( CONTROL!$C$33, 44.3476, 44.3465) * CHOOSE(CONTROL!$C$16, $D$10, 100%, $F$10)</f>
        <v>44.3476</v>
      </c>
      <c r="I1059" s="8">
        <f>CHOOSE( CONTROL!$C$33, 42.8462, 42.8451) * CHOOSE(CONTROL!$C$16, $D$10, 100%, $F$10)</f>
        <v>42.846200000000003</v>
      </c>
      <c r="J1059" s="4">
        <f>CHOOSE( CONTROL!$C$33, 42.6552, 42.6541) * CHOOSE(CONTROL!$C$16, $D$10, 100%, $F$10)</f>
        <v>42.655200000000001</v>
      </c>
      <c r="K1059" s="4"/>
      <c r="L1059" s="9">
        <v>29.306000000000001</v>
      </c>
      <c r="M1059" s="9">
        <v>12.063700000000001</v>
      </c>
      <c r="N1059" s="9">
        <v>4.9444999999999997</v>
      </c>
      <c r="O1059" s="9">
        <v>0.37409999999999999</v>
      </c>
      <c r="P1059" s="9">
        <v>1.2927</v>
      </c>
      <c r="Q1059" s="9">
        <v>19.688099999999999</v>
      </c>
      <c r="R1059" s="9"/>
      <c r="S1059" s="11"/>
    </row>
    <row r="1060" spans="1:19" ht="15" customHeight="1">
      <c r="A1060" s="10"/>
      <c r="F1060" s="1"/>
      <c r="H1060" s="1"/>
      <c r="Q1060" s="9"/>
    </row>
    <row r="1061" spans="1:19" ht="15" customHeight="1">
      <c r="A1061" s="3">
        <v>2014</v>
      </c>
      <c r="B1061" s="8">
        <f t="shared" ref="B1061:H1061" si="1">AVERAGE(B16:B27)</f>
        <v>4.6742986952413839</v>
      </c>
      <c r="C1061" s="8">
        <f t="shared" si="1"/>
        <v>4.6805348104224622</v>
      </c>
      <c r="D1061" s="8">
        <f t="shared" si="1"/>
        <v>4.7156545866784292</v>
      </c>
      <c r="E1061" s="8">
        <f t="shared" si="1"/>
        <v>4.7038035997935141</v>
      </c>
      <c r="F1061" s="4">
        <f t="shared" si="1"/>
        <v>5.4021833824796373</v>
      </c>
      <c r="G1061" s="8">
        <f t="shared" si="1"/>
        <v>4.6845113380414896</v>
      </c>
      <c r="H1061" s="4">
        <f t="shared" si="1"/>
        <v>5.5279738437301944</v>
      </c>
      <c r="I1061" s="8"/>
      <c r="J1061" s="4">
        <f>AVERAGE(J16:J27)</f>
        <v>4.5402384459720979</v>
      </c>
      <c r="K1061" s="4">
        <f>AVERAGE(K16:K27)</f>
        <v>4.6420921146080838</v>
      </c>
      <c r="L1061" s="5">
        <f>SUM(L16:L27)</f>
        <v>360.57927420000004</v>
      </c>
      <c r="M1061" s="5">
        <f>SUM(M16:M27)</f>
        <v>142.03995</v>
      </c>
      <c r="N1061" s="5">
        <f>SUM(N16:N27)</f>
        <v>56.540100000000002</v>
      </c>
      <c r="O1061" s="5">
        <f>SUM(O16:O27)</f>
        <v>7.7105140000000025</v>
      </c>
      <c r="P1061" s="5">
        <f>SUM(P16:P27)</f>
        <v>7.914449276</v>
      </c>
      <c r="Q1061" s="5"/>
      <c r="R1061" s="5">
        <f>SUM(R16:R27)</f>
        <v>3.899999999999999</v>
      </c>
      <c r="S1061" s="5">
        <f>SUM(S16:S27)</f>
        <v>12.630875000000003</v>
      </c>
    </row>
    <row r="1062" spans="1:19" ht="15" customHeight="1">
      <c r="A1062" s="3">
        <v>2015</v>
      </c>
      <c r="B1062" s="8">
        <f t="shared" ref="B1062:H1062" si="2">AVERAGE(B28:B39)</f>
        <v>4.2385999999999999</v>
      </c>
      <c r="C1062" s="8">
        <f t="shared" si="2"/>
        <v>4.2448749999999995</v>
      </c>
      <c r="D1062" s="8">
        <f t="shared" si="2"/>
        <v>4.2379583333333333</v>
      </c>
      <c r="E1062" s="8">
        <f t="shared" si="2"/>
        <v>4.2395666666666676</v>
      </c>
      <c r="F1062" s="4">
        <f t="shared" si="2"/>
        <v>4.9721166666666674</v>
      </c>
      <c r="G1062" s="8">
        <f t="shared" si="2"/>
        <v>4.2291249999999998</v>
      </c>
      <c r="H1062" s="4">
        <f t="shared" si="2"/>
        <v>5.1766166666666669</v>
      </c>
      <c r="I1062" s="8"/>
      <c r="J1062" s="4">
        <f>AVERAGE(J28:J39)</f>
        <v>4.119933333333333</v>
      </c>
      <c r="K1062" s="4">
        <f>AVERAGE(K28:K39)</f>
        <v>4.2043083333333335</v>
      </c>
      <c r="L1062" s="5">
        <f>SUM(L28:L39)</f>
        <v>361.77389999999997</v>
      </c>
      <c r="M1062" s="5">
        <f>SUM(M28:M39)</f>
        <v>142.0401</v>
      </c>
      <c r="N1062" s="5">
        <f>SUM(N28:N39)</f>
        <v>56.113899999999994</v>
      </c>
      <c r="O1062" s="5">
        <f>SUM(O28:O39)</f>
        <v>7.2496000000000018</v>
      </c>
      <c r="P1062" s="5">
        <f>SUM(P28:P39)</f>
        <v>16.906700000000001</v>
      </c>
      <c r="Q1062" s="5"/>
      <c r="R1062" s="5">
        <f>SUM(R28:R39)</f>
        <v>3.5999999999999992</v>
      </c>
      <c r="S1062" s="5">
        <f>SUM(S28:S39)</f>
        <v>12.811500000000002</v>
      </c>
    </row>
    <row r="1063" spans="1:19" ht="15" customHeight="1">
      <c r="A1063" s="3">
        <v>2016</v>
      </c>
      <c r="B1063" s="8">
        <f t="shared" ref="B1063:H1063" si="3">AVERAGE(B40:B51)</f>
        <v>4.307433333333333</v>
      </c>
      <c r="C1063" s="8">
        <f t="shared" si="3"/>
        <v>4.3137083333333335</v>
      </c>
      <c r="D1063" s="8">
        <f t="shared" si="3"/>
        <v>4.3137999999999996</v>
      </c>
      <c r="E1063" s="8">
        <f t="shared" si="3"/>
        <v>4.3129666666666653</v>
      </c>
      <c r="F1063" s="4">
        <f t="shared" si="3"/>
        <v>5.0370999999999997</v>
      </c>
      <c r="G1063" s="8">
        <f t="shared" si="3"/>
        <v>4.2845749999999994</v>
      </c>
      <c r="H1063" s="4">
        <f t="shared" si="3"/>
        <v>5.2406666666666668</v>
      </c>
      <c r="I1063" s="8"/>
      <c r="J1063" s="4">
        <f>AVERAGE(J40:J51)</f>
        <v>4.1866000000000012</v>
      </c>
      <c r="K1063" s="5"/>
      <c r="L1063" s="5">
        <f>SUM(L40:L51)</f>
        <v>356.48229999999995</v>
      </c>
      <c r="M1063" s="5">
        <f>SUM(M40:M51)</f>
        <v>142.42920000000001</v>
      </c>
      <c r="N1063" s="5">
        <f>SUM(N40:N51)</f>
        <v>58.377000000000002</v>
      </c>
      <c r="O1063" s="5">
        <f>SUM(O40:O51)</f>
        <v>5.3597999999999999</v>
      </c>
      <c r="P1063" s="5">
        <f>SUM(P40:P51)</f>
        <v>20.483299999999996</v>
      </c>
      <c r="Q1063" s="5"/>
      <c r="R1063" s="5">
        <f>SUM(R40:R51)</f>
        <v>3.5999999999999992</v>
      </c>
      <c r="S1063" s="5"/>
    </row>
    <row r="1064" spans="1:19" ht="15" customHeight="1">
      <c r="A1064" s="3">
        <v>2017</v>
      </c>
      <c r="B1064" s="8">
        <f t="shared" ref="B1064:J1064" si="4">AVERAGE(B52:B63)</f>
        <v>4.7052166666666659</v>
      </c>
      <c r="C1064" s="8">
        <f t="shared" si="4"/>
        <v>4.7115</v>
      </c>
      <c r="D1064" s="8">
        <f t="shared" si="4"/>
        <v>4.7131499999999997</v>
      </c>
      <c r="E1064" s="8">
        <f t="shared" si="4"/>
        <v>4.7117833333333339</v>
      </c>
      <c r="F1064" s="4">
        <f t="shared" si="4"/>
        <v>5.4348833333333326</v>
      </c>
      <c r="G1064" s="8">
        <f t="shared" si="4"/>
        <v>4.6761083333333335</v>
      </c>
      <c r="H1064" s="4">
        <f t="shared" si="4"/>
        <v>5.6328999999999994</v>
      </c>
      <c r="I1064" s="8">
        <f t="shared" si="4"/>
        <v>4.7099416666666665</v>
      </c>
      <c r="J1064" s="4">
        <f t="shared" si="4"/>
        <v>4.571766666666667</v>
      </c>
      <c r="K1064" s="4"/>
      <c r="L1064" s="5">
        <f t="shared" ref="L1064:Q1064" si="5">SUM(L52:L63)</f>
        <v>355.53689999999995</v>
      </c>
      <c r="M1064" s="5">
        <f t="shared" si="5"/>
        <v>142.0401</v>
      </c>
      <c r="N1064" s="5">
        <f t="shared" si="5"/>
        <v>58.217499999999994</v>
      </c>
      <c r="O1064" s="5">
        <f t="shared" si="5"/>
        <v>4.4046000000000003</v>
      </c>
      <c r="P1064" s="5">
        <f t="shared" si="5"/>
        <v>20.590200000000003</v>
      </c>
      <c r="Q1064" s="5">
        <f t="shared" si="5"/>
        <v>198.18529999999998</v>
      </c>
      <c r="R1064" s="5"/>
      <c r="S1064" s="4"/>
    </row>
    <row r="1065" spans="1:19" ht="15" customHeight="1">
      <c r="A1065" s="3">
        <v>2018</v>
      </c>
      <c r="B1065" s="8">
        <f t="shared" ref="B1065:J1065" si="6">AVERAGE(B64:B75)</f>
        <v>4.9596</v>
      </c>
      <c r="C1065" s="8">
        <f t="shared" si="6"/>
        <v>4.9658750000000005</v>
      </c>
      <c r="D1065" s="8">
        <f t="shared" si="6"/>
        <v>4.9747666666666666</v>
      </c>
      <c r="E1065" s="8">
        <f t="shared" si="6"/>
        <v>4.9708833333333322</v>
      </c>
      <c r="F1065" s="4">
        <f t="shared" si="6"/>
        <v>5.6892499999999986</v>
      </c>
      <c r="G1065" s="8">
        <f t="shared" si="6"/>
        <v>4.9430666666666658</v>
      </c>
      <c r="H1065" s="4">
        <f t="shared" si="6"/>
        <v>5.8837000000000002</v>
      </c>
      <c r="I1065" s="8">
        <f t="shared" si="6"/>
        <v>4.9563666666666668</v>
      </c>
      <c r="J1065" s="4">
        <f t="shared" si="6"/>
        <v>4.8180666666666676</v>
      </c>
      <c r="K1065" s="4"/>
      <c r="L1065" s="5">
        <f t="shared" ref="L1065:Q1065" si="7">SUM(L64:L75)</f>
        <v>355.53689999999995</v>
      </c>
      <c r="M1065" s="5">
        <f t="shared" si="7"/>
        <v>142.0401</v>
      </c>
      <c r="N1065" s="5">
        <f t="shared" si="7"/>
        <v>58.217499999999994</v>
      </c>
      <c r="O1065" s="5">
        <f t="shared" si="7"/>
        <v>4.4046000000000003</v>
      </c>
      <c r="P1065" s="5">
        <f t="shared" si="7"/>
        <v>15.220499999999998</v>
      </c>
      <c r="Q1065" s="5">
        <f t="shared" si="7"/>
        <v>293.19730000000004</v>
      </c>
      <c r="R1065" s="5"/>
      <c r="S1065" s="4"/>
    </row>
    <row r="1066" spans="1:19" ht="15" customHeight="1">
      <c r="A1066" s="3">
        <v>2019</v>
      </c>
      <c r="B1066" s="8">
        <f t="shared" ref="B1066:J1066" si="8">AVERAGE(B76:B87)</f>
        <v>5.4586083333333333</v>
      </c>
      <c r="C1066" s="8">
        <f t="shared" si="8"/>
        <v>5.4648916666666665</v>
      </c>
      <c r="D1066" s="8">
        <f t="shared" si="8"/>
        <v>5.4738083333333334</v>
      </c>
      <c r="E1066" s="8">
        <f t="shared" si="8"/>
        <v>5.4699249999999999</v>
      </c>
      <c r="F1066" s="4">
        <f t="shared" si="8"/>
        <v>6.1882750000000009</v>
      </c>
      <c r="G1066" s="8">
        <f t="shared" si="8"/>
        <v>5.4351333333333329</v>
      </c>
      <c r="H1066" s="4">
        <f t="shared" si="8"/>
        <v>6.3757833333333336</v>
      </c>
      <c r="I1066" s="8">
        <f t="shared" si="8"/>
        <v>5.4398333333333335</v>
      </c>
      <c r="J1066" s="4">
        <f t="shared" si="8"/>
        <v>5.3012833333333331</v>
      </c>
      <c r="K1066" s="4"/>
      <c r="L1066" s="5">
        <f t="shared" ref="L1066:Q1066" si="9">SUM(L76:L87)</f>
        <v>355.53689999999995</v>
      </c>
      <c r="M1066" s="5">
        <f t="shared" si="9"/>
        <v>142.0401</v>
      </c>
      <c r="N1066" s="5">
        <f t="shared" si="9"/>
        <v>58.217499999999994</v>
      </c>
      <c r="O1066" s="5">
        <f t="shared" si="9"/>
        <v>4.4046000000000003</v>
      </c>
      <c r="P1066" s="5">
        <f t="shared" si="9"/>
        <v>15.220499999999998</v>
      </c>
      <c r="Q1066" s="5">
        <f t="shared" si="9"/>
        <v>290.24799999999999</v>
      </c>
      <c r="R1066" s="5"/>
      <c r="S1066" s="4"/>
    </row>
    <row r="1067" spans="1:19" ht="15" customHeight="1">
      <c r="A1067" s="3">
        <v>2020</v>
      </c>
      <c r="B1067" s="8">
        <f t="shared" ref="B1067:J1067" si="10">AVERAGE(B88:B99)</f>
        <v>5.6135083333333329</v>
      </c>
      <c r="C1067" s="8">
        <f t="shared" si="10"/>
        <v>5.6197833333333334</v>
      </c>
      <c r="D1067" s="8">
        <f t="shared" si="10"/>
        <v>5.6286999999999994</v>
      </c>
      <c r="E1067" s="8">
        <f t="shared" si="10"/>
        <v>5.6248083333333332</v>
      </c>
      <c r="F1067" s="4">
        <f t="shared" si="10"/>
        <v>6.3431749999999996</v>
      </c>
      <c r="G1067" s="8">
        <f t="shared" si="10"/>
        <v>5.5878750000000004</v>
      </c>
      <c r="H1067" s="4">
        <f t="shared" si="10"/>
        <v>6.5285333333333329</v>
      </c>
      <c r="I1067" s="8">
        <f t="shared" si="10"/>
        <v>5.5899000000000001</v>
      </c>
      <c r="J1067" s="4">
        <f t="shared" si="10"/>
        <v>5.4512666666666663</v>
      </c>
      <c r="K1067" s="4"/>
      <c r="L1067" s="5">
        <f t="shared" ref="L1067:Q1067" si="11">SUM(L88:L99)</f>
        <v>356.48229999999995</v>
      </c>
      <c r="M1067" s="5">
        <f t="shared" si="11"/>
        <v>142.42920000000001</v>
      </c>
      <c r="N1067" s="5">
        <f t="shared" si="11"/>
        <v>58.377000000000002</v>
      </c>
      <c r="O1067" s="5">
        <f t="shared" si="11"/>
        <v>4.4165999999999999</v>
      </c>
      <c r="P1067" s="5">
        <f t="shared" si="11"/>
        <v>15.262199999999998</v>
      </c>
      <c r="Q1067" s="5">
        <f t="shared" si="11"/>
        <v>349.04309999999998</v>
      </c>
      <c r="R1067" s="5"/>
      <c r="S1067" s="4"/>
    </row>
    <row r="1068" spans="1:19" ht="15" customHeight="1">
      <c r="A1068" s="3">
        <v>2021</v>
      </c>
      <c r="B1068" s="8">
        <f t="shared" ref="B1068:J1068" si="12">AVERAGE(B100:B111)</f>
        <v>5.8200833333333337</v>
      </c>
      <c r="C1068" s="8">
        <f t="shared" si="12"/>
        <v>5.8263583333333324</v>
      </c>
      <c r="D1068" s="8">
        <f t="shared" si="12"/>
        <v>5.8352749999999993</v>
      </c>
      <c r="E1068" s="8">
        <f t="shared" si="12"/>
        <v>5.8313916666666659</v>
      </c>
      <c r="F1068" s="4">
        <f t="shared" si="12"/>
        <v>6.5497333333333332</v>
      </c>
      <c r="G1068" s="8">
        <f t="shared" si="12"/>
        <v>5.79155</v>
      </c>
      <c r="H1068" s="4">
        <f t="shared" si="12"/>
        <v>6.7321833333333325</v>
      </c>
      <c r="I1068" s="8">
        <f t="shared" si="12"/>
        <v>5.7899999999999991</v>
      </c>
      <c r="J1068" s="4">
        <f t="shared" si="12"/>
        <v>5.6512666666666673</v>
      </c>
      <c r="K1068" s="4"/>
      <c r="L1068" s="5">
        <f t="shared" ref="L1068:Q1068" si="13">SUM(L100:L111)</f>
        <v>355.53689999999995</v>
      </c>
      <c r="M1068" s="5">
        <f t="shared" si="13"/>
        <v>142.0401</v>
      </c>
      <c r="N1068" s="5">
        <f t="shared" si="13"/>
        <v>58.217499999999994</v>
      </c>
      <c r="O1068" s="5">
        <f t="shared" si="13"/>
        <v>4.4046000000000003</v>
      </c>
      <c r="P1068" s="5">
        <f t="shared" si="13"/>
        <v>15.220499999999998</v>
      </c>
      <c r="Q1068" s="5">
        <f t="shared" si="13"/>
        <v>388.68129999999996</v>
      </c>
      <c r="R1068" s="5"/>
      <c r="S1068" s="4"/>
    </row>
    <row r="1069" spans="1:19" ht="15" customHeight="1">
      <c r="A1069" s="3">
        <v>2022</v>
      </c>
      <c r="B1069" s="8">
        <f t="shared" ref="B1069:J1069" si="14">AVERAGE(B112:B123)</f>
        <v>6.0266083333333347</v>
      </c>
      <c r="C1069" s="8">
        <f t="shared" si="14"/>
        <v>6.032891666666667</v>
      </c>
      <c r="D1069" s="8">
        <f t="shared" si="14"/>
        <v>6.0417999999999994</v>
      </c>
      <c r="E1069" s="8">
        <f t="shared" si="14"/>
        <v>6.0379333333333323</v>
      </c>
      <c r="F1069" s="4">
        <f t="shared" si="14"/>
        <v>6.7562583333333341</v>
      </c>
      <c r="G1069" s="8">
        <f t="shared" si="14"/>
        <v>5.9952250000000014</v>
      </c>
      <c r="H1069" s="4">
        <f t="shared" si="14"/>
        <v>6.9358750000000002</v>
      </c>
      <c r="I1069" s="8">
        <f t="shared" si="14"/>
        <v>5.9901000000000009</v>
      </c>
      <c r="J1069" s="4">
        <f t="shared" si="14"/>
        <v>5.8512666666666666</v>
      </c>
      <c r="K1069" s="4"/>
      <c r="L1069" s="5">
        <f t="shared" ref="L1069:Q1069" si="15">SUM(L112:L123)</f>
        <v>355.53689999999995</v>
      </c>
      <c r="M1069" s="5">
        <f t="shared" si="15"/>
        <v>142.0401</v>
      </c>
      <c r="N1069" s="5">
        <f t="shared" si="15"/>
        <v>58.217499999999994</v>
      </c>
      <c r="O1069" s="5">
        <f t="shared" si="15"/>
        <v>4.4046000000000003</v>
      </c>
      <c r="P1069" s="5">
        <f t="shared" si="15"/>
        <v>15.220499999999998</v>
      </c>
      <c r="Q1069" s="5">
        <f t="shared" si="15"/>
        <v>386.33820000000003</v>
      </c>
      <c r="R1069" s="5"/>
      <c r="S1069" s="4"/>
    </row>
    <row r="1070" spans="1:19" ht="15" customHeight="1">
      <c r="A1070" s="3">
        <v>2023</v>
      </c>
      <c r="B1070" s="8">
        <f t="shared" ref="B1070:J1070" si="16">AVERAGE(B124:B135)</f>
        <v>6.2331666666666665</v>
      </c>
      <c r="C1070" s="8">
        <f t="shared" si="16"/>
        <v>6.239441666666667</v>
      </c>
      <c r="D1070" s="8">
        <f t="shared" si="16"/>
        <v>6.2483499999999994</v>
      </c>
      <c r="E1070" s="8">
        <f t="shared" si="16"/>
        <v>6.2444666666666668</v>
      </c>
      <c r="F1070" s="4">
        <f t="shared" si="16"/>
        <v>6.962816666666666</v>
      </c>
      <c r="G1070" s="8">
        <f t="shared" si="16"/>
        <v>6.1988750000000001</v>
      </c>
      <c r="H1070" s="4">
        <f t="shared" si="16"/>
        <v>7.1394999999999991</v>
      </c>
      <c r="I1070" s="8">
        <f t="shared" si="16"/>
        <v>6.1902166666666671</v>
      </c>
      <c r="J1070" s="4">
        <f t="shared" si="16"/>
        <v>6.0512749999999995</v>
      </c>
      <c r="K1070" s="4"/>
      <c r="L1070" s="5">
        <f t="shared" ref="L1070:Q1070" si="17">SUM(L124:L135)</f>
        <v>355.53689999999995</v>
      </c>
      <c r="M1070" s="5">
        <f t="shared" si="17"/>
        <v>142.0401</v>
      </c>
      <c r="N1070" s="5">
        <f t="shared" si="17"/>
        <v>58.217499999999994</v>
      </c>
      <c r="O1070" s="5">
        <f t="shared" si="17"/>
        <v>4.4046000000000003</v>
      </c>
      <c r="P1070" s="5">
        <f t="shared" si="17"/>
        <v>15.220499999999998</v>
      </c>
      <c r="Q1070" s="5">
        <f t="shared" si="17"/>
        <v>384.12599999999998</v>
      </c>
      <c r="R1070" s="5"/>
      <c r="S1070" s="4"/>
    </row>
    <row r="1071" spans="1:19" ht="15" customHeight="1">
      <c r="A1071" s="3">
        <v>2024</v>
      </c>
      <c r="B1071" s="8">
        <f t="shared" ref="B1071:J1071" si="18">AVERAGE(B136:B147)</f>
        <v>6.4397083333333347</v>
      </c>
      <c r="C1071" s="8">
        <f t="shared" si="18"/>
        <v>6.4459833333333334</v>
      </c>
      <c r="D1071" s="8">
        <f t="shared" si="18"/>
        <v>6.4548999999999994</v>
      </c>
      <c r="E1071" s="8">
        <f t="shared" si="18"/>
        <v>6.4510166666666668</v>
      </c>
      <c r="F1071" s="4">
        <f t="shared" si="18"/>
        <v>7.1693666666666678</v>
      </c>
      <c r="G1071" s="8">
        <f t="shared" si="18"/>
        <v>6.4025333333333334</v>
      </c>
      <c r="H1071" s="4">
        <f t="shared" si="18"/>
        <v>7.3431916666666668</v>
      </c>
      <c r="I1071" s="8">
        <f t="shared" si="18"/>
        <v>6.3902833333333326</v>
      </c>
      <c r="J1071" s="4">
        <f t="shared" si="18"/>
        <v>6.2512750000000006</v>
      </c>
      <c r="K1071" s="4"/>
      <c r="L1071" s="5">
        <f t="shared" ref="L1071:Q1071" si="19">SUM(L136:L147)</f>
        <v>356.48229999999995</v>
      </c>
      <c r="M1071" s="5">
        <f t="shared" si="19"/>
        <v>142.42920000000001</v>
      </c>
      <c r="N1071" s="5">
        <f t="shared" si="19"/>
        <v>58.377000000000002</v>
      </c>
      <c r="O1071" s="5">
        <f t="shared" si="19"/>
        <v>4.4165999999999999</v>
      </c>
      <c r="P1071" s="5">
        <f t="shared" si="19"/>
        <v>15.262199999999998</v>
      </c>
      <c r="Q1071" s="5">
        <f t="shared" si="19"/>
        <v>383.00459999999998</v>
      </c>
      <c r="R1071" s="5"/>
      <c r="S1071" s="4"/>
    </row>
    <row r="1072" spans="1:19" ht="15" customHeight="1">
      <c r="A1072" s="3">
        <v>2025</v>
      </c>
      <c r="B1072" s="8">
        <f t="shared" ref="B1072:J1072" si="20">AVERAGE(B148:B159)</f>
        <v>6.594616666666667</v>
      </c>
      <c r="C1072" s="8">
        <f t="shared" si="20"/>
        <v>6.6009083333333329</v>
      </c>
      <c r="D1072" s="8">
        <f t="shared" si="20"/>
        <v>6.6097999999999999</v>
      </c>
      <c r="E1072" s="8">
        <f t="shared" si="20"/>
        <v>6.6059333333333328</v>
      </c>
      <c r="F1072" s="4">
        <f t="shared" si="20"/>
        <v>7.3242666666666665</v>
      </c>
      <c r="G1072" s="8">
        <f t="shared" si="20"/>
        <v>6.5552833333333327</v>
      </c>
      <c r="H1072" s="4">
        <f t="shared" si="20"/>
        <v>7.4959500000000006</v>
      </c>
      <c r="I1072" s="8">
        <f t="shared" si="20"/>
        <v>6.5403666666666664</v>
      </c>
      <c r="J1072" s="4">
        <f t="shared" si="20"/>
        <v>6.4012750000000009</v>
      </c>
      <c r="K1072" s="4"/>
      <c r="L1072" s="5">
        <f t="shared" ref="L1072:Q1072" si="21">SUM(L148:L159)</f>
        <v>355.53689999999995</v>
      </c>
      <c r="M1072" s="5">
        <f t="shared" si="21"/>
        <v>142.0401</v>
      </c>
      <c r="N1072" s="5">
        <f t="shared" si="21"/>
        <v>58.217499999999994</v>
      </c>
      <c r="O1072" s="5">
        <f t="shared" si="21"/>
        <v>4.4046000000000003</v>
      </c>
      <c r="P1072" s="5">
        <f t="shared" si="21"/>
        <v>15.220499999999998</v>
      </c>
      <c r="Q1072" s="5">
        <f t="shared" si="21"/>
        <v>379.76819999999998</v>
      </c>
      <c r="R1072" s="5"/>
      <c r="S1072" s="4"/>
    </row>
    <row r="1073" spans="1:19" ht="15" customHeight="1">
      <c r="A1073" s="3">
        <v>2026</v>
      </c>
      <c r="B1073" s="8">
        <f t="shared" ref="B1073:J1073" si="22">AVERAGE(B160:B171)</f>
        <v>6.8011749999999997</v>
      </c>
      <c r="C1073" s="8">
        <f t="shared" si="22"/>
        <v>6.8074416666666666</v>
      </c>
      <c r="D1073" s="8">
        <f t="shared" si="22"/>
        <v>6.816349999999999</v>
      </c>
      <c r="E1073" s="8">
        <f t="shared" si="22"/>
        <v>6.8124749999999992</v>
      </c>
      <c r="F1073" s="4">
        <f t="shared" si="22"/>
        <v>7.5308250000000001</v>
      </c>
      <c r="G1073" s="8">
        <f t="shared" si="22"/>
        <v>6.7589500000000013</v>
      </c>
      <c r="H1073" s="4">
        <f t="shared" si="22"/>
        <v>7.6996083333333312</v>
      </c>
      <c r="I1073" s="8">
        <f t="shared" si="22"/>
        <v>6.7404833333333336</v>
      </c>
      <c r="J1073" s="4">
        <f t="shared" si="22"/>
        <v>6.6012750000000002</v>
      </c>
      <c r="K1073" s="4"/>
      <c r="L1073" s="5">
        <f t="shared" ref="L1073:Q1073" si="23">SUM(L160:L171)</f>
        <v>355.53689999999995</v>
      </c>
      <c r="M1073" s="5">
        <f t="shared" si="23"/>
        <v>142.0401</v>
      </c>
      <c r="N1073" s="5">
        <f t="shared" si="23"/>
        <v>58.217499999999994</v>
      </c>
      <c r="O1073" s="5">
        <f t="shared" si="23"/>
        <v>4.4046000000000003</v>
      </c>
      <c r="P1073" s="5">
        <f t="shared" si="23"/>
        <v>15.220499999999998</v>
      </c>
      <c r="Q1073" s="5">
        <f t="shared" si="23"/>
        <v>377.59969999999987</v>
      </c>
      <c r="R1073" s="5"/>
      <c r="S1073" s="4"/>
    </row>
    <row r="1074" spans="1:19" ht="15" customHeight="1">
      <c r="A1074" s="3">
        <v>2027</v>
      </c>
      <c r="B1074" s="8">
        <f t="shared" ref="B1074:J1074" si="24">AVERAGE(B172:B183)</f>
        <v>7.0593666666666666</v>
      </c>
      <c r="C1074" s="8">
        <f t="shared" si="24"/>
        <v>7.0656416666666653</v>
      </c>
      <c r="D1074" s="8">
        <f t="shared" si="24"/>
        <v>7.0745333333333322</v>
      </c>
      <c r="E1074" s="8">
        <f t="shared" si="24"/>
        <v>7.0706499999999997</v>
      </c>
      <c r="F1074" s="4">
        <f t="shared" si="24"/>
        <v>7.7890000000000006</v>
      </c>
      <c r="G1074" s="8">
        <f t="shared" si="24"/>
        <v>7.0135333333333341</v>
      </c>
      <c r="H1074" s="4">
        <f t="shared" si="24"/>
        <v>7.9541916666666665</v>
      </c>
      <c r="I1074" s="8">
        <f t="shared" si="24"/>
        <v>6.990591666666667</v>
      </c>
      <c r="J1074" s="4">
        <f t="shared" si="24"/>
        <v>6.8512750000000011</v>
      </c>
      <c r="K1074" s="4"/>
      <c r="L1074" s="5">
        <f t="shared" ref="L1074:Q1074" si="25">SUM(L172:L183)</f>
        <v>355.53689999999995</v>
      </c>
      <c r="M1074" s="5">
        <f t="shared" si="25"/>
        <v>142.0401</v>
      </c>
      <c r="N1074" s="5">
        <f t="shared" si="25"/>
        <v>58.217499999999994</v>
      </c>
      <c r="O1074" s="5">
        <f t="shared" si="25"/>
        <v>4.4046000000000003</v>
      </c>
      <c r="P1074" s="5">
        <f t="shared" si="25"/>
        <v>15.220499999999998</v>
      </c>
      <c r="Q1074" s="5">
        <f t="shared" si="25"/>
        <v>375.43180000000001</v>
      </c>
      <c r="R1074" s="5"/>
      <c r="S1074" s="4"/>
    </row>
    <row r="1075" spans="1:19" ht="15" customHeight="1">
      <c r="A1075" s="3">
        <v>2028</v>
      </c>
      <c r="B1075" s="8">
        <f t="shared" ref="B1075:J1075" si="26">AVERAGE(B184:B195)</f>
        <v>7.3175333333333326</v>
      </c>
      <c r="C1075" s="8">
        <f t="shared" si="26"/>
        <v>7.323808333333333</v>
      </c>
      <c r="D1075" s="8">
        <f t="shared" si="26"/>
        <v>7.3327249999999999</v>
      </c>
      <c r="E1075" s="8">
        <f t="shared" si="26"/>
        <v>7.3288499999999992</v>
      </c>
      <c r="F1075" s="4">
        <f t="shared" si="26"/>
        <v>8.0471916666666665</v>
      </c>
      <c r="G1075" s="8">
        <f t="shared" si="26"/>
        <v>7.2681249999999986</v>
      </c>
      <c r="H1075" s="4">
        <f t="shared" si="26"/>
        <v>8.2087666666666657</v>
      </c>
      <c r="I1075" s="8">
        <f t="shared" si="26"/>
        <v>7.2407333333333339</v>
      </c>
      <c r="J1075" s="4">
        <f t="shared" si="26"/>
        <v>7.1012833333333338</v>
      </c>
      <c r="K1075" s="4"/>
      <c r="L1075" s="5">
        <f t="shared" ref="L1075:Q1075" si="27">SUM(L184:L195)</f>
        <v>356.48229999999995</v>
      </c>
      <c r="M1075" s="5">
        <f t="shared" si="27"/>
        <v>142.42920000000001</v>
      </c>
      <c r="N1075" s="5">
        <f t="shared" si="27"/>
        <v>58.377000000000002</v>
      </c>
      <c r="O1075" s="5">
        <f t="shared" si="27"/>
        <v>4.4165999999999999</v>
      </c>
      <c r="P1075" s="5">
        <f t="shared" si="27"/>
        <v>15.262199999999998</v>
      </c>
      <c r="Q1075" s="5">
        <f t="shared" si="27"/>
        <v>374.28599999999994</v>
      </c>
      <c r="R1075" s="5"/>
      <c r="S1075" s="4"/>
    </row>
    <row r="1076" spans="1:19" ht="15" customHeight="1">
      <c r="A1076" s="3">
        <v>2029</v>
      </c>
      <c r="B1076" s="8">
        <f t="shared" ref="B1076:J1076" si="28">AVERAGE(B196:B207)</f>
        <v>7.6273749999999998</v>
      </c>
      <c r="C1076" s="8">
        <f t="shared" si="28"/>
        <v>7.6336499999999994</v>
      </c>
      <c r="D1076" s="8">
        <f t="shared" si="28"/>
        <v>7.64255</v>
      </c>
      <c r="E1076" s="8">
        <f t="shared" si="28"/>
        <v>7.6386750000000019</v>
      </c>
      <c r="F1076" s="4">
        <f t="shared" si="28"/>
        <v>8.3570083333333347</v>
      </c>
      <c r="G1076" s="8">
        <f t="shared" si="28"/>
        <v>7.5736166666666653</v>
      </c>
      <c r="H1076" s="4">
        <f t="shared" si="28"/>
        <v>8.5142749999999996</v>
      </c>
      <c r="I1076" s="8">
        <f t="shared" si="28"/>
        <v>7.5408833333333325</v>
      </c>
      <c r="J1076" s="4">
        <f t="shared" si="28"/>
        <v>7.4012916666666664</v>
      </c>
      <c r="K1076" s="4"/>
      <c r="L1076" s="5">
        <f t="shared" ref="L1076:Q1076" si="29">SUM(L196:L207)</f>
        <v>355.53689999999995</v>
      </c>
      <c r="M1076" s="5">
        <f t="shared" si="29"/>
        <v>142.0401</v>
      </c>
      <c r="N1076" s="5">
        <f t="shared" si="29"/>
        <v>58.217499999999994</v>
      </c>
      <c r="O1076" s="5">
        <f t="shared" si="29"/>
        <v>4.4046000000000003</v>
      </c>
      <c r="P1076" s="5">
        <f t="shared" si="29"/>
        <v>15.220499999999998</v>
      </c>
      <c r="Q1076" s="5">
        <f t="shared" si="29"/>
        <v>371.09549999999996</v>
      </c>
      <c r="R1076" s="5"/>
      <c r="S1076" s="4"/>
    </row>
    <row r="1077" spans="1:19" ht="15" customHeight="1">
      <c r="A1077" s="3">
        <v>2030</v>
      </c>
      <c r="B1077" s="8">
        <f t="shared" ref="B1077:J1077" si="30">AVERAGE(B208:B219)</f>
        <v>7.9372000000000007</v>
      </c>
      <c r="C1077" s="8">
        <f t="shared" si="30"/>
        <v>7.9434750000000003</v>
      </c>
      <c r="D1077" s="8">
        <f t="shared" si="30"/>
        <v>7.9523666666666664</v>
      </c>
      <c r="E1077" s="8">
        <f t="shared" si="30"/>
        <v>7.9484916666666665</v>
      </c>
      <c r="F1077" s="4">
        <f t="shared" si="30"/>
        <v>8.6668333333333347</v>
      </c>
      <c r="G1077" s="8">
        <f t="shared" si="30"/>
        <v>7.8791166666666674</v>
      </c>
      <c r="H1077" s="4">
        <f t="shared" si="30"/>
        <v>8.8197500000000009</v>
      </c>
      <c r="I1077" s="8">
        <f t="shared" si="30"/>
        <v>7.8410416666666665</v>
      </c>
      <c r="J1077" s="4">
        <f t="shared" si="30"/>
        <v>7.7012749999999999</v>
      </c>
      <c r="K1077" s="4"/>
      <c r="L1077" s="5">
        <f t="shared" ref="L1077:Q1077" si="31">SUM(L208:L219)</f>
        <v>355.53689999999995</v>
      </c>
      <c r="M1077" s="5">
        <f t="shared" si="31"/>
        <v>142.0401</v>
      </c>
      <c r="N1077" s="5">
        <f t="shared" si="31"/>
        <v>58.217499999999994</v>
      </c>
      <c r="O1077" s="5">
        <f t="shared" si="31"/>
        <v>4.4046000000000003</v>
      </c>
      <c r="P1077" s="5">
        <f t="shared" si="31"/>
        <v>15.220499999999998</v>
      </c>
      <c r="Q1077" s="5">
        <f t="shared" si="31"/>
        <v>368.9276999999999</v>
      </c>
      <c r="R1077" s="5"/>
      <c r="S1077" s="4"/>
    </row>
    <row r="1078" spans="1:19" ht="15" customHeight="1">
      <c r="A1078" s="3">
        <v>2031</v>
      </c>
      <c r="B1078" s="8">
        <f t="shared" ref="B1078:J1078" si="32">AVERAGE(B220:B231)</f>
        <v>8.1282499999999995</v>
      </c>
      <c r="C1078" s="8">
        <f t="shared" si="32"/>
        <v>8.1345333333333354</v>
      </c>
      <c r="D1078" s="8">
        <f t="shared" si="32"/>
        <v>8.143441666666666</v>
      </c>
      <c r="E1078" s="8">
        <f t="shared" si="32"/>
        <v>8.1395666666666671</v>
      </c>
      <c r="F1078" s="4">
        <f t="shared" si="32"/>
        <v>8.857899999999999</v>
      </c>
      <c r="G1078" s="8">
        <f t="shared" si="32"/>
        <v>8.0675166666666662</v>
      </c>
      <c r="H1078" s="4">
        <f t="shared" si="32"/>
        <v>9.008166666666666</v>
      </c>
      <c r="I1078" s="8">
        <f t="shared" si="32"/>
        <v>8.0261333333333322</v>
      </c>
      <c r="J1078" s="4">
        <f t="shared" si="32"/>
        <v>7.886308333333333</v>
      </c>
      <c r="K1078" s="4"/>
      <c r="L1078" s="5">
        <f t="shared" ref="L1078:Q1078" si="33">SUM(L220:L231)</f>
        <v>355.53689999999995</v>
      </c>
      <c r="M1078" s="5">
        <f t="shared" si="33"/>
        <v>142.0401</v>
      </c>
      <c r="N1078" s="5">
        <f t="shared" si="33"/>
        <v>58.217499999999994</v>
      </c>
      <c r="O1078" s="5">
        <f t="shared" si="33"/>
        <v>4.4046000000000003</v>
      </c>
      <c r="P1078" s="5">
        <f t="shared" si="33"/>
        <v>15.220499999999998</v>
      </c>
      <c r="Q1078" s="5">
        <f t="shared" si="33"/>
        <v>365.31420000000003</v>
      </c>
      <c r="R1078" s="5"/>
      <c r="S1078" s="4"/>
    </row>
    <row r="1079" spans="1:19" ht="15" customHeight="1">
      <c r="A1079" s="3">
        <v>2032</v>
      </c>
      <c r="B1079" s="8">
        <f t="shared" ref="B1079:J1079" si="34">AVERAGE(B232:B243)</f>
        <v>8.3239083333333337</v>
      </c>
      <c r="C1079" s="8">
        <f t="shared" si="34"/>
        <v>8.3301833333333324</v>
      </c>
      <c r="D1079" s="8">
        <f t="shared" si="34"/>
        <v>8.3391000000000002</v>
      </c>
      <c r="E1079" s="8">
        <f t="shared" si="34"/>
        <v>8.335208333333334</v>
      </c>
      <c r="F1079" s="4">
        <f t="shared" si="34"/>
        <v>9.0535750000000004</v>
      </c>
      <c r="G1079" s="8">
        <f t="shared" si="34"/>
        <v>8.2604666666666677</v>
      </c>
      <c r="H1079" s="4">
        <f t="shared" si="34"/>
        <v>9.2011000000000021</v>
      </c>
      <c r="I1079" s="8">
        <f t="shared" si="34"/>
        <v>8.2156833333333346</v>
      </c>
      <c r="J1079" s="4">
        <f t="shared" si="34"/>
        <v>8.0757333333333339</v>
      </c>
      <c r="K1079" s="4"/>
      <c r="L1079" s="5">
        <f t="shared" ref="L1079:Q1079" si="35">SUM(L232:L243)</f>
        <v>356.48229999999995</v>
      </c>
      <c r="M1079" s="5">
        <f t="shared" si="35"/>
        <v>142.42920000000001</v>
      </c>
      <c r="N1079" s="5">
        <f t="shared" si="35"/>
        <v>58.377000000000002</v>
      </c>
      <c r="O1079" s="5">
        <f t="shared" si="35"/>
        <v>4.4165999999999999</v>
      </c>
      <c r="P1079" s="5">
        <f t="shared" si="35"/>
        <v>15.262199999999998</v>
      </c>
      <c r="Q1079" s="5">
        <f t="shared" si="35"/>
        <v>364.46999999999997</v>
      </c>
      <c r="R1079" s="5"/>
      <c r="S1079" s="4"/>
    </row>
    <row r="1080" spans="1:19" ht="15" customHeight="1">
      <c r="A1080" s="3">
        <v>2033</v>
      </c>
      <c r="B1080" s="8">
        <f t="shared" ref="B1080:J1080" si="36">AVERAGE(B244:B255)</f>
        <v>8.5242666666666658</v>
      </c>
      <c r="C1080" s="8">
        <f t="shared" si="36"/>
        <v>8.5305583333333335</v>
      </c>
      <c r="D1080" s="8">
        <f t="shared" si="36"/>
        <v>8.5394583333333323</v>
      </c>
      <c r="E1080" s="8">
        <f t="shared" si="36"/>
        <v>8.5355916666666669</v>
      </c>
      <c r="F1080" s="4">
        <f t="shared" si="36"/>
        <v>9.2539333333333325</v>
      </c>
      <c r="G1080" s="8">
        <f t="shared" si="36"/>
        <v>8.4580166666666656</v>
      </c>
      <c r="H1080" s="4">
        <f t="shared" si="36"/>
        <v>9.3986666666666654</v>
      </c>
      <c r="I1080" s="8">
        <f t="shared" si="36"/>
        <v>8.4098000000000006</v>
      </c>
      <c r="J1080" s="4">
        <f t="shared" si="36"/>
        <v>8.2697583333333338</v>
      </c>
      <c r="K1080" s="4"/>
      <c r="L1080" s="5">
        <f t="shared" ref="L1080:Q1080" si="37">SUM(L244:L255)</f>
        <v>355.53689999999995</v>
      </c>
      <c r="M1080" s="5">
        <f t="shared" si="37"/>
        <v>142.0401</v>
      </c>
      <c r="N1080" s="5">
        <f t="shared" si="37"/>
        <v>58.217499999999994</v>
      </c>
      <c r="O1080" s="5">
        <f t="shared" si="37"/>
        <v>4.4046000000000003</v>
      </c>
      <c r="P1080" s="5">
        <f t="shared" si="37"/>
        <v>15.220499999999998</v>
      </c>
      <c r="Q1080" s="5">
        <f t="shared" si="37"/>
        <v>362.33550000000002</v>
      </c>
      <c r="R1080" s="5"/>
      <c r="S1080" s="4"/>
    </row>
    <row r="1081" spans="1:19" ht="15" customHeight="1">
      <c r="A1081" s="3">
        <v>2034</v>
      </c>
      <c r="B1081" s="8">
        <f t="shared" ref="B1081:J1081" si="38">AVERAGE(B256:B267)</f>
        <v>8.7294416666666663</v>
      </c>
      <c r="C1081" s="8">
        <f t="shared" si="38"/>
        <v>8.7357333333333322</v>
      </c>
      <c r="D1081" s="8">
        <f t="shared" si="38"/>
        <v>8.744625000000001</v>
      </c>
      <c r="E1081" s="8">
        <f t="shared" si="38"/>
        <v>8.7407583333333339</v>
      </c>
      <c r="F1081" s="4">
        <f t="shared" si="38"/>
        <v>9.4591166666666666</v>
      </c>
      <c r="G1081" s="8">
        <f t="shared" si="38"/>
        <v>8.6603333333333339</v>
      </c>
      <c r="H1081" s="4">
        <f t="shared" si="38"/>
        <v>9.6009916666666673</v>
      </c>
      <c r="I1081" s="8">
        <f t="shared" si="38"/>
        <v>8.6085416666666674</v>
      </c>
      <c r="J1081" s="4">
        <f t="shared" si="38"/>
        <v>8.4684250000000016</v>
      </c>
      <c r="K1081" s="4"/>
      <c r="L1081" s="5">
        <f t="shared" ref="L1081:Q1081" si="39">SUM(L256:L267)</f>
        <v>355.53689999999995</v>
      </c>
      <c r="M1081" s="5">
        <f t="shared" si="39"/>
        <v>142.0401</v>
      </c>
      <c r="N1081" s="5">
        <f t="shared" si="39"/>
        <v>58.217499999999994</v>
      </c>
      <c r="O1081" s="5">
        <f t="shared" si="39"/>
        <v>4.4046000000000003</v>
      </c>
      <c r="P1081" s="5">
        <f t="shared" si="39"/>
        <v>15.220499999999998</v>
      </c>
      <c r="Q1081" s="5">
        <f t="shared" si="39"/>
        <v>361.59120000000007</v>
      </c>
      <c r="R1081" s="5"/>
      <c r="S1081" s="4"/>
    </row>
    <row r="1082" spans="1:19" ht="15" customHeight="1">
      <c r="A1082" s="3">
        <v>2035</v>
      </c>
      <c r="B1082" s="8">
        <f t="shared" ref="B1082:J1082" si="40">AVERAGE(B268:B279)</f>
        <v>8.9395583333333324</v>
      </c>
      <c r="C1082" s="8">
        <f t="shared" si="40"/>
        <v>8.9458333333333329</v>
      </c>
      <c r="D1082" s="8">
        <f t="shared" si="40"/>
        <v>8.9547499999999989</v>
      </c>
      <c r="E1082" s="8">
        <f t="shared" si="40"/>
        <v>8.9508583333333345</v>
      </c>
      <c r="F1082" s="4">
        <f t="shared" si="40"/>
        <v>9.6692</v>
      </c>
      <c r="G1082" s="8">
        <f t="shared" si="40"/>
        <v>8.8674999999999997</v>
      </c>
      <c r="H1082" s="4">
        <f t="shared" si="40"/>
        <v>9.8081583333333331</v>
      </c>
      <c r="I1082" s="8">
        <f t="shared" si="40"/>
        <v>8.8120999999999992</v>
      </c>
      <c r="J1082" s="4">
        <f t="shared" si="40"/>
        <v>8.6718583333333328</v>
      </c>
      <c r="K1082" s="4"/>
      <c r="L1082" s="5">
        <f t="shared" ref="L1082:Q1082" si="41">SUM(L268:L279)</f>
        <v>355.53689999999995</v>
      </c>
      <c r="M1082" s="5">
        <f t="shared" si="41"/>
        <v>142.0401</v>
      </c>
      <c r="N1082" s="5">
        <f t="shared" si="41"/>
        <v>58.217499999999994</v>
      </c>
      <c r="O1082" s="5">
        <f t="shared" si="41"/>
        <v>4.4046000000000003</v>
      </c>
      <c r="P1082" s="5">
        <f t="shared" si="41"/>
        <v>15.220499999999998</v>
      </c>
      <c r="Q1082" s="5">
        <f t="shared" si="41"/>
        <v>360.82469999999995</v>
      </c>
      <c r="R1082" s="5"/>
      <c r="S1082" s="4"/>
    </row>
    <row r="1083" spans="1:19" ht="15" customHeight="1">
      <c r="A1083" s="3">
        <v>2036</v>
      </c>
      <c r="B1083" s="8">
        <f t="shared" ref="B1083:J1083" si="42">AVERAGE(B280:B291)</f>
        <v>9.1547083333333337</v>
      </c>
      <c r="C1083" s="8">
        <f t="shared" si="42"/>
        <v>9.1609750000000023</v>
      </c>
      <c r="D1083" s="8">
        <f t="shared" si="42"/>
        <v>9.1698916666666648</v>
      </c>
      <c r="E1083" s="8">
        <f t="shared" si="42"/>
        <v>9.1660166666666676</v>
      </c>
      <c r="F1083" s="4">
        <f t="shared" si="42"/>
        <v>9.8843583333333331</v>
      </c>
      <c r="G1083" s="8">
        <f t="shared" si="42"/>
        <v>9.0796499999999991</v>
      </c>
      <c r="H1083" s="4">
        <f t="shared" si="42"/>
        <v>10.020300000000001</v>
      </c>
      <c r="I1083" s="8">
        <f t="shared" si="42"/>
        <v>9.0205500000000001</v>
      </c>
      <c r="J1083" s="4">
        <f t="shared" si="42"/>
        <v>8.8802083333333339</v>
      </c>
      <c r="K1083" s="4"/>
      <c r="L1083" s="5">
        <f t="shared" ref="L1083:Q1083" si="43">SUM(L280:L291)</f>
        <v>356.48229999999995</v>
      </c>
      <c r="M1083" s="5">
        <f t="shared" si="43"/>
        <v>142.42920000000001</v>
      </c>
      <c r="N1083" s="5">
        <f t="shared" si="43"/>
        <v>58.377000000000002</v>
      </c>
      <c r="O1083" s="5">
        <f t="shared" si="43"/>
        <v>4.4165999999999999</v>
      </c>
      <c r="P1083" s="5">
        <f t="shared" si="43"/>
        <v>15.262199999999998</v>
      </c>
      <c r="Q1083" s="5">
        <f t="shared" si="43"/>
        <v>361.0446</v>
      </c>
      <c r="R1083" s="5"/>
      <c r="S1083" s="4"/>
    </row>
    <row r="1084" spans="1:19" ht="15" customHeight="1">
      <c r="A1084" s="3">
        <v>2037</v>
      </c>
      <c r="B1084" s="8">
        <f t="shared" ref="B1084:J1084" si="44">AVERAGE(B292:B303)</f>
        <v>9.3750333333333327</v>
      </c>
      <c r="C1084" s="8">
        <f t="shared" si="44"/>
        <v>9.3813083333333314</v>
      </c>
      <c r="D1084" s="8">
        <f t="shared" si="44"/>
        <v>9.3902166666666655</v>
      </c>
      <c r="E1084" s="8">
        <f t="shared" si="44"/>
        <v>9.3863333333333312</v>
      </c>
      <c r="F1084" s="4">
        <f t="shared" si="44"/>
        <v>10.104675</v>
      </c>
      <c r="G1084" s="8">
        <f t="shared" si="44"/>
        <v>9.2968916666666654</v>
      </c>
      <c r="H1084" s="4">
        <f t="shared" si="44"/>
        <v>10.237550000000001</v>
      </c>
      <c r="I1084" s="8">
        <f t="shared" si="44"/>
        <v>9.2339833333333328</v>
      </c>
      <c r="J1084" s="4">
        <f t="shared" si="44"/>
        <v>9.0935333333333332</v>
      </c>
      <c r="K1084" s="4"/>
      <c r="L1084" s="5">
        <f t="shared" ref="L1084:Q1084" si="45">SUM(L292:L303)</f>
        <v>355.53689999999995</v>
      </c>
      <c r="M1084" s="5">
        <f t="shared" si="45"/>
        <v>142.0401</v>
      </c>
      <c r="N1084" s="5">
        <f t="shared" si="45"/>
        <v>58.217499999999994</v>
      </c>
      <c r="O1084" s="5">
        <f t="shared" si="45"/>
        <v>4.4046000000000003</v>
      </c>
      <c r="P1084" s="5">
        <f t="shared" si="45"/>
        <v>15.220499999999998</v>
      </c>
      <c r="Q1084" s="5">
        <f t="shared" si="45"/>
        <v>359.29169999999999</v>
      </c>
      <c r="R1084" s="5"/>
      <c r="S1084" s="4"/>
    </row>
    <row r="1085" spans="1:19" ht="15" customHeight="1">
      <c r="A1085" s="3">
        <f t="shared" ref="A1085:A1116" si="46">A1084+1</f>
        <v>2038</v>
      </c>
      <c r="B1085" s="8">
        <f t="shared" ref="B1085:J1085" si="47">AVERAGE(B304:B315)</f>
        <v>9.6006416666666663</v>
      </c>
      <c r="C1085" s="8">
        <f t="shared" si="47"/>
        <v>9.6069250000000004</v>
      </c>
      <c r="D1085" s="8">
        <f t="shared" si="47"/>
        <v>9.6158333333333328</v>
      </c>
      <c r="E1085" s="8">
        <f t="shared" si="47"/>
        <v>9.6119500000000002</v>
      </c>
      <c r="F1085" s="4">
        <f t="shared" si="47"/>
        <v>10.330299999999999</v>
      </c>
      <c r="G1085" s="8">
        <f t="shared" si="47"/>
        <v>9.5193750000000001</v>
      </c>
      <c r="H1085" s="4">
        <f t="shared" si="47"/>
        <v>10.460016666666666</v>
      </c>
      <c r="I1085" s="8">
        <f t="shared" si="47"/>
        <v>9.4525583333333341</v>
      </c>
      <c r="J1085" s="4">
        <f t="shared" si="47"/>
        <v>9.312008333333333</v>
      </c>
      <c r="K1085" s="4"/>
      <c r="L1085" s="5">
        <f t="shared" ref="L1085:Q1085" si="48">SUM(L304:L315)</f>
        <v>355.53689999999995</v>
      </c>
      <c r="M1085" s="5">
        <f t="shared" si="48"/>
        <v>142.0401</v>
      </c>
      <c r="N1085" s="5">
        <f t="shared" si="48"/>
        <v>58.217499999999994</v>
      </c>
      <c r="O1085" s="5">
        <f t="shared" si="48"/>
        <v>4.4046000000000003</v>
      </c>
      <c r="P1085" s="5">
        <f t="shared" si="48"/>
        <v>15.220499999999998</v>
      </c>
      <c r="Q1085" s="5">
        <f t="shared" si="48"/>
        <v>358.54670000000004</v>
      </c>
      <c r="R1085" s="5"/>
      <c r="S1085" s="4"/>
    </row>
    <row r="1086" spans="1:19" ht="15" customHeight="1">
      <c r="A1086" s="3">
        <f t="shared" si="46"/>
        <v>2039</v>
      </c>
      <c r="B1086" s="8">
        <f t="shared" ref="B1086:J1086" si="49">AVERAGE(B316:B327)</f>
        <v>9.8316749999999988</v>
      </c>
      <c r="C1086" s="8">
        <f t="shared" si="49"/>
        <v>9.8379583333333347</v>
      </c>
      <c r="D1086" s="8">
        <f t="shared" si="49"/>
        <v>9.8468583333333317</v>
      </c>
      <c r="E1086" s="8">
        <f t="shared" si="49"/>
        <v>9.8429916666666664</v>
      </c>
      <c r="F1086" s="4">
        <f t="shared" si="49"/>
        <v>10.561333333333332</v>
      </c>
      <c r="G1086" s="8">
        <f t="shared" si="49"/>
        <v>9.7471916666666676</v>
      </c>
      <c r="H1086" s="4">
        <f t="shared" si="49"/>
        <v>10.687841666666666</v>
      </c>
      <c r="I1086" s="8">
        <f t="shared" si="49"/>
        <v>9.6763999999999992</v>
      </c>
      <c r="J1086" s="4">
        <f t="shared" si="49"/>
        <v>9.5357249999999993</v>
      </c>
      <c r="K1086" s="7"/>
      <c r="L1086" s="5">
        <f t="shared" ref="L1086:Q1086" si="50">SUM(L316:L327)</f>
        <v>355.53689999999995</v>
      </c>
      <c r="M1086" s="5">
        <f t="shared" si="50"/>
        <v>142.0401</v>
      </c>
      <c r="N1086" s="5">
        <f t="shared" si="50"/>
        <v>58.217499999999994</v>
      </c>
      <c r="O1086" s="5">
        <f t="shared" si="50"/>
        <v>4.4046000000000003</v>
      </c>
      <c r="P1086" s="5">
        <f t="shared" si="50"/>
        <v>15.220499999999998</v>
      </c>
      <c r="Q1086" s="5">
        <f t="shared" si="50"/>
        <v>357.78019999999998</v>
      </c>
      <c r="R1086" s="5"/>
      <c r="S1086" s="6"/>
    </row>
    <row r="1087" spans="1:19" ht="15" customHeight="1">
      <c r="A1087" s="3">
        <f t="shared" si="46"/>
        <v>2040</v>
      </c>
      <c r="B1087" s="8">
        <f t="shared" ref="B1087:J1087" si="51">AVERAGE(B328:B339)</f>
        <v>10.068283333333332</v>
      </c>
      <c r="C1087" s="8">
        <f t="shared" si="51"/>
        <v>10.074558333333334</v>
      </c>
      <c r="D1087" s="8">
        <f t="shared" si="51"/>
        <v>10.083458333333333</v>
      </c>
      <c r="E1087" s="8">
        <f t="shared" si="51"/>
        <v>10.079583333333332</v>
      </c>
      <c r="F1087" s="4">
        <f t="shared" si="51"/>
        <v>10.797933333333333</v>
      </c>
      <c r="G1087" s="8">
        <f t="shared" si="51"/>
        <v>9.9804666666666648</v>
      </c>
      <c r="H1087" s="4">
        <f t="shared" si="51"/>
        <v>10.921125000000002</v>
      </c>
      <c r="I1087" s="8">
        <f t="shared" si="51"/>
        <v>9.905599999999998</v>
      </c>
      <c r="J1087" s="4">
        <f t="shared" si="51"/>
        <v>9.7648166666666665</v>
      </c>
      <c r="K1087" s="7"/>
      <c r="L1087" s="5">
        <f t="shared" ref="L1087:Q1087" si="52">SUM(L328:L339)</f>
        <v>356.48229999999995</v>
      </c>
      <c r="M1087" s="5">
        <f t="shared" si="52"/>
        <v>142.42920000000001</v>
      </c>
      <c r="N1087" s="5">
        <f t="shared" si="52"/>
        <v>58.377000000000002</v>
      </c>
      <c r="O1087" s="5">
        <f t="shared" si="52"/>
        <v>4.4165999999999999</v>
      </c>
      <c r="P1087" s="5">
        <f t="shared" si="52"/>
        <v>15.262199999999998</v>
      </c>
      <c r="Q1087" s="5">
        <f t="shared" si="52"/>
        <v>357.99180000000001</v>
      </c>
      <c r="R1087" s="5"/>
      <c r="S1087" s="6"/>
    </row>
    <row r="1088" spans="1:19" ht="15" customHeight="1">
      <c r="A1088" s="3">
        <f t="shared" si="46"/>
        <v>2041</v>
      </c>
      <c r="B1088" s="8">
        <f t="shared" ref="B1088:J1088" si="53">AVERAGE(B340:B351)</f>
        <v>10.310533333333334</v>
      </c>
      <c r="C1088" s="8">
        <f t="shared" si="53"/>
        <v>10.316825</v>
      </c>
      <c r="D1088" s="8">
        <f t="shared" si="53"/>
        <v>10.325749999999999</v>
      </c>
      <c r="E1088" s="8">
        <f t="shared" si="53"/>
        <v>10.321874999999999</v>
      </c>
      <c r="F1088" s="4">
        <f t="shared" si="53"/>
        <v>11.040216666666666</v>
      </c>
      <c r="G1088" s="8">
        <f t="shared" si="53"/>
        <v>10.219366666666668</v>
      </c>
      <c r="H1088" s="4">
        <f t="shared" si="53"/>
        <v>11.160024999999999</v>
      </c>
      <c r="I1088" s="8">
        <f t="shared" si="53"/>
        <v>10.1403</v>
      </c>
      <c r="J1088" s="4">
        <f t="shared" si="53"/>
        <v>9.9994166666666668</v>
      </c>
      <c r="K1088" s="7"/>
      <c r="L1088" s="5">
        <f t="shared" ref="L1088:Q1088" si="54">SUM(L340:L351)</f>
        <v>355.53689999999995</v>
      </c>
      <c r="M1088" s="5">
        <f t="shared" si="54"/>
        <v>142.0401</v>
      </c>
      <c r="N1088" s="5">
        <f t="shared" si="54"/>
        <v>58.217499999999994</v>
      </c>
      <c r="O1088" s="5">
        <f t="shared" si="54"/>
        <v>4.4046000000000003</v>
      </c>
      <c r="P1088" s="5">
        <f t="shared" si="54"/>
        <v>15.220499999999998</v>
      </c>
      <c r="Q1088" s="5">
        <f t="shared" si="54"/>
        <v>356.26930000000004</v>
      </c>
      <c r="R1088" s="5"/>
      <c r="S1088" s="6"/>
    </row>
    <row r="1089" spans="1:19" ht="15" customHeight="1">
      <c r="A1089" s="3">
        <f t="shared" si="46"/>
        <v>2042</v>
      </c>
      <c r="B1089" s="8">
        <f t="shared" ref="B1089:J1089" si="55">AVERAGE(B352:B363)</f>
        <v>10.558641666666666</v>
      </c>
      <c r="C1089" s="8">
        <f t="shared" si="55"/>
        <v>10.564916666666667</v>
      </c>
      <c r="D1089" s="8">
        <f t="shared" si="55"/>
        <v>10.573824999999999</v>
      </c>
      <c r="E1089" s="8">
        <f t="shared" si="55"/>
        <v>10.56995</v>
      </c>
      <c r="F1089" s="4">
        <f t="shared" si="55"/>
        <v>11.288291666666668</v>
      </c>
      <c r="G1089" s="8">
        <f t="shared" si="55"/>
        <v>10.464008333333334</v>
      </c>
      <c r="H1089" s="4">
        <f t="shared" si="55"/>
        <v>11.404649999999998</v>
      </c>
      <c r="I1089" s="8">
        <f t="shared" si="55"/>
        <v>10.380641666666667</v>
      </c>
      <c r="J1089" s="4">
        <f t="shared" si="55"/>
        <v>10.239641666666667</v>
      </c>
      <c r="K1089" s="7"/>
      <c r="L1089" s="5">
        <f t="shared" ref="L1089:Q1089" si="56">SUM(L352:L363)</f>
        <v>355.53689999999995</v>
      </c>
      <c r="M1089" s="5">
        <f t="shared" si="56"/>
        <v>142.0401</v>
      </c>
      <c r="N1089" s="5">
        <f t="shared" si="56"/>
        <v>58.217499999999994</v>
      </c>
      <c r="O1089" s="5">
        <f t="shared" si="56"/>
        <v>4.4046000000000003</v>
      </c>
      <c r="P1089" s="5">
        <f t="shared" si="56"/>
        <v>15.220499999999998</v>
      </c>
      <c r="Q1089" s="5">
        <f t="shared" si="56"/>
        <v>242.47669999999997</v>
      </c>
      <c r="R1089" s="5"/>
      <c r="S1089" s="6"/>
    </row>
    <row r="1090" spans="1:19" ht="15" customHeight="1">
      <c r="A1090" s="3">
        <f t="shared" si="46"/>
        <v>2043</v>
      </c>
      <c r="B1090" s="8">
        <f t="shared" ref="B1090:J1090" si="57">AVERAGE(B364:B375)</f>
        <v>10.812683333333332</v>
      </c>
      <c r="C1090" s="8">
        <f t="shared" si="57"/>
        <v>10.818966666666668</v>
      </c>
      <c r="D1090" s="8">
        <f t="shared" si="57"/>
        <v>10.827883333333332</v>
      </c>
      <c r="E1090" s="8">
        <f t="shared" si="57"/>
        <v>10.824008333333333</v>
      </c>
      <c r="F1090" s="4">
        <f t="shared" si="57"/>
        <v>11.542349999999999</v>
      </c>
      <c r="G1090" s="8">
        <f t="shared" si="57"/>
        <v>10.714525</v>
      </c>
      <c r="H1090" s="4">
        <f t="shared" si="57"/>
        <v>11.655166666666666</v>
      </c>
      <c r="I1090" s="8">
        <f t="shared" si="57"/>
        <v>10.626775</v>
      </c>
      <c r="J1090" s="4">
        <f t="shared" si="57"/>
        <v>10.485624999999999</v>
      </c>
      <c r="K1090" s="7"/>
      <c r="L1090" s="5">
        <f t="shared" ref="L1090:Q1090" si="58">SUM(L364:L375)</f>
        <v>355.53689999999995</v>
      </c>
      <c r="M1090" s="5">
        <f t="shared" si="58"/>
        <v>142.0401</v>
      </c>
      <c r="N1090" s="5">
        <f t="shared" si="58"/>
        <v>58.217499999999994</v>
      </c>
      <c r="O1090" s="5">
        <f t="shared" si="58"/>
        <v>4.4046000000000003</v>
      </c>
      <c r="P1090" s="5">
        <f t="shared" si="58"/>
        <v>15.220499999999998</v>
      </c>
      <c r="Q1090" s="5">
        <f t="shared" si="58"/>
        <v>241.71019999999996</v>
      </c>
      <c r="R1090" s="5"/>
      <c r="S1090" s="6"/>
    </row>
    <row r="1091" spans="1:19" ht="15" customHeight="1">
      <c r="A1091" s="3">
        <f t="shared" si="46"/>
        <v>2044</v>
      </c>
      <c r="B1091" s="8">
        <f t="shared" ref="B1091:J1091" si="59">AVERAGE(B376:B387)</f>
        <v>11.072850000000001</v>
      </c>
      <c r="C1091" s="8">
        <f t="shared" si="59"/>
        <v>11.079133333333331</v>
      </c>
      <c r="D1091" s="8">
        <f t="shared" si="59"/>
        <v>11.088049999999997</v>
      </c>
      <c r="E1091" s="8">
        <f t="shared" si="59"/>
        <v>11.084166666666667</v>
      </c>
      <c r="F1091" s="4">
        <f t="shared" si="59"/>
        <v>11.802508333333334</v>
      </c>
      <c r="G1091" s="8">
        <f t="shared" si="59"/>
        <v>10.971033333333331</v>
      </c>
      <c r="H1091" s="4">
        <f t="shared" si="59"/>
        <v>11.911691666666664</v>
      </c>
      <c r="I1091" s="8">
        <f t="shared" si="59"/>
        <v>10.878808333333332</v>
      </c>
      <c r="J1091" s="4">
        <f t="shared" si="59"/>
        <v>10.737541666666665</v>
      </c>
      <c r="K1091" s="7"/>
      <c r="L1091" s="5">
        <f t="shared" ref="L1091:Q1091" si="60">SUM(L376:L387)</f>
        <v>356.48229999999995</v>
      </c>
      <c r="M1091" s="5">
        <f t="shared" si="60"/>
        <v>142.42920000000001</v>
      </c>
      <c r="N1091" s="5">
        <f t="shared" si="60"/>
        <v>58.377000000000002</v>
      </c>
      <c r="O1091" s="5">
        <f t="shared" si="60"/>
        <v>4.4165999999999999</v>
      </c>
      <c r="P1091" s="5">
        <f t="shared" si="60"/>
        <v>15.262199999999998</v>
      </c>
      <c r="Q1091" s="5">
        <f t="shared" si="60"/>
        <v>241.58220000000006</v>
      </c>
      <c r="R1091" s="5"/>
      <c r="S1091" s="6"/>
    </row>
    <row r="1092" spans="1:19" ht="15" customHeight="1">
      <c r="A1092" s="3">
        <f t="shared" si="46"/>
        <v>2045</v>
      </c>
      <c r="B1092" s="8">
        <f t="shared" ref="B1092:J1092" si="61">AVERAGE(B388:B399)</f>
        <v>11.339266666666665</v>
      </c>
      <c r="C1092" s="8">
        <f t="shared" si="61"/>
        <v>11.345550000000001</v>
      </c>
      <c r="D1092" s="8">
        <f t="shared" si="61"/>
        <v>11.354466666666669</v>
      </c>
      <c r="E1092" s="8">
        <f t="shared" si="61"/>
        <v>11.350583333333335</v>
      </c>
      <c r="F1092" s="4">
        <f t="shared" si="61"/>
        <v>12.068925</v>
      </c>
      <c r="G1092" s="8">
        <f t="shared" si="61"/>
        <v>11.233733333333333</v>
      </c>
      <c r="H1092" s="4">
        <f t="shared" si="61"/>
        <v>12.174383333333333</v>
      </c>
      <c r="I1092" s="8">
        <f t="shared" si="61"/>
        <v>11.136908333333331</v>
      </c>
      <c r="J1092" s="4">
        <f t="shared" si="61"/>
        <v>10.995516666666667</v>
      </c>
      <c r="K1092" s="7"/>
      <c r="L1092" s="5">
        <f t="shared" ref="L1092:Q1092" si="62">SUM(L388:L399)</f>
        <v>355.53689999999995</v>
      </c>
      <c r="M1092" s="5">
        <f t="shared" si="62"/>
        <v>142.0401</v>
      </c>
      <c r="N1092" s="5">
        <f t="shared" si="62"/>
        <v>58.217499999999994</v>
      </c>
      <c r="O1092" s="5">
        <f t="shared" si="62"/>
        <v>4.4046000000000003</v>
      </c>
      <c r="P1092" s="5">
        <f t="shared" si="62"/>
        <v>15.220499999999998</v>
      </c>
      <c r="Q1092" s="5">
        <f t="shared" si="62"/>
        <v>240.15570000000002</v>
      </c>
      <c r="R1092" s="5"/>
      <c r="S1092" s="6"/>
    </row>
    <row r="1093" spans="1:19" ht="15" customHeight="1">
      <c r="A1093" s="3">
        <f t="shared" si="46"/>
        <v>2046</v>
      </c>
      <c r="B1093" s="8">
        <f t="shared" ref="B1093:J1093" si="63">AVERAGE(B400:B411)</f>
        <v>11.612066666666665</v>
      </c>
      <c r="C1093" s="8">
        <f t="shared" si="63"/>
        <v>11.618358333333335</v>
      </c>
      <c r="D1093" s="8">
        <f t="shared" si="63"/>
        <v>11.627258333333335</v>
      </c>
      <c r="E1093" s="8">
        <f t="shared" si="63"/>
        <v>11.623391666666668</v>
      </c>
      <c r="F1093" s="4">
        <f t="shared" si="63"/>
        <v>12.341733333333332</v>
      </c>
      <c r="G1093" s="8">
        <f t="shared" si="63"/>
        <v>11.502733333333333</v>
      </c>
      <c r="H1093" s="4">
        <f t="shared" si="63"/>
        <v>12.443391666666669</v>
      </c>
      <c r="I1093" s="8">
        <f t="shared" si="63"/>
        <v>11.401216666666665</v>
      </c>
      <c r="J1093" s="4">
        <f t="shared" si="63"/>
        <v>11.259675000000001</v>
      </c>
      <c r="K1093" s="7"/>
      <c r="L1093" s="5">
        <f t="shared" ref="L1093:Q1093" si="64">SUM(L400:L411)</f>
        <v>355.53689999999995</v>
      </c>
      <c r="M1093" s="5">
        <f t="shared" si="64"/>
        <v>142.0401</v>
      </c>
      <c r="N1093" s="5">
        <f t="shared" si="64"/>
        <v>58.217499999999994</v>
      </c>
      <c r="O1093" s="5">
        <f t="shared" si="64"/>
        <v>4.4046000000000003</v>
      </c>
      <c r="P1093" s="5">
        <f t="shared" si="64"/>
        <v>15.220499999999998</v>
      </c>
      <c r="Q1093" s="5">
        <f t="shared" si="64"/>
        <v>239.38920000000005</v>
      </c>
      <c r="R1093" s="5"/>
      <c r="S1093" s="6"/>
    </row>
    <row r="1094" spans="1:19" ht="15" customHeight="1">
      <c r="A1094" s="3">
        <f t="shared" si="46"/>
        <v>2047</v>
      </c>
      <c r="B1094" s="8">
        <f t="shared" ref="B1094:J1094" si="65">AVERAGE(B412:B423)</f>
        <v>11.891441666666665</v>
      </c>
      <c r="C1094" s="8">
        <f t="shared" si="65"/>
        <v>11.897716666666666</v>
      </c>
      <c r="D1094" s="8">
        <f t="shared" si="65"/>
        <v>11.906625</v>
      </c>
      <c r="E1094" s="8">
        <f t="shared" si="65"/>
        <v>11.902741666666669</v>
      </c>
      <c r="F1094" s="4">
        <f t="shared" si="65"/>
        <v>12.6211</v>
      </c>
      <c r="G1094" s="8">
        <f t="shared" si="65"/>
        <v>11.778216666666667</v>
      </c>
      <c r="H1094" s="4">
        <f t="shared" si="65"/>
        <v>12.718858333333332</v>
      </c>
      <c r="I1094" s="8">
        <f t="shared" si="65"/>
        <v>11.671866666666668</v>
      </c>
      <c r="J1094" s="4">
        <f t="shared" si="65"/>
        <v>11.530183333333333</v>
      </c>
      <c r="K1094" s="7"/>
      <c r="L1094" s="5">
        <f t="shared" ref="L1094:Q1094" si="66">SUM(L412:L423)</f>
        <v>355.53689999999995</v>
      </c>
      <c r="M1094" s="5">
        <f t="shared" si="66"/>
        <v>142.0401</v>
      </c>
      <c r="N1094" s="5">
        <f t="shared" si="66"/>
        <v>58.217499999999994</v>
      </c>
      <c r="O1094" s="5">
        <f t="shared" si="66"/>
        <v>4.4046000000000003</v>
      </c>
      <c r="P1094" s="5">
        <f t="shared" si="66"/>
        <v>15.220499999999998</v>
      </c>
      <c r="Q1094" s="5">
        <f t="shared" si="66"/>
        <v>238.62270000000004</v>
      </c>
      <c r="R1094" s="5"/>
      <c r="S1094" s="6"/>
    </row>
    <row r="1095" spans="1:19" ht="15" customHeight="1">
      <c r="A1095" s="3">
        <f t="shared" si="46"/>
        <v>2048</v>
      </c>
      <c r="B1095" s="8">
        <f t="shared" ref="B1095:J1095" si="67">AVERAGE(B424:B435)</f>
        <v>12.177516666666667</v>
      </c>
      <c r="C1095" s="8">
        <f t="shared" si="67"/>
        <v>12.1838</v>
      </c>
      <c r="D1095" s="8">
        <f t="shared" si="67"/>
        <v>12.192725000000001</v>
      </c>
      <c r="E1095" s="8">
        <f t="shared" si="67"/>
        <v>12.188850000000002</v>
      </c>
      <c r="F1095" s="4">
        <f t="shared" si="67"/>
        <v>12.907183333333334</v>
      </c>
      <c r="G1095" s="8">
        <f t="shared" si="67"/>
        <v>12.0603</v>
      </c>
      <c r="H1095" s="4">
        <f t="shared" si="67"/>
        <v>13.000958333333331</v>
      </c>
      <c r="I1095" s="8">
        <f t="shared" si="67"/>
        <v>11.948991666666666</v>
      </c>
      <c r="J1095" s="4">
        <f t="shared" si="67"/>
        <v>11.807208333333334</v>
      </c>
      <c r="K1095" s="7"/>
      <c r="L1095" s="5">
        <f t="shared" ref="L1095:Q1095" si="68">SUM(L424:L435)</f>
        <v>356.48229999999995</v>
      </c>
      <c r="M1095" s="5">
        <f t="shared" si="68"/>
        <v>142.42920000000001</v>
      </c>
      <c r="N1095" s="5">
        <f t="shared" si="68"/>
        <v>58.377000000000002</v>
      </c>
      <c r="O1095" s="5">
        <f t="shared" si="68"/>
        <v>4.4165999999999999</v>
      </c>
      <c r="P1095" s="5">
        <f t="shared" si="68"/>
        <v>15.262199999999998</v>
      </c>
      <c r="Q1095" s="5">
        <f t="shared" si="68"/>
        <v>238.50780000000003</v>
      </c>
      <c r="R1095" s="5"/>
      <c r="S1095" s="6"/>
    </row>
    <row r="1096" spans="1:19" ht="15" customHeight="1">
      <c r="A1096" s="3">
        <f t="shared" si="46"/>
        <v>2049</v>
      </c>
      <c r="B1096" s="8">
        <f t="shared" ref="B1096:J1096" si="69">AVERAGE(B436:B447)</f>
        <v>12.470466666666667</v>
      </c>
      <c r="C1096" s="8">
        <f t="shared" si="69"/>
        <v>12.476741666666664</v>
      </c>
      <c r="D1096" s="8">
        <f t="shared" si="69"/>
        <v>12.485666666666667</v>
      </c>
      <c r="E1096" s="8">
        <f t="shared" si="69"/>
        <v>12.481783333333334</v>
      </c>
      <c r="F1096" s="4">
        <f t="shared" si="69"/>
        <v>13.200133333333335</v>
      </c>
      <c r="G1096" s="8">
        <f t="shared" si="69"/>
        <v>12.34915</v>
      </c>
      <c r="H1096" s="4">
        <f t="shared" si="69"/>
        <v>13.289816666666667</v>
      </c>
      <c r="I1096" s="8">
        <f t="shared" si="69"/>
        <v>12.232808333333333</v>
      </c>
      <c r="J1096" s="4">
        <f t="shared" si="69"/>
        <v>12.090866666666669</v>
      </c>
      <c r="K1096" s="7"/>
      <c r="L1096" s="5">
        <f t="shared" ref="L1096:Q1096" si="70">SUM(L436:L447)</f>
        <v>355.53689999999995</v>
      </c>
      <c r="M1096" s="5">
        <f t="shared" si="70"/>
        <v>142.0401</v>
      </c>
      <c r="N1096" s="5">
        <f t="shared" si="70"/>
        <v>58.217499999999994</v>
      </c>
      <c r="O1096" s="5">
        <f t="shared" si="70"/>
        <v>4.4046000000000003</v>
      </c>
      <c r="P1096" s="5">
        <f t="shared" si="70"/>
        <v>15.220499999999998</v>
      </c>
      <c r="Q1096" s="5">
        <f t="shared" si="70"/>
        <v>237.08969999999999</v>
      </c>
      <c r="R1096" s="5"/>
      <c r="S1096" s="6"/>
    </row>
    <row r="1097" spans="1:19" ht="15" customHeight="1">
      <c r="A1097" s="3">
        <f t="shared" si="46"/>
        <v>2050</v>
      </c>
      <c r="B1097" s="8">
        <f t="shared" ref="B1097:J1097" si="71">AVERAGE(B448:B459)</f>
        <v>12.770466666666666</v>
      </c>
      <c r="C1097" s="8">
        <f t="shared" si="71"/>
        <v>12.776741666666668</v>
      </c>
      <c r="D1097" s="8">
        <f t="shared" si="71"/>
        <v>12.785658333333332</v>
      </c>
      <c r="E1097" s="8">
        <f t="shared" si="71"/>
        <v>12.781766666666668</v>
      </c>
      <c r="F1097" s="4">
        <f t="shared" si="71"/>
        <v>13.500116666666669</v>
      </c>
      <c r="G1097" s="8">
        <f t="shared" si="71"/>
        <v>12.644983333333331</v>
      </c>
      <c r="H1097" s="4">
        <f t="shared" si="71"/>
        <v>13.585616666666667</v>
      </c>
      <c r="I1097" s="8">
        <f t="shared" si="71"/>
        <v>12.523433333333335</v>
      </c>
      <c r="J1097" s="4">
        <f t="shared" si="71"/>
        <v>12.381358333333331</v>
      </c>
      <c r="K1097" s="7"/>
      <c r="L1097" s="5">
        <f t="shared" ref="L1097:Q1097" si="72">SUM(L448:L459)</f>
        <v>355.53689999999995</v>
      </c>
      <c r="M1097" s="5">
        <f t="shared" si="72"/>
        <v>142.0401</v>
      </c>
      <c r="N1097" s="5">
        <f t="shared" si="72"/>
        <v>58.217499999999994</v>
      </c>
      <c r="O1097" s="5">
        <f t="shared" si="72"/>
        <v>4.4046000000000003</v>
      </c>
      <c r="P1097" s="5">
        <f t="shared" si="72"/>
        <v>15.220499999999998</v>
      </c>
      <c r="Q1097" s="5">
        <f t="shared" si="72"/>
        <v>236.32320000000004</v>
      </c>
      <c r="R1097" s="5"/>
      <c r="S1097" s="6"/>
    </row>
    <row r="1098" spans="1:19" ht="15" customHeight="1">
      <c r="A1098" s="3">
        <f t="shared" si="46"/>
        <v>2051</v>
      </c>
      <c r="B1098" s="8">
        <f t="shared" ref="B1098:J1098" si="73">AVERAGE(B460:B471)</f>
        <v>13.077658333333337</v>
      </c>
      <c r="C1098" s="8">
        <f t="shared" si="73"/>
        <v>13.083941666666668</v>
      </c>
      <c r="D1098" s="8">
        <f t="shared" si="73"/>
        <v>13.092858333333332</v>
      </c>
      <c r="E1098" s="8">
        <f t="shared" si="73"/>
        <v>13.088983333333331</v>
      </c>
      <c r="F1098" s="4">
        <f t="shared" si="73"/>
        <v>13.807325000000001</v>
      </c>
      <c r="G1098" s="8">
        <f t="shared" si="73"/>
        <v>12.947891666666669</v>
      </c>
      <c r="H1098" s="4">
        <f t="shared" si="73"/>
        <v>13.888541666666669</v>
      </c>
      <c r="I1098" s="8">
        <f t="shared" si="73"/>
        <v>12.82105</v>
      </c>
      <c r="J1098" s="4">
        <f t="shared" si="73"/>
        <v>12.678799999999997</v>
      </c>
      <c r="K1098" s="7"/>
      <c r="L1098" s="5">
        <f t="shared" ref="L1098:Q1098" si="74">SUM(L460:L471)</f>
        <v>355.53689999999995</v>
      </c>
      <c r="M1098" s="5">
        <f t="shared" si="74"/>
        <v>142.0401</v>
      </c>
      <c r="N1098" s="5">
        <f t="shared" si="74"/>
        <v>58.217499999999994</v>
      </c>
      <c r="O1098" s="5">
        <f t="shared" si="74"/>
        <v>4.4046000000000003</v>
      </c>
      <c r="P1098" s="5">
        <f t="shared" si="74"/>
        <v>15.220499999999998</v>
      </c>
      <c r="Q1098" s="5">
        <f t="shared" si="74"/>
        <v>235.57820000000007</v>
      </c>
      <c r="R1098" s="5"/>
      <c r="S1098" s="6"/>
    </row>
    <row r="1099" spans="1:19" ht="15" customHeight="1">
      <c r="A1099" s="3">
        <f t="shared" si="46"/>
        <v>2052</v>
      </c>
      <c r="B1099" s="8">
        <f t="shared" ref="B1099:J1099" si="75">AVERAGE(B472:B483)</f>
        <v>13.392241666666663</v>
      </c>
      <c r="C1099" s="8">
        <f t="shared" si="75"/>
        <v>13.398525000000001</v>
      </c>
      <c r="D1099" s="8">
        <f t="shared" si="75"/>
        <v>13.407433333333332</v>
      </c>
      <c r="E1099" s="8">
        <f t="shared" si="75"/>
        <v>13.403566666666665</v>
      </c>
      <c r="F1099" s="4">
        <f t="shared" si="75"/>
        <v>14.121908333333332</v>
      </c>
      <c r="G1099" s="8">
        <f t="shared" si="75"/>
        <v>13.258075</v>
      </c>
      <c r="H1099" s="4">
        <f t="shared" si="75"/>
        <v>14.198733333333335</v>
      </c>
      <c r="I1099" s="8">
        <f t="shared" si="75"/>
        <v>13.125808333333334</v>
      </c>
      <c r="J1099" s="4">
        <f t="shared" si="75"/>
        <v>12.983408333333335</v>
      </c>
      <c r="K1099" s="7"/>
      <c r="L1099" s="5">
        <f t="shared" ref="L1099:Q1099" si="76">SUM(L472:L483)</f>
        <v>356.48229999999995</v>
      </c>
      <c r="M1099" s="5">
        <f t="shared" si="76"/>
        <v>142.42920000000001</v>
      </c>
      <c r="N1099" s="5">
        <f t="shared" si="76"/>
        <v>58.377000000000002</v>
      </c>
      <c r="O1099" s="5">
        <f t="shared" si="76"/>
        <v>4.4165999999999999</v>
      </c>
      <c r="P1099" s="5">
        <f t="shared" si="76"/>
        <v>15.262199999999998</v>
      </c>
      <c r="Q1099" s="5">
        <f t="shared" si="76"/>
        <v>235.45500000000004</v>
      </c>
      <c r="R1099" s="5"/>
      <c r="S1099" s="6"/>
    </row>
    <row r="1100" spans="1:19" ht="15" customHeight="1">
      <c r="A1100" s="3">
        <f t="shared" si="46"/>
        <v>2053</v>
      </c>
      <c r="B1100" s="8">
        <f t="shared" ref="B1100:J1100" si="77">AVERAGE(B484:B495)</f>
        <v>13.714383333333332</v>
      </c>
      <c r="C1100" s="8">
        <f t="shared" si="77"/>
        <v>13.720666666666665</v>
      </c>
      <c r="D1100" s="8">
        <f t="shared" si="77"/>
        <v>13.729566666666665</v>
      </c>
      <c r="E1100" s="8">
        <f t="shared" si="77"/>
        <v>13.725683333333334</v>
      </c>
      <c r="F1100" s="4">
        <f t="shared" si="77"/>
        <v>14.444033333333335</v>
      </c>
      <c r="G1100" s="8">
        <f t="shared" si="77"/>
        <v>13.575716666666667</v>
      </c>
      <c r="H1100" s="4">
        <f t="shared" si="77"/>
        <v>14.516366666666668</v>
      </c>
      <c r="I1100" s="8">
        <f t="shared" si="77"/>
        <v>13.437883333333334</v>
      </c>
      <c r="J1100" s="4">
        <f t="shared" si="77"/>
        <v>13.295341666666666</v>
      </c>
      <c r="K1100" s="7"/>
      <c r="L1100" s="5">
        <f t="shared" ref="L1100:Q1100" si="78">SUM(L484:L495)</f>
        <v>355.53689999999995</v>
      </c>
      <c r="M1100" s="5">
        <f t="shared" si="78"/>
        <v>142.0401</v>
      </c>
      <c r="N1100" s="5">
        <f t="shared" si="78"/>
        <v>58.217499999999994</v>
      </c>
      <c r="O1100" s="5">
        <f t="shared" si="78"/>
        <v>4.4046000000000003</v>
      </c>
      <c r="P1100" s="5">
        <f t="shared" si="78"/>
        <v>15.220499999999998</v>
      </c>
      <c r="Q1100" s="5">
        <f t="shared" si="78"/>
        <v>234.04520000000002</v>
      </c>
      <c r="R1100" s="5"/>
      <c r="S1100" s="6"/>
    </row>
    <row r="1101" spans="1:19" ht="15" customHeight="1">
      <c r="A1101" s="3">
        <f t="shared" si="46"/>
        <v>2054</v>
      </c>
      <c r="B1101" s="8">
        <f t="shared" ref="B1101:J1101" si="79">AVERAGE(B496:B507)</f>
        <v>14.044275000000001</v>
      </c>
      <c r="C1101" s="8">
        <f t="shared" si="79"/>
        <v>14.050550000000001</v>
      </c>
      <c r="D1101" s="8">
        <f t="shared" si="79"/>
        <v>14.059458333333332</v>
      </c>
      <c r="E1101" s="8">
        <f t="shared" si="79"/>
        <v>14.055574999999999</v>
      </c>
      <c r="F1101" s="4">
        <f t="shared" si="79"/>
        <v>14.773924999999998</v>
      </c>
      <c r="G1101" s="8">
        <f t="shared" si="79"/>
        <v>13.900991666666668</v>
      </c>
      <c r="H1101" s="4">
        <f t="shared" si="79"/>
        <v>14.841633333333334</v>
      </c>
      <c r="I1101" s="8">
        <f t="shared" si="79"/>
        <v>13.757466666666668</v>
      </c>
      <c r="J1101" s="4">
        <f t="shared" si="79"/>
        <v>13.614783333333335</v>
      </c>
      <c r="K1101" s="7"/>
      <c r="L1101" s="5">
        <f t="shared" ref="L1101:Q1101" si="80">SUM(L496:L507)</f>
        <v>355.53689999999995</v>
      </c>
      <c r="M1101" s="5">
        <f t="shared" si="80"/>
        <v>142.0401</v>
      </c>
      <c r="N1101" s="5">
        <f t="shared" si="80"/>
        <v>58.217499999999994</v>
      </c>
      <c r="O1101" s="5">
        <f t="shared" si="80"/>
        <v>4.4046000000000003</v>
      </c>
      <c r="P1101" s="5">
        <f t="shared" si="80"/>
        <v>15.220499999999998</v>
      </c>
      <c r="Q1101" s="5">
        <f t="shared" si="80"/>
        <v>233.30079999999998</v>
      </c>
      <c r="R1101" s="5"/>
      <c r="S1101" s="6"/>
    </row>
    <row r="1102" spans="1:19" ht="15" customHeight="1">
      <c r="A1102" s="3">
        <f t="shared" si="46"/>
        <v>2055</v>
      </c>
      <c r="B1102" s="8">
        <f t="shared" ref="B1102:J1102" si="81">AVERAGE(B508:B519)</f>
        <v>14.382066666666667</v>
      </c>
      <c r="C1102" s="8">
        <f t="shared" si="81"/>
        <v>14.388358333333331</v>
      </c>
      <c r="D1102" s="8">
        <f t="shared" si="81"/>
        <v>14.397241666666666</v>
      </c>
      <c r="E1102" s="8">
        <f t="shared" si="81"/>
        <v>14.393383333333334</v>
      </c>
      <c r="F1102" s="4">
        <f t="shared" si="81"/>
        <v>15.111725</v>
      </c>
      <c r="G1102" s="8">
        <f t="shared" si="81"/>
        <v>14.2341</v>
      </c>
      <c r="H1102" s="4">
        <f t="shared" si="81"/>
        <v>15.174758333333335</v>
      </c>
      <c r="I1102" s="8">
        <f t="shared" si="81"/>
        <v>14.08475</v>
      </c>
      <c r="J1102" s="4">
        <f t="shared" si="81"/>
        <v>13.941883333333335</v>
      </c>
      <c r="K1102" s="7"/>
      <c r="L1102" s="5">
        <f t="shared" ref="L1102:Q1102" si="82">SUM(L508:L519)</f>
        <v>355.53689999999995</v>
      </c>
      <c r="M1102" s="5">
        <f t="shared" si="82"/>
        <v>142.0401</v>
      </c>
      <c r="N1102" s="5">
        <f t="shared" si="82"/>
        <v>58.217499999999994</v>
      </c>
      <c r="O1102" s="5">
        <f t="shared" si="82"/>
        <v>4.4046000000000003</v>
      </c>
      <c r="P1102" s="5">
        <f t="shared" si="82"/>
        <v>15.220499999999998</v>
      </c>
      <c r="Q1102" s="5">
        <f t="shared" si="82"/>
        <v>232.55579999999998</v>
      </c>
      <c r="R1102" s="5"/>
      <c r="S1102" s="6"/>
    </row>
    <row r="1103" spans="1:19" ht="15" customHeight="1">
      <c r="A1103" s="3">
        <f t="shared" si="46"/>
        <v>2056</v>
      </c>
      <c r="B1103" s="8">
        <f t="shared" ref="B1103:J1103" si="83">AVERAGE(B520:B531)</f>
        <v>14.728000000000003</v>
      </c>
      <c r="C1103" s="8">
        <f t="shared" si="83"/>
        <v>14.734275000000002</v>
      </c>
      <c r="D1103" s="8">
        <f t="shared" si="83"/>
        <v>14.743191666666666</v>
      </c>
      <c r="E1103" s="8">
        <f t="shared" si="83"/>
        <v>14.739308333333334</v>
      </c>
      <c r="F1103" s="4">
        <f t="shared" si="83"/>
        <v>15.457658333333333</v>
      </c>
      <c r="G1103" s="8">
        <f t="shared" si="83"/>
        <v>14.575208333333334</v>
      </c>
      <c r="H1103" s="4">
        <f t="shared" si="83"/>
        <v>15.51585</v>
      </c>
      <c r="I1103" s="8">
        <f t="shared" si="83"/>
        <v>14.419866666666666</v>
      </c>
      <c r="J1103" s="4">
        <f t="shared" si="83"/>
        <v>14.276824999999997</v>
      </c>
      <c r="K1103" s="7"/>
      <c r="L1103" s="5">
        <f t="shared" ref="L1103:Q1103" si="84">SUM(L520:L531)</f>
        <v>356.48229999999995</v>
      </c>
      <c r="M1103" s="5">
        <f t="shared" si="84"/>
        <v>142.42920000000001</v>
      </c>
      <c r="N1103" s="5">
        <f t="shared" si="84"/>
        <v>58.377000000000002</v>
      </c>
      <c r="O1103" s="5">
        <f t="shared" si="84"/>
        <v>4.4165999999999999</v>
      </c>
      <c r="P1103" s="5">
        <f t="shared" si="84"/>
        <v>15.262199999999998</v>
      </c>
      <c r="Q1103" s="5">
        <f t="shared" si="84"/>
        <v>232.44659999999996</v>
      </c>
      <c r="R1103" s="5"/>
      <c r="S1103" s="6"/>
    </row>
    <row r="1104" spans="1:19" ht="15" customHeight="1">
      <c r="A1104" s="3">
        <f t="shared" si="46"/>
        <v>2057</v>
      </c>
      <c r="B1104" s="8">
        <f t="shared" ref="B1104:J1104" si="85">AVERAGE(B532:B543)</f>
        <v>15.082233333333335</v>
      </c>
      <c r="C1104" s="8">
        <f t="shared" si="85"/>
        <v>15.088508333333335</v>
      </c>
      <c r="D1104" s="8">
        <f t="shared" si="85"/>
        <v>15.097433333333335</v>
      </c>
      <c r="E1104" s="8">
        <f t="shared" si="85"/>
        <v>15.093558333333334</v>
      </c>
      <c r="F1104" s="4">
        <f t="shared" si="85"/>
        <v>15.811883333333334</v>
      </c>
      <c r="G1104" s="8">
        <f t="shared" si="85"/>
        <v>14.924491666666668</v>
      </c>
      <c r="H1104" s="4">
        <f t="shared" si="85"/>
        <v>15.86515</v>
      </c>
      <c r="I1104" s="8">
        <f t="shared" si="85"/>
        <v>14.763041666666666</v>
      </c>
      <c r="J1104" s="4">
        <f t="shared" si="85"/>
        <v>14.619833333333332</v>
      </c>
      <c r="K1104" s="7"/>
      <c r="L1104" s="5">
        <f t="shared" ref="L1104:Q1104" si="86">SUM(L532:L543)</f>
        <v>355.53689999999995</v>
      </c>
      <c r="M1104" s="5">
        <f t="shared" si="86"/>
        <v>142.0401</v>
      </c>
      <c r="N1104" s="5">
        <f t="shared" si="86"/>
        <v>58.217499999999994</v>
      </c>
      <c r="O1104" s="5">
        <f t="shared" si="86"/>
        <v>4.4046000000000003</v>
      </c>
      <c r="P1104" s="5">
        <f t="shared" si="86"/>
        <v>15.220499999999998</v>
      </c>
      <c r="Q1104" s="5">
        <f t="shared" si="86"/>
        <v>231.81149999999997</v>
      </c>
      <c r="R1104" s="5"/>
      <c r="S1104" s="6"/>
    </row>
    <row r="1105" spans="1:19" ht="15" customHeight="1">
      <c r="A1105" s="3">
        <f t="shared" si="46"/>
        <v>2058</v>
      </c>
      <c r="B1105" s="8">
        <f t="shared" ref="B1105:J1105" si="87">AVERAGE(B544:B555)</f>
        <v>15.444974999999999</v>
      </c>
      <c r="C1105" s="8">
        <f t="shared" si="87"/>
        <v>15.451258333333334</v>
      </c>
      <c r="D1105" s="8">
        <f t="shared" si="87"/>
        <v>15.460166666666666</v>
      </c>
      <c r="E1105" s="8">
        <f t="shared" si="87"/>
        <v>15.456283333333332</v>
      </c>
      <c r="F1105" s="4">
        <f t="shared" si="87"/>
        <v>16.174641666666663</v>
      </c>
      <c r="G1105" s="8">
        <f t="shared" si="87"/>
        <v>15.282175000000002</v>
      </c>
      <c r="H1105" s="4">
        <f t="shared" si="87"/>
        <v>16.222824999999997</v>
      </c>
      <c r="I1105" s="8">
        <f t="shared" si="87"/>
        <v>15.11445</v>
      </c>
      <c r="J1105" s="4">
        <f t="shared" si="87"/>
        <v>14.971066666666665</v>
      </c>
      <c r="K1105" s="7"/>
      <c r="L1105" s="5">
        <f t="shared" ref="L1105:Q1105" si="88">SUM(L544:L555)</f>
        <v>355.53689999999995</v>
      </c>
      <c r="M1105" s="5">
        <f t="shared" si="88"/>
        <v>142.0401</v>
      </c>
      <c r="N1105" s="5">
        <f t="shared" si="88"/>
        <v>58.217499999999994</v>
      </c>
      <c r="O1105" s="5">
        <f t="shared" si="88"/>
        <v>4.4046000000000003</v>
      </c>
      <c r="P1105" s="5">
        <f t="shared" si="88"/>
        <v>15.220499999999998</v>
      </c>
      <c r="Q1105" s="5">
        <f t="shared" si="88"/>
        <v>231.81149999999997</v>
      </c>
      <c r="R1105" s="5"/>
      <c r="S1105" s="6"/>
    </row>
    <row r="1106" spans="1:19" ht="15" customHeight="1">
      <c r="A1106" s="3">
        <f t="shared" si="46"/>
        <v>2059</v>
      </c>
      <c r="B1106" s="8">
        <f t="shared" ref="B1106:J1106" si="89">AVERAGE(B556:B567)</f>
        <v>15.816441666666668</v>
      </c>
      <c r="C1106" s="8">
        <f t="shared" si="89"/>
        <v>15.822725</v>
      </c>
      <c r="D1106" s="8">
        <f t="shared" si="89"/>
        <v>15.831633333333331</v>
      </c>
      <c r="E1106" s="8">
        <f t="shared" si="89"/>
        <v>15.827749999999996</v>
      </c>
      <c r="F1106" s="4">
        <f t="shared" si="89"/>
        <v>16.546091666666666</v>
      </c>
      <c r="G1106" s="8">
        <f t="shared" si="89"/>
        <v>15.648449999999999</v>
      </c>
      <c r="H1106" s="4">
        <f t="shared" si="89"/>
        <v>16.589108333333332</v>
      </c>
      <c r="I1106" s="8">
        <f t="shared" si="89"/>
        <v>15.474325</v>
      </c>
      <c r="J1106" s="4">
        <f t="shared" si="89"/>
        <v>15.330766666666669</v>
      </c>
      <c r="K1106" s="4"/>
      <c r="L1106" s="5">
        <f>SUM(L556:L567)</f>
        <v>355.53689999999995</v>
      </c>
      <c r="M1106" s="5">
        <f>SUM(M556:M567)</f>
        <v>142.0401</v>
      </c>
      <c r="N1106" s="5">
        <f>SUM(N556:N567)</f>
        <v>58.217499999999994</v>
      </c>
      <c r="O1106" s="5">
        <f>SUM(O545:O556)</f>
        <v>4.4046000000000003</v>
      </c>
      <c r="P1106" s="5">
        <f>SUM(P556:P567)</f>
        <v>15.220499999999998</v>
      </c>
      <c r="Q1106" s="5">
        <f>SUM(Q556:Q567)</f>
        <v>231.81149999999997</v>
      </c>
      <c r="R1106" s="5"/>
      <c r="S1106" s="4"/>
    </row>
    <row r="1107" spans="1:19" ht="15" customHeight="1">
      <c r="A1107" s="3">
        <f t="shared" si="46"/>
        <v>2060</v>
      </c>
      <c r="B1107" s="8">
        <f t="shared" ref="B1107:J1107" si="90">AVERAGE(B568:B579)</f>
        <v>16.196816666666667</v>
      </c>
      <c r="C1107" s="8">
        <f t="shared" si="90"/>
        <v>16.203100000000003</v>
      </c>
      <c r="D1107" s="8">
        <f t="shared" si="90"/>
        <v>16.212025000000001</v>
      </c>
      <c r="E1107" s="8">
        <f t="shared" si="90"/>
        <v>16.208141666666666</v>
      </c>
      <c r="F1107" s="4">
        <f t="shared" si="90"/>
        <v>16.926491666666667</v>
      </c>
      <c r="G1107" s="8">
        <f t="shared" si="90"/>
        <v>16.02355</v>
      </c>
      <c r="H1107" s="4">
        <f t="shared" si="90"/>
        <v>16.964191666666668</v>
      </c>
      <c r="I1107" s="8">
        <f t="shared" si="90"/>
        <v>15.842841666666665</v>
      </c>
      <c r="J1107" s="4">
        <f t="shared" si="90"/>
        <v>15.699083333333332</v>
      </c>
      <c r="K1107" s="7"/>
      <c r="L1107" s="5">
        <f>SUM(L568:L579)</f>
        <v>356.48229999999995</v>
      </c>
      <c r="M1107" s="5">
        <f>SUM(M568:M579)</f>
        <v>142.42920000000001</v>
      </c>
      <c r="N1107" s="5">
        <f>SUM(N568:N579)</f>
        <v>58.377000000000002</v>
      </c>
      <c r="O1107" s="5">
        <f>SUM(O546:O557)</f>
        <v>4.4046000000000003</v>
      </c>
      <c r="P1107" s="5">
        <f>SUM(P568:P579)</f>
        <v>15.262199999999998</v>
      </c>
      <c r="Q1107" s="5">
        <f>SUM(Q568:Q579)</f>
        <v>232.44659999999996</v>
      </c>
      <c r="R1107" s="5"/>
      <c r="S1107" s="6"/>
    </row>
    <row r="1108" spans="1:19" ht="15" customHeight="1">
      <c r="A1108" s="3">
        <f t="shared" si="46"/>
        <v>2061</v>
      </c>
      <c r="B1108" s="8">
        <f t="shared" ref="B1108:J1108" si="91">AVERAGE(B580:B591)</f>
        <v>16.586341666666669</v>
      </c>
      <c r="C1108" s="8">
        <f t="shared" si="91"/>
        <v>16.592625000000002</v>
      </c>
      <c r="D1108" s="8">
        <f t="shared" si="91"/>
        <v>16.601541666666666</v>
      </c>
      <c r="E1108" s="8">
        <f t="shared" si="91"/>
        <v>16.597658333333335</v>
      </c>
      <c r="F1108" s="4">
        <f t="shared" si="91"/>
        <v>17.316016666666666</v>
      </c>
      <c r="G1108" s="8">
        <f t="shared" si="91"/>
        <v>16.407624999999999</v>
      </c>
      <c r="H1108" s="4">
        <f t="shared" si="91"/>
        <v>17.348283333333331</v>
      </c>
      <c r="I1108" s="8">
        <f t="shared" si="91"/>
        <v>16.220208333333332</v>
      </c>
      <c r="J1108" s="4">
        <f t="shared" si="91"/>
        <v>16.076266666666665</v>
      </c>
      <c r="K1108" s="7"/>
      <c r="L1108" s="5">
        <f>SUM(L580:L591)</f>
        <v>355.53689999999995</v>
      </c>
      <c r="M1108" s="5">
        <f>SUM(M580:M591)</f>
        <v>142.0401</v>
      </c>
      <c r="N1108" s="5">
        <f>SUM(N580:N591)</f>
        <v>58.217499999999994</v>
      </c>
      <c r="O1108" s="5">
        <f>SUM(O547:O558)</f>
        <v>4.4046000000000003</v>
      </c>
      <c r="P1108" s="5">
        <f>SUM(P580:P591)</f>
        <v>15.220499999999998</v>
      </c>
      <c r="Q1108" s="5">
        <f>SUM(Q580:Q591)</f>
        <v>231.81149999999997</v>
      </c>
      <c r="R1108" s="5"/>
      <c r="S1108" s="6"/>
    </row>
    <row r="1109" spans="1:19" ht="15" customHeight="1">
      <c r="A1109" s="3">
        <f t="shared" si="46"/>
        <v>2062</v>
      </c>
      <c r="B1109" s="4">
        <f t="shared" ref="B1109:J1118" ca="1" si="92">AVERAGE(OFFSET(B$592,($A1109-$A$1109)*12,0,12,1))</f>
        <v>16.985249999999997</v>
      </c>
      <c r="C1109" s="4">
        <f t="shared" ca="1" si="92"/>
        <v>16.991533333333333</v>
      </c>
      <c r="D1109" s="4">
        <f t="shared" ca="1" si="92"/>
        <v>17.00043333333333</v>
      </c>
      <c r="E1109" s="4">
        <f t="shared" ca="1" si="92"/>
        <v>16.996549999999999</v>
      </c>
      <c r="F1109" s="4">
        <f t="shared" ca="1" si="92"/>
        <v>17.714891666666666</v>
      </c>
      <c r="G1109" s="4">
        <f t="shared" ca="1" si="92"/>
        <v>16.800949999999997</v>
      </c>
      <c r="H1109" s="4">
        <f t="shared" ca="1" si="92"/>
        <v>17.741583333333335</v>
      </c>
      <c r="I1109" s="4">
        <f t="shared" ca="1" si="92"/>
        <v>16.606650000000002</v>
      </c>
      <c r="J1109" s="4">
        <f t="shared" ca="1" si="92"/>
        <v>16.462508333333336</v>
      </c>
      <c r="K1109" s="4"/>
      <c r="L1109" s="5">
        <f t="shared" ref="L1109:Q1118" ca="1" si="93">SUM(OFFSET(L$592,($A1109-$A$1109)*12,0,12,1))</f>
        <v>355.53689999999995</v>
      </c>
      <c r="M1109" s="5">
        <f t="shared" ca="1" si="93"/>
        <v>142.0401</v>
      </c>
      <c r="N1109" s="5">
        <f t="shared" ca="1" si="93"/>
        <v>58.217499999999994</v>
      </c>
      <c r="O1109" s="5">
        <f t="shared" ca="1" si="93"/>
        <v>4.4046000000000003</v>
      </c>
      <c r="P1109" s="5">
        <f t="shared" ca="1" si="93"/>
        <v>15.220499999999998</v>
      </c>
      <c r="Q1109" s="5">
        <f t="shared" ca="1" si="93"/>
        <v>231.81149999999997</v>
      </c>
      <c r="R1109" s="4"/>
      <c r="S1109" s="4"/>
    </row>
    <row r="1110" spans="1:19" ht="15" customHeight="1">
      <c r="A1110" s="3">
        <f t="shared" si="46"/>
        <v>2063</v>
      </c>
      <c r="B1110" s="4">
        <f t="shared" ca="1" si="92"/>
        <v>17.393708333333333</v>
      </c>
      <c r="C1110" s="4">
        <f t="shared" ca="1" si="92"/>
        <v>17.399983333333335</v>
      </c>
      <c r="D1110" s="4">
        <f t="shared" ca="1" si="92"/>
        <v>17.408899999999999</v>
      </c>
      <c r="E1110" s="4">
        <f t="shared" ca="1" si="92"/>
        <v>17.405024999999998</v>
      </c>
      <c r="F1110" s="4">
        <f t="shared" ca="1" si="92"/>
        <v>18.123375000000006</v>
      </c>
      <c r="G1110" s="4">
        <f t="shared" ca="1" si="92"/>
        <v>17.203716666666665</v>
      </c>
      <c r="H1110" s="4">
        <f t="shared" ca="1" si="92"/>
        <v>18.144383333333334</v>
      </c>
      <c r="I1110" s="4">
        <f t="shared" ca="1" si="92"/>
        <v>17.00235</v>
      </c>
      <c r="J1110" s="4">
        <f t="shared" ca="1" si="92"/>
        <v>16.858041666666669</v>
      </c>
      <c r="K1110" s="4"/>
      <c r="L1110" s="5">
        <f t="shared" ca="1" si="93"/>
        <v>355.53689999999995</v>
      </c>
      <c r="M1110" s="5">
        <f t="shared" ca="1" si="93"/>
        <v>142.0401</v>
      </c>
      <c r="N1110" s="5">
        <f t="shared" ca="1" si="93"/>
        <v>58.217499999999994</v>
      </c>
      <c r="O1110" s="5">
        <f t="shared" ca="1" si="93"/>
        <v>4.4046000000000003</v>
      </c>
      <c r="P1110" s="5">
        <f t="shared" ca="1" si="93"/>
        <v>15.220499999999998</v>
      </c>
      <c r="Q1110" s="5">
        <f t="shared" ca="1" si="93"/>
        <v>231.81149999999997</v>
      </c>
      <c r="R1110" s="4"/>
      <c r="S1110" s="4"/>
    </row>
    <row r="1111" spans="1:19" ht="15" customHeight="1">
      <c r="A1111" s="3">
        <f t="shared" si="46"/>
        <v>2064</v>
      </c>
      <c r="B1111" s="4">
        <f t="shared" ca="1" si="92"/>
        <v>17.812008333333331</v>
      </c>
      <c r="C1111" s="4">
        <f t="shared" ca="1" si="92"/>
        <v>17.818291666666664</v>
      </c>
      <c r="D1111" s="4">
        <f t="shared" ca="1" si="92"/>
        <v>17.827183333333334</v>
      </c>
      <c r="E1111" s="4">
        <f t="shared" ca="1" si="92"/>
        <v>17.823308333333333</v>
      </c>
      <c r="F1111" s="4">
        <f t="shared" ca="1" si="92"/>
        <v>18.541650000000001</v>
      </c>
      <c r="G1111" s="4">
        <f t="shared" ca="1" si="92"/>
        <v>17.616175000000002</v>
      </c>
      <c r="H1111" s="4">
        <f t="shared" ca="1" si="92"/>
        <v>18.556816666666666</v>
      </c>
      <c r="I1111" s="4">
        <f t="shared" ca="1" si="92"/>
        <v>17.407591666666665</v>
      </c>
      <c r="J1111" s="4">
        <f t="shared" ca="1" si="92"/>
        <v>17.263058333333333</v>
      </c>
      <c r="K1111" s="4"/>
      <c r="L1111" s="5">
        <f t="shared" ca="1" si="93"/>
        <v>356.48229999999995</v>
      </c>
      <c r="M1111" s="5">
        <f t="shared" ca="1" si="93"/>
        <v>142.42920000000001</v>
      </c>
      <c r="N1111" s="5">
        <f t="shared" ca="1" si="93"/>
        <v>58.377000000000002</v>
      </c>
      <c r="O1111" s="5">
        <f t="shared" ca="1" si="93"/>
        <v>4.4165999999999999</v>
      </c>
      <c r="P1111" s="5">
        <f t="shared" ca="1" si="93"/>
        <v>15.262199999999998</v>
      </c>
      <c r="Q1111" s="5">
        <f t="shared" ca="1" si="93"/>
        <v>232.44659999999996</v>
      </c>
      <c r="R1111" s="4"/>
      <c r="S1111" s="4"/>
    </row>
    <row r="1112" spans="1:19" ht="15" customHeight="1">
      <c r="A1112" s="3">
        <f t="shared" si="46"/>
        <v>2065</v>
      </c>
      <c r="B1112" s="4">
        <f t="shared" ca="1" si="92"/>
        <v>18.240333333333336</v>
      </c>
      <c r="C1112" s="4">
        <f t="shared" ca="1" si="92"/>
        <v>18.246608333333338</v>
      </c>
      <c r="D1112" s="4">
        <f t="shared" ca="1" si="92"/>
        <v>18.255508333333335</v>
      </c>
      <c r="E1112" s="4">
        <f t="shared" ca="1" si="92"/>
        <v>18.251633333333331</v>
      </c>
      <c r="F1112" s="4">
        <f t="shared" ca="1" si="92"/>
        <v>18.969975000000002</v>
      </c>
      <c r="G1112" s="4">
        <f t="shared" ca="1" si="92"/>
        <v>18.03851666666667</v>
      </c>
      <c r="H1112" s="4">
        <f t="shared" ca="1" si="92"/>
        <v>18.979191666666665</v>
      </c>
      <c r="I1112" s="4">
        <f t="shared" ca="1" si="92"/>
        <v>17.822550000000003</v>
      </c>
      <c r="J1112" s="4">
        <f t="shared" ca="1" si="92"/>
        <v>17.677816666666669</v>
      </c>
      <c r="K1112" s="4"/>
      <c r="L1112" s="5">
        <f t="shared" ca="1" si="93"/>
        <v>355.53689999999995</v>
      </c>
      <c r="M1112" s="5">
        <f t="shared" ca="1" si="93"/>
        <v>142.0401</v>
      </c>
      <c r="N1112" s="5">
        <f t="shared" ca="1" si="93"/>
        <v>58.217499999999994</v>
      </c>
      <c r="O1112" s="5">
        <f t="shared" ca="1" si="93"/>
        <v>4.4046000000000003</v>
      </c>
      <c r="P1112" s="5">
        <f t="shared" ca="1" si="93"/>
        <v>15.220499999999998</v>
      </c>
      <c r="Q1112" s="5">
        <f t="shared" ca="1" si="93"/>
        <v>231.81149999999997</v>
      </c>
      <c r="R1112" s="4"/>
      <c r="S1112" s="4"/>
    </row>
    <row r="1113" spans="1:19" ht="15" customHeight="1">
      <c r="A1113" s="3">
        <f t="shared" si="46"/>
        <v>2066</v>
      </c>
      <c r="B1113" s="4">
        <f t="shared" ca="1" si="92"/>
        <v>18.67895</v>
      </c>
      <c r="C1113" s="4">
        <f t="shared" ca="1" si="92"/>
        <v>18.685224999999999</v>
      </c>
      <c r="D1113" s="4">
        <f t="shared" ca="1" si="92"/>
        <v>18.694158333333338</v>
      </c>
      <c r="E1113" s="4">
        <f t="shared" ca="1" si="92"/>
        <v>18.69026666666667</v>
      </c>
      <c r="F1113" s="4">
        <f t="shared" ca="1" si="92"/>
        <v>19.408625000000001</v>
      </c>
      <c r="G1113" s="4">
        <f t="shared" ca="1" si="92"/>
        <v>18.471041666666668</v>
      </c>
      <c r="H1113" s="4">
        <f t="shared" ca="1" si="92"/>
        <v>19.411683333333333</v>
      </c>
      <c r="I1113" s="4">
        <f t="shared" ca="1" si="92"/>
        <v>18.247483333333332</v>
      </c>
      <c r="J1113" s="4">
        <f t="shared" ca="1" si="92"/>
        <v>18.102533333333334</v>
      </c>
      <c r="K1113" s="4"/>
      <c r="L1113" s="5">
        <f t="shared" ca="1" si="93"/>
        <v>355.53689999999995</v>
      </c>
      <c r="M1113" s="5">
        <f t="shared" ca="1" si="93"/>
        <v>142.0401</v>
      </c>
      <c r="N1113" s="5">
        <f t="shared" ca="1" si="93"/>
        <v>58.217499999999994</v>
      </c>
      <c r="O1113" s="5">
        <f t="shared" ca="1" si="93"/>
        <v>4.4046000000000003</v>
      </c>
      <c r="P1113" s="5">
        <f t="shared" ca="1" si="93"/>
        <v>15.220499999999998</v>
      </c>
      <c r="Q1113" s="5">
        <f t="shared" ca="1" si="93"/>
        <v>231.81149999999997</v>
      </c>
      <c r="R1113" s="4"/>
      <c r="S1113" s="4"/>
    </row>
    <row r="1114" spans="1:19" ht="15" customHeight="1">
      <c r="A1114" s="3">
        <f t="shared" si="46"/>
        <v>2067</v>
      </c>
      <c r="B1114" s="4">
        <f t="shared" ca="1" si="92"/>
        <v>19.128116666666667</v>
      </c>
      <c r="C1114" s="4">
        <f t="shared" ca="1" si="92"/>
        <v>19.134400000000003</v>
      </c>
      <c r="D1114" s="4">
        <f t="shared" ca="1" si="92"/>
        <v>19.143299999999996</v>
      </c>
      <c r="E1114" s="4">
        <f t="shared" ca="1" si="92"/>
        <v>19.139416666666666</v>
      </c>
      <c r="F1114" s="4">
        <f t="shared" ca="1" si="92"/>
        <v>19.857775</v>
      </c>
      <c r="G1114" s="4">
        <f t="shared" ca="1" si="92"/>
        <v>18.913925000000003</v>
      </c>
      <c r="H1114" s="4">
        <f t="shared" ca="1" si="92"/>
        <v>19.854583333333334</v>
      </c>
      <c r="I1114" s="4">
        <f t="shared" ca="1" si="92"/>
        <v>18.682625000000002</v>
      </c>
      <c r="J1114" s="4">
        <f t="shared" ca="1" si="92"/>
        <v>18.537458333333333</v>
      </c>
      <c r="K1114" s="4"/>
      <c r="L1114" s="5">
        <f t="shared" ca="1" si="93"/>
        <v>355.53689999999995</v>
      </c>
      <c r="M1114" s="5">
        <f t="shared" ca="1" si="93"/>
        <v>142.0401</v>
      </c>
      <c r="N1114" s="5">
        <f t="shared" ca="1" si="93"/>
        <v>58.217499999999994</v>
      </c>
      <c r="O1114" s="5">
        <f t="shared" ca="1" si="93"/>
        <v>4.4046000000000003</v>
      </c>
      <c r="P1114" s="5">
        <f t="shared" ca="1" si="93"/>
        <v>15.220499999999998</v>
      </c>
      <c r="Q1114" s="5">
        <f t="shared" ca="1" si="93"/>
        <v>231.81149999999997</v>
      </c>
      <c r="R1114" s="4"/>
      <c r="S1114" s="4"/>
    </row>
    <row r="1115" spans="1:19" ht="15" customHeight="1">
      <c r="A1115" s="3">
        <f t="shared" si="46"/>
        <v>2068</v>
      </c>
      <c r="B1115" s="4">
        <f t="shared" ca="1" si="92"/>
        <v>19.588075000000003</v>
      </c>
      <c r="C1115" s="4">
        <f t="shared" ca="1" si="92"/>
        <v>19.594358333333336</v>
      </c>
      <c r="D1115" s="4">
        <f t="shared" ca="1" si="92"/>
        <v>19.603275</v>
      </c>
      <c r="E1115" s="4">
        <f t="shared" ca="1" si="92"/>
        <v>19.599391666666666</v>
      </c>
      <c r="F1115" s="4">
        <f t="shared" ca="1" si="92"/>
        <v>20.31775</v>
      </c>
      <c r="G1115" s="4">
        <f t="shared" ca="1" si="92"/>
        <v>19.367466666666669</v>
      </c>
      <c r="H1115" s="4">
        <f t="shared" ca="1" si="92"/>
        <v>20.308116666666667</v>
      </c>
      <c r="I1115" s="4">
        <f t="shared" ca="1" si="92"/>
        <v>19.128241666666668</v>
      </c>
      <c r="J1115" s="4">
        <f t="shared" ca="1" si="92"/>
        <v>18.982833333333335</v>
      </c>
      <c r="K1115" s="4"/>
      <c r="L1115" s="5">
        <f t="shared" ca="1" si="93"/>
        <v>356.48229999999995</v>
      </c>
      <c r="M1115" s="5">
        <f t="shared" ca="1" si="93"/>
        <v>142.42920000000001</v>
      </c>
      <c r="N1115" s="5">
        <f t="shared" ca="1" si="93"/>
        <v>58.377000000000002</v>
      </c>
      <c r="O1115" s="5">
        <f t="shared" ca="1" si="93"/>
        <v>4.4165999999999999</v>
      </c>
      <c r="P1115" s="5">
        <f t="shared" ca="1" si="93"/>
        <v>15.262199999999998</v>
      </c>
      <c r="Q1115" s="5">
        <f t="shared" ca="1" si="93"/>
        <v>232.44659999999996</v>
      </c>
      <c r="R1115" s="4"/>
      <c r="S1115" s="4"/>
    </row>
    <row r="1116" spans="1:19" ht="15" customHeight="1">
      <c r="A1116" s="3">
        <f t="shared" si="46"/>
        <v>2069</v>
      </c>
      <c r="B1116" s="4">
        <f t="shared" ca="1" si="92"/>
        <v>20.059083333333334</v>
      </c>
      <c r="C1116" s="4">
        <f t="shared" ca="1" si="92"/>
        <v>20.065366666666666</v>
      </c>
      <c r="D1116" s="4">
        <f t="shared" ca="1" si="92"/>
        <v>20.074275</v>
      </c>
      <c r="E1116" s="4">
        <f t="shared" ca="1" si="92"/>
        <v>20.070391666666666</v>
      </c>
      <c r="F1116" s="4">
        <f t="shared" ca="1" si="92"/>
        <v>20.78873333333333</v>
      </c>
      <c r="G1116" s="4">
        <f t="shared" ca="1" si="92"/>
        <v>19.831916666666668</v>
      </c>
      <c r="H1116" s="4">
        <f t="shared" ca="1" si="92"/>
        <v>20.77256666666667</v>
      </c>
      <c r="I1116" s="4">
        <f t="shared" ca="1" si="92"/>
        <v>19.584533333333333</v>
      </c>
      <c r="J1116" s="4">
        <f t="shared" ca="1" si="92"/>
        <v>19.438908333333334</v>
      </c>
      <c r="K1116" s="4"/>
      <c r="L1116" s="5">
        <f t="shared" ca="1" si="93"/>
        <v>355.53689999999995</v>
      </c>
      <c r="M1116" s="5">
        <f t="shared" ca="1" si="93"/>
        <v>142.0401</v>
      </c>
      <c r="N1116" s="5">
        <f t="shared" ca="1" si="93"/>
        <v>58.217499999999994</v>
      </c>
      <c r="O1116" s="5">
        <f t="shared" ca="1" si="93"/>
        <v>4.4046000000000003</v>
      </c>
      <c r="P1116" s="5">
        <f t="shared" ca="1" si="93"/>
        <v>15.220499999999998</v>
      </c>
      <c r="Q1116" s="5">
        <f t="shared" ca="1" si="93"/>
        <v>231.81149999999997</v>
      </c>
      <c r="R1116" s="4"/>
      <c r="S1116" s="4"/>
    </row>
    <row r="1117" spans="1:19" ht="15" customHeight="1">
      <c r="A1117" s="3">
        <f t="shared" ref="A1117:A1147" si="94">A1116+1</f>
        <v>2070</v>
      </c>
      <c r="B1117" s="4">
        <f t="shared" ca="1" si="92"/>
        <v>20.541416666666667</v>
      </c>
      <c r="C1117" s="4">
        <f t="shared" ca="1" si="92"/>
        <v>20.547691666666665</v>
      </c>
      <c r="D1117" s="4">
        <f t="shared" ca="1" si="92"/>
        <v>20.556616666666667</v>
      </c>
      <c r="E1117" s="4">
        <f t="shared" ca="1" si="92"/>
        <v>20.552724999999999</v>
      </c>
      <c r="F1117" s="4">
        <f t="shared" ca="1" si="92"/>
        <v>21.271066666666666</v>
      </c>
      <c r="G1117" s="4">
        <f t="shared" ca="1" si="92"/>
        <v>20.307516666666668</v>
      </c>
      <c r="H1117" s="4">
        <f t="shared" ca="1" si="92"/>
        <v>21.248166666666666</v>
      </c>
      <c r="I1117" s="4">
        <f t="shared" ca="1" si="92"/>
        <v>20.051825000000001</v>
      </c>
      <c r="J1117" s="4">
        <f t="shared" ca="1" si="92"/>
        <v>19.905983333333335</v>
      </c>
      <c r="K1117" s="4"/>
      <c r="L1117" s="5">
        <f t="shared" ca="1" si="93"/>
        <v>355.53689999999995</v>
      </c>
      <c r="M1117" s="5">
        <f t="shared" ca="1" si="93"/>
        <v>142.0401</v>
      </c>
      <c r="N1117" s="5">
        <f t="shared" ca="1" si="93"/>
        <v>58.217499999999994</v>
      </c>
      <c r="O1117" s="5">
        <f t="shared" ca="1" si="93"/>
        <v>4.4046000000000003</v>
      </c>
      <c r="P1117" s="5">
        <f t="shared" ca="1" si="93"/>
        <v>15.220499999999998</v>
      </c>
      <c r="Q1117" s="5">
        <f t="shared" ca="1" si="93"/>
        <v>231.81149999999997</v>
      </c>
      <c r="R1117" s="4"/>
      <c r="S1117" s="4"/>
    </row>
    <row r="1118" spans="1:19" ht="15" customHeight="1">
      <c r="A1118" s="3">
        <f t="shared" si="94"/>
        <v>2071</v>
      </c>
      <c r="B1118" s="4">
        <f t="shared" ca="1" si="92"/>
        <v>21.035333333333337</v>
      </c>
      <c r="C1118" s="4">
        <f t="shared" ca="1" si="92"/>
        <v>21.041625000000003</v>
      </c>
      <c r="D1118" s="4">
        <f t="shared" ca="1" si="92"/>
        <v>21.050516666666667</v>
      </c>
      <c r="E1118" s="4">
        <f t="shared" ca="1" si="92"/>
        <v>21.046650000000003</v>
      </c>
      <c r="F1118" s="4">
        <f t="shared" ca="1" si="92"/>
        <v>21.764991666666671</v>
      </c>
      <c r="G1118" s="4">
        <f t="shared" ca="1" si="92"/>
        <v>20.794533333333337</v>
      </c>
      <c r="H1118" s="4">
        <f t="shared" ca="1" si="92"/>
        <v>21.735183333333339</v>
      </c>
      <c r="I1118" s="4">
        <f t="shared" ca="1" si="92"/>
        <v>20.53030833333333</v>
      </c>
      <c r="J1118" s="4">
        <f t="shared" ca="1" si="92"/>
        <v>20.384216666666671</v>
      </c>
      <c r="K1118" s="4"/>
      <c r="L1118" s="5">
        <f t="shared" ca="1" si="93"/>
        <v>355.53689999999995</v>
      </c>
      <c r="M1118" s="5">
        <f t="shared" ca="1" si="93"/>
        <v>142.0401</v>
      </c>
      <c r="N1118" s="5">
        <f t="shared" ca="1" si="93"/>
        <v>58.217499999999994</v>
      </c>
      <c r="O1118" s="5">
        <f t="shared" ca="1" si="93"/>
        <v>4.4046000000000003</v>
      </c>
      <c r="P1118" s="5">
        <f t="shared" ca="1" si="93"/>
        <v>15.220499999999998</v>
      </c>
      <c r="Q1118" s="5">
        <f t="shared" ca="1" si="93"/>
        <v>231.81149999999997</v>
      </c>
      <c r="R1118" s="4"/>
      <c r="S1118" s="4"/>
    </row>
    <row r="1119" spans="1:19" ht="15" customHeight="1">
      <c r="A1119" s="3">
        <f t="shared" si="94"/>
        <v>2072</v>
      </c>
      <c r="B1119" s="4">
        <f t="shared" ref="B1119:J1128" ca="1" si="95">AVERAGE(OFFSET(B$592,($A1119-$A$1109)*12,0,12,1))</f>
        <v>21.541124999999997</v>
      </c>
      <c r="C1119" s="4">
        <f t="shared" ca="1" si="95"/>
        <v>21.5474</v>
      </c>
      <c r="D1119" s="4">
        <f t="shared" ca="1" si="95"/>
        <v>21.556299999999997</v>
      </c>
      <c r="E1119" s="4">
        <f t="shared" ca="1" si="95"/>
        <v>21.552424999999999</v>
      </c>
      <c r="F1119" s="4">
        <f t="shared" ca="1" si="95"/>
        <v>22.270775</v>
      </c>
      <c r="G1119" s="4">
        <f t="shared" ca="1" si="95"/>
        <v>21.293266666666664</v>
      </c>
      <c r="H1119" s="4">
        <f t="shared" ca="1" si="95"/>
        <v>22.233916666666662</v>
      </c>
      <c r="I1119" s="4">
        <f t="shared" ca="1" si="95"/>
        <v>21.020308333333336</v>
      </c>
      <c r="J1119" s="4">
        <f t="shared" ca="1" si="95"/>
        <v>20.873966666666664</v>
      </c>
      <c r="K1119" s="4"/>
      <c r="L1119" s="5">
        <f t="shared" ref="L1119:Q1128" ca="1" si="96">SUM(OFFSET(L$592,($A1119-$A$1109)*12,0,12,1))</f>
        <v>356.48229999999995</v>
      </c>
      <c r="M1119" s="5">
        <f t="shared" ca="1" si="96"/>
        <v>142.42920000000001</v>
      </c>
      <c r="N1119" s="5">
        <f t="shared" ca="1" si="96"/>
        <v>58.377000000000002</v>
      </c>
      <c r="O1119" s="5">
        <f t="shared" ca="1" si="96"/>
        <v>4.4165999999999999</v>
      </c>
      <c r="P1119" s="5">
        <f t="shared" ca="1" si="96"/>
        <v>15.262199999999998</v>
      </c>
      <c r="Q1119" s="5">
        <f t="shared" ca="1" si="96"/>
        <v>232.44659999999996</v>
      </c>
      <c r="R1119" s="4"/>
      <c r="S1119" s="4"/>
    </row>
    <row r="1120" spans="1:19" ht="15" customHeight="1">
      <c r="A1120" s="3">
        <f t="shared" si="94"/>
        <v>2073</v>
      </c>
      <c r="B1120" s="4">
        <f t="shared" ca="1" si="95"/>
        <v>22.059066666666666</v>
      </c>
      <c r="C1120" s="4">
        <f t="shared" ca="1" si="95"/>
        <v>22.065349999999999</v>
      </c>
      <c r="D1120" s="4">
        <f t="shared" ca="1" si="95"/>
        <v>22.074258333333333</v>
      </c>
      <c r="E1120" s="4">
        <f t="shared" ca="1" si="95"/>
        <v>22.070383333333336</v>
      </c>
      <c r="F1120" s="4">
        <f t="shared" ca="1" si="95"/>
        <v>22.788700000000002</v>
      </c>
      <c r="G1120" s="4">
        <f t="shared" ca="1" si="95"/>
        <v>21.80395833333333</v>
      </c>
      <c r="H1120" s="4">
        <f t="shared" ca="1" si="95"/>
        <v>22.744633333333329</v>
      </c>
      <c r="I1120" s="4">
        <f t="shared" ca="1" si="95"/>
        <v>21.522074999999997</v>
      </c>
      <c r="J1120" s="4">
        <f t="shared" ca="1" si="95"/>
        <v>21.375491666666665</v>
      </c>
      <c r="K1120" s="4"/>
      <c r="L1120" s="5">
        <f t="shared" ca="1" si="96"/>
        <v>355.53689999999995</v>
      </c>
      <c r="M1120" s="5">
        <f t="shared" ca="1" si="96"/>
        <v>142.0401</v>
      </c>
      <c r="N1120" s="5">
        <f t="shared" ca="1" si="96"/>
        <v>58.217499999999994</v>
      </c>
      <c r="O1120" s="5">
        <f t="shared" ca="1" si="96"/>
        <v>4.4046000000000003</v>
      </c>
      <c r="P1120" s="5">
        <f t="shared" ca="1" si="96"/>
        <v>15.220499999999998</v>
      </c>
      <c r="Q1120" s="5">
        <f t="shared" ca="1" si="96"/>
        <v>231.81149999999997</v>
      </c>
      <c r="R1120" s="4"/>
      <c r="S1120" s="4"/>
    </row>
    <row r="1121" spans="1:19" ht="15" customHeight="1">
      <c r="A1121" s="3">
        <f t="shared" si="94"/>
        <v>2074</v>
      </c>
      <c r="B1121" s="4">
        <f t="shared" ca="1" si="95"/>
        <v>22.589441666666669</v>
      </c>
      <c r="C1121" s="4">
        <f t="shared" ca="1" si="95"/>
        <v>22.595716666666664</v>
      </c>
      <c r="D1121" s="4">
        <f t="shared" ca="1" si="95"/>
        <v>22.604608333333335</v>
      </c>
      <c r="E1121" s="4">
        <f t="shared" ca="1" si="95"/>
        <v>22.600741666666668</v>
      </c>
      <c r="F1121" s="4">
        <f t="shared" ca="1" si="95"/>
        <v>23.319091666666665</v>
      </c>
      <c r="G1121" s="4">
        <f t="shared" ca="1" si="95"/>
        <v>22.326966666666667</v>
      </c>
      <c r="H1121" s="4">
        <f t="shared" ca="1" si="95"/>
        <v>23.267616666666665</v>
      </c>
      <c r="I1121" s="4">
        <f t="shared" ca="1" si="95"/>
        <v>22.035891666666668</v>
      </c>
      <c r="J1121" s="4">
        <f t="shared" ca="1" si="95"/>
        <v>21.889049999999997</v>
      </c>
      <c r="K1121" s="4"/>
      <c r="L1121" s="5">
        <f t="shared" ca="1" si="96"/>
        <v>355.53689999999995</v>
      </c>
      <c r="M1121" s="5">
        <f t="shared" ca="1" si="96"/>
        <v>142.0401</v>
      </c>
      <c r="N1121" s="5">
        <f t="shared" ca="1" si="96"/>
        <v>58.217499999999994</v>
      </c>
      <c r="O1121" s="5">
        <f t="shared" ca="1" si="96"/>
        <v>4.4046000000000003</v>
      </c>
      <c r="P1121" s="5">
        <f t="shared" ca="1" si="96"/>
        <v>15.220499999999998</v>
      </c>
      <c r="Q1121" s="5">
        <f t="shared" ca="1" si="96"/>
        <v>231.81149999999997</v>
      </c>
      <c r="R1121" s="4"/>
      <c r="S1121" s="4"/>
    </row>
    <row r="1122" spans="1:19" ht="15" customHeight="1">
      <c r="A1122" s="3">
        <f t="shared" si="94"/>
        <v>2075</v>
      </c>
      <c r="B1122" s="4">
        <f t="shared" ca="1" si="95"/>
        <v>23.132566666666666</v>
      </c>
      <c r="C1122" s="4">
        <f t="shared" ca="1" si="95"/>
        <v>23.138850000000001</v>
      </c>
      <c r="D1122" s="4">
        <f t="shared" ca="1" si="95"/>
        <v>23.147749999999998</v>
      </c>
      <c r="E1122" s="4">
        <f t="shared" ca="1" si="95"/>
        <v>23.143866666666664</v>
      </c>
      <c r="F1122" s="4">
        <f t="shared" ca="1" si="95"/>
        <v>23.862224999999999</v>
      </c>
      <c r="G1122" s="4">
        <f t="shared" ca="1" si="95"/>
        <v>22.862508333333334</v>
      </c>
      <c r="H1122" s="4">
        <f t="shared" ca="1" si="95"/>
        <v>23.803166666666659</v>
      </c>
      <c r="I1122" s="4">
        <f t="shared" ca="1" si="95"/>
        <v>22.562083333333334</v>
      </c>
      <c r="J1122" s="4">
        <f t="shared" ca="1" si="95"/>
        <v>22.414950000000005</v>
      </c>
      <c r="K1122" s="4"/>
      <c r="L1122" s="5">
        <f t="shared" ca="1" si="96"/>
        <v>355.53689999999995</v>
      </c>
      <c r="M1122" s="5">
        <f t="shared" ca="1" si="96"/>
        <v>142.0401</v>
      </c>
      <c r="N1122" s="5">
        <f t="shared" ca="1" si="96"/>
        <v>58.217499999999994</v>
      </c>
      <c r="O1122" s="5">
        <f t="shared" ca="1" si="96"/>
        <v>4.4046000000000003</v>
      </c>
      <c r="P1122" s="5">
        <f t="shared" ca="1" si="96"/>
        <v>15.220499999999998</v>
      </c>
      <c r="Q1122" s="5">
        <f t="shared" ca="1" si="96"/>
        <v>231.81149999999997</v>
      </c>
      <c r="R1122" s="4"/>
      <c r="S1122" s="4"/>
    </row>
    <row r="1123" spans="1:19" ht="15" customHeight="1">
      <c r="A1123" s="3">
        <f t="shared" si="94"/>
        <v>2076</v>
      </c>
      <c r="B1123" s="4">
        <f t="shared" ca="1" si="95"/>
        <v>23.688725000000002</v>
      </c>
      <c r="C1123" s="4">
        <f t="shared" ca="1" si="95"/>
        <v>23.695008333333334</v>
      </c>
      <c r="D1123" s="4">
        <f t="shared" ca="1" si="95"/>
        <v>23.703933333333339</v>
      </c>
      <c r="E1123" s="4">
        <f t="shared" ca="1" si="95"/>
        <v>23.700066666666668</v>
      </c>
      <c r="F1123" s="4">
        <f t="shared" ca="1" si="95"/>
        <v>24.418408333333335</v>
      </c>
      <c r="G1123" s="4">
        <f t="shared" ca="1" si="95"/>
        <v>23.410925000000002</v>
      </c>
      <c r="H1123" s="4">
        <f t="shared" ca="1" si="95"/>
        <v>24.35155833333333</v>
      </c>
      <c r="I1123" s="4">
        <f t="shared" ca="1" si="95"/>
        <v>23.100874999999998</v>
      </c>
      <c r="J1123" s="4">
        <f t="shared" ca="1" si="95"/>
        <v>22.953516666666662</v>
      </c>
      <c r="K1123" s="4"/>
      <c r="L1123" s="5">
        <f t="shared" ca="1" si="96"/>
        <v>356.48229999999995</v>
      </c>
      <c r="M1123" s="5">
        <f t="shared" ca="1" si="96"/>
        <v>142.42920000000001</v>
      </c>
      <c r="N1123" s="5">
        <f t="shared" ca="1" si="96"/>
        <v>58.377000000000002</v>
      </c>
      <c r="O1123" s="5">
        <f t="shared" ca="1" si="96"/>
        <v>4.4165999999999999</v>
      </c>
      <c r="P1123" s="5">
        <f t="shared" ca="1" si="96"/>
        <v>15.262199999999998</v>
      </c>
      <c r="Q1123" s="5">
        <f t="shared" ca="1" si="96"/>
        <v>232.44659999999996</v>
      </c>
      <c r="R1123" s="4"/>
      <c r="S1123" s="4"/>
    </row>
    <row r="1124" spans="1:19" ht="15" customHeight="1">
      <c r="A1124" s="3">
        <f t="shared" si="94"/>
        <v>2077</v>
      </c>
      <c r="B1124" s="4">
        <f t="shared" ca="1" si="95"/>
        <v>24.258283333333328</v>
      </c>
      <c r="C1124" s="4">
        <f t="shared" ca="1" si="95"/>
        <v>24.264550000000003</v>
      </c>
      <c r="D1124" s="4">
        <f t="shared" ca="1" si="95"/>
        <v>24.273466666666675</v>
      </c>
      <c r="E1124" s="4">
        <f t="shared" ca="1" si="95"/>
        <v>24.269575</v>
      </c>
      <c r="F1124" s="4">
        <f t="shared" ca="1" si="95"/>
        <v>24.987933333333331</v>
      </c>
      <c r="G1124" s="4">
        <f t="shared" ca="1" si="95"/>
        <v>23.9725</v>
      </c>
      <c r="H1124" s="4">
        <f t="shared" ca="1" si="95"/>
        <v>24.913174999999999</v>
      </c>
      <c r="I1124" s="4">
        <f t="shared" ca="1" si="95"/>
        <v>23.652633333333331</v>
      </c>
      <c r="J1124" s="4">
        <f t="shared" ca="1" si="95"/>
        <v>23.504999999999995</v>
      </c>
      <c r="K1124" s="4"/>
      <c r="L1124" s="5">
        <f t="shared" ca="1" si="96"/>
        <v>355.53689999999995</v>
      </c>
      <c r="M1124" s="5">
        <f t="shared" ca="1" si="96"/>
        <v>142.0401</v>
      </c>
      <c r="N1124" s="5">
        <f t="shared" ca="1" si="96"/>
        <v>58.217499999999994</v>
      </c>
      <c r="O1124" s="5">
        <f t="shared" ca="1" si="96"/>
        <v>4.4046000000000003</v>
      </c>
      <c r="P1124" s="5">
        <f t="shared" ca="1" si="96"/>
        <v>15.220499999999998</v>
      </c>
      <c r="Q1124" s="5">
        <f t="shared" ca="1" si="96"/>
        <v>231.81149999999997</v>
      </c>
      <c r="R1124" s="4"/>
      <c r="S1124" s="4"/>
    </row>
    <row r="1125" spans="1:19" ht="15" customHeight="1">
      <c r="A1125" s="3">
        <f t="shared" si="94"/>
        <v>2078</v>
      </c>
      <c r="B1125" s="4">
        <f t="shared" ca="1" si="95"/>
        <v>24.841491666666666</v>
      </c>
      <c r="C1125" s="4">
        <f t="shared" ca="1" si="95"/>
        <v>24.847783333333336</v>
      </c>
      <c r="D1125" s="4">
        <f t="shared" ca="1" si="95"/>
        <v>24.856683333333336</v>
      </c>
      <c r="E1125" s="4">
        <f t="shared" ca="1" si="95"/>
        <v>24.852816666666669</v>
      </c>
      <c r="F1125" s="4">
        <f t="shared" ca="1" si="95"/>
        <v>25.571158333333333</v>
      </c>
      <c r="G1125" s="4">
        <f t="shared" ca="1" si="95"/>
        <v>24.547608333333329</v>
      </c>
      <c r="H1125" s="4">
        <f t="shared" ca="1" si="95"/>
        <v>25.488258333333334</v>
      </c>
      <c r="I1125" s="4">
        <f t="shared" ca="1" si="95"/>
        <v>24.21766666666667</v>
      </c>
      <c r="J1125" s="4">
        <f t="shared" ca="1" si="95"/>
        <v>24.069716666666665</v>
      </c>
      <c r="K1125" s="4"/>
      <c r="L1125" s="5">
        <f t="shared" ca="1" si="96"/>
        <v>355.53689999999995</v>
      </c>
      <c r="M1125" s="5">
        <f t="shared" ca="1" si="96"/>
        <v>142.0401</v>
      </c>
      <c r="N1125" s="5">
        <f t="shared" ca="1" si="96"/>
        <v>58.217499999999994</v>
      </c>
      <c r="O1125" s="5">
        <f t="shared" ca="1" si="96"/>
        <v>4.4046000000000003</v>
      </c>
      <c r="P1125" s="5">
        <f t="shared" ca="1" si="96"/>
        <v>15.220499999999998</v>
      </c>
      <c r="Q1125" s="5">
        <f t="shared" ca="1" si="96"/>
        <v>231.81149999999997</v>
      </c>
      <c r="R1125" s="4"/>
      <c r="S1125" s="4"/>
    </row>
    <row r="1126" spans="1:19" ht="15" customHeight="1">
      <c r="A1126" s="3">
        <f t="shared" si="94"/>
        <v>2079</v>
      </c>
      <c r="B1126" s="4">
        <f t="shared" ca="1" si="95"/>
        <v>25.438741666666662</v>
      </c>
      <c r="C1126" s="4">
        <f t="shared" ca="1" si="95"/>
        <v>25.44501666666666</v>
      </c>
      <c r="D1126" s="4">
        <f t="shared" ca="1" si="95"/>
        <v>25.453925000000002</v>
      </c>
      <c r="E1126" s="4">
        <f t="shared" ca="1" si="95"/>
        <v>25.450050000000001</v>
      </c>
      <c r="F1126" s="4">
        <f t="shared" ca="1" si="95"/>
        <v>26.168391666666665</v>
      </c>
      <c r="G1126" s="4">
        <f t="shared" ca="1" si="95"/>
        <v>25.136508333333335</v>
      </c>
      <c r="H1126" s="4">
        <f t="shared" ca="1" si="95"/>
        <v>26.07715833333333</v>
      </c>
      <c r="I1126" s="4">
        <f t="shared" ca="1" si="95"/>
        <v>24.796241666666663</v>
      </c>
      <c r="J1126" s="4">
        <f t="shared" ca="1" si="95"/>
        <v>24.648041666666668</v>
      </c>
      <c r="K1126" s="4"/>
      <c r="L1126" s="5">
        <f t="shared" ca="1" si="96"/>
        <v>355.53689999999995</v>
      </c>
      <c r="M1126" s="5">
        <f t="shared" ca="1" si="96"/>
        <v>142.0401</v>
      </c>
      <c r="N1126" s="5">
        <f t="shared" ca="1" si="96"/>
        <v>58.217499999999994</v>
      </c>
      <c r="O1126" s="5">
        <f t="shared" ca="1" si="96"/>
        <v>4.4046000000000003</v>
      </c>
      <c r="P1126" s="5">
        <f t="shared" ca="1" si="96"/>
        <v>15.220499999999998</v>
      </c>
      <c r="Q1126" s="5">
        <f t="shared" ca="1" si="96"/>
        <v>231.81149999999997</v>
      </c>
      <c r="R1126" s="4"/>
      <c r="S1126" s="4"/>
    </row>
    <row r="1127" spans="1:19" ht="15" customHeight="1">
      <c r="A1127" s="3">
        <f t="shared" si="94"/>
        <v>2080</v>
      </c>
      <c r="B1127" s="4">
        <f t="shared" ca="1" si="95"/>
        <v>26.050316666666664</v>
      </c>
      <c r="C1127" s="4">
        <f t="shared" ca="1" si="95"/>
        <v>26.05660833333333</v>
      </c>
      <c r="D1127" s="4">
        <f t="shared" ca="1" si="95"/>
        <v>26.0655</v>
      </c>
      <c r="E1127" s="4">
        <f t="shared" ca="1" si="95"/>
        <v>26.061633333333333</v>
      </c>
      <c r="F1127" s="4">
        <f t="shared" ca="1" si="95"/>
        <v>26.779966666666667</v>
      </c>
      <c r="G1127" s="4">
        <f t="shared" ca="1" si="95"/>
        <v>25.739558333333335</v>
      </c>
      <c r="H1127" s="4">
        <f t="shared" ca="1" si="95"/>
        <v>26.680216666666666</v>
      </c>
      <c r="I1127" s="4">
        <f t="shared" ca="1" si="95"/>
        <v>25.388758333333332</v>
      </c>
      <c r="J1127" s="4">
        <f t="shared" ca="1" si="95"/>
        <v>25.240241666666666</v>
      </c>
      <c r="K1127" s="4"/>
      <c r="L1127" s="5">
        <f t="shared" ca="1" si="96"/>
        <v>356.48229999999995</v>
      </c>
      <c r="M1127" s="5">
        <f t="shared" ca="1" si="96"/>
        <v>142.42920000000001</v>
      </c>
      <c r="N1127" s="5">
        <f t="shared" ca="1" si="96"/>
        <v>58.377000000000002</v>
      </c>
      <c r="O1127" s="5">
        <f t="shared" ca="1" si="96"/>
        <v>4.4165999999999999</v>
      </c>
      <c r="P1127" s="5">
        <f t="shared" ca="1" si="96"/>
        <v>15.262199999999998</v>
      </c>
      <c r="Q1127" s="5">
        <f t="shared" ca="1" si="96"/>
        <v>232.44659999999996</v>
      </c>
      <c r="R1127" s="4"/>
      <c r="S1127" s="4"/>
    </row>
    <row r="1128" spans="1:19" ht="15" customHeight="1">
      <c r="A1128" s="3">
        <f t="shared" si="94"/>
        <v>2081</v>
      </c>
      <c r="B1128" s="4">
        <f t="shared" ca="1" si="95"/>
        <v>26.676599999999997</v>
      </c>
      <c r="C1128" s="4">
        <f t="shared" ca="1" si="95"/>
        <v>26.682874999999999</v>
      </c>
      <c r="D1128" s="4">
        <f t="shared" ca="1" si="95"/>
        <v>26.691783333333333</v>
      </c>
      <c r="E1128" s="4">
        <f t="shared" ca="1" si="95"/>
        <v>26.687899999999999</v>
      </c>
      <c r="F1128" s="4">
        <f t="shared" ca="1" si="95"/>
        <v>27.406250000000004</v>
      </c>
      <c r="G1128" s="4">
        <f t="shared" ca="1" si="95"/>
        <v>26.35711666666667</v>
      </c>
      <c r="H1128" s="4">
        <f t="shared" ca="1" si="95"/>
        <v>27.297758333333331</v>
      </c>
      <c r="I1128" s="4">
        <f t="shared" ca="1" si="95"/>
        <v>25.995483333333336</v>
      </c>
      <c r="J1128" s="4">
        <f t="shared" ca="1" si="95"/>
        <v>25.84664166666667</v>
      </c>
      <c r="K1128" s="4"/>
      <c r="L1128" s="5">
        <f t="shared" ca="1" si="96"/>
        <v>355.53689999999995</v>
      </c>
      <c r="M1128" s="5">
        <f t="shared" ca="1" si="96"/>
        <v>142.0401</v>
      </c>
      <c r="N1128" s="5">
        <f t="shared" ca="1" si="96"/>
        <v>58.217499999999994</v>
      </c>
      <c r="O1128" s="5">
        <f t="shared" ca="1" si="96"/>
        <v>4.4046000000000003</v>
      </c>
      <c r="P1128" s="5">
        <f t="shared" ca="1" si="96"/>
        <v>15.220499999999998</v>
      </c>
      <c r="Q1128" s="5">
        <f t="shared" ca="1" si="96"/>
        <v>231.81149999999997</v>
      </c>
      <c r="R1128" s="4"/>
      <c r="S1128" s="4"/>
    </row>
    <row r="1129" spans="1:19" ht="15" customHeight="1">
      <c r="A1129" s="3">
        <f t="shared" si="94"/>
        <v>2082</v>
      </c>
      <c r="B1129" s="4">
        <f t="shared" ref="B1129:J1138" ca="1" si="97">AVERAGE(OFFSET(B$592,($A1129-$A$1109)*12,0,12,1))</f>
        <v>27.317925000000002</v>
      </c>
      <c r="C1129" s="4">
        <f t="shared" ca="1" si="97"/>
        <v>27.324200000000005</v>
      </c>
      <c r="D1129" s="4">
        <f t="shared" ca="1" si="97"/>
        <v>27.333116666666669</v>
      </c>
      <c r="E1129" s="4">
        <f t="shared" ca="1" si="97"/>
        <v>27.329233333333335</v>
      </c>
      <c r="F1129" s="4">
        <f t="shared" ca="1" si="97"/>
        <v>28.047583333333336</v>
      </c>
      <c r="G1129" s="4">
        <f t="shared" ca="1" si="97"/>
        <v>26.989474999999999</v>
      </c>
      <c r="H1129" s="4">
        <f t="shared" ca="1" si="97"/>
        <v>27.930125000000004</v>
      </c>
      <c r="I1129" s="4">
        <f t="shared" ca="1" si="97"/>
        <v>26.616808333333328</v>
      </c>
      <c r="J1129" s="4">
        <f t="shared" ca="1" si="97"/>
        <v>26.467658333333336</v>
      </c>
      <c r="K1129" s="4"/>
      <c r="L1129" s="5">
        <f t="shared" ref="L1129:Q1138" ca="1" si="98">SUM(OFFSET(L$592,($A1129-$A$1109)*12,0,12,1))</f>
        <v>355.53689999999995</v>
      </c>
      <c r="M1129" s="5">
        <f t="shared" ca="1" si="98"/>
        <v>142.0401</v>
      </c>
      <c r="N1129" s="5">
        <f t="shared" ca="1" si="98"/>
        <v>58.217499999999994</v>
      </c>
      <c r="O1129" s="5">
        <f t="shared" ca="1" si="98"/>
        <v>4.4046000000000003</v>
      </c>
      <c r="P1129" s="5">
        <f t="shared" ca="1" si="98"/>
        <v>15.220499999999998</v>
      </c>
      <c r="Q1129" s="5">
        <f t="shared" ca="1" si="98"/>
        <v>231.81149999999997</v>
      </c>
      <c r="R1129" s="4"/>
      <c r="S1129" s="4"/>
    </row>
    <row r="1130" spans="1:19" ht="15" customHeight="1">
      <c r="A1130" s="3">
        <f t="shared" si="94"/>
        <v>2083</v>
      </c>
      <c r="B1130" s="4">
        <f t="shared" ca="1" si="97"/>
        <v>27.974666666666664</v>
      </c>
      <c r="C1130" s="4">
        <f t="shared" ca="1" si="97"/>
        <v>27.980949999999996</v>
      </c>
      <c r="D1130" s="4">
        <f t="shared" ca="1" si="97"/>
        <v>27.989849999999993</v>
      </c>
      <c r="E1130" s="4">
        <f t="shared" ca="1" si="97"/>
        <v>27.985975000000007</v>
      </c>
      <c r="F1130" s="4">
        <f t="shared" ca="1" si="97"/>
        <v>28.704325000000001</v>
      </c>
      <c r="G1130" s="4">
        <f t="shared" ca="1" si="97"/>
        <v>27.637066666666669</v>
      </c>
      <c r="H1130" s="4">
        <f t="shared" ca="1" si="97"/>
        <v>28.577716666666664</v>
      </c>
      <c r="I1130" s="4">
        <f t="shared" ca="1" si="97"/>
        <v>27.253024999999997</v>
      </c>
      <c r="J1130" s="4">
        <f t="shared" ca="1" si="97"/>
        <v>27.103566666666666</v>
      </c>
      <c r="K1130" s="4"/>
      <c r="L1130" s="5">
        <f t="shared" ca="1" si="98"/>
        <v>355.53689999999995</v>
      </c>
      <c r="M1130" s="5">
        <f t="shared" ca="1" si="98"/>
        <v>142.0401</v>
      </c>
      <c r="N1130" s="5">
        <f t="shared" ca="1" si="98"/>
        <v>58.217499999999994</v>
      </c>
      <c r="O1130" s="5">
        <f t="shared" ca="1" si="98"/>
        <v>4.4046000000000003</v>
      </c>
      <c r="P1130" s="5">
        <f t="shared" ca="1" si="98"/>
        <v>15.220499999999998</v>
      </c>
      <c r="Q1130" s="5">
        <f t="shared" ca="1" si="98"/>
        <v>231.81149999999997</v>
      </c>
      <c r="R1130" s="4"/>
      <c r="S1130" s="4"/>
    </row>
    <row r="1131" spans="1:19" ht="15" customHeight="1">
      <c r="A1131" s="3">
        <f t="shared" si="94"/>
        <v>2084</v>
      </c>
      <c r="B1131" s="4">
        <f t="shared" ca="1" si="97"/>
        <v>28.647191666666668</v>
      </c>
      <c r="C1131" s="4">
        <f t="shared" ca="1" si="97"/>
        <v>28.65346666666667</v>
      </c>
      <c r="D1131" s="4">
        <f t="shared" ca="1" si="97"/>
        <v>28.662375000000001</v>
      </c>
      <c r="E1131" s="4">
        <f t="shared" ca="1" si="97"/>
        <v>28.658500000000004</v>
      </c>
      <c r="F1131" s="4">
        <f t="shared" ca="1" si="97"/>
        <v>29.376850000000001</v>
      </c>
      <c r="G1131" s="4">
        <f t="shared" ca="1" si="97"/>
        <v>28.300208333333334</v>
      </c>
      <c r="H1131" s="4">
        <f t="shared" ca="1" si="97"/>
        <v>29.240849999999995</v>
      </c>
      <c r="I1131" s="4">
        <f t="shared" ca="1" si="97"/>
        <v>27.904550000000004</v>
      </c>
      <c r="J1131" s="4">
        <f t="shared" ca="1" si="97"/>
        <v>27.754783333333332</v>
      </c>
      <c r="K1131" s="4"/>
      <c r="L1131" s="5">
        <f t="shared" ca="1" si="98"/>
        <v>356.48229999999995</v>
      </c>
      <c r="M1131" s="5">
        <f t="shared" ca="1" si="98"/>
        <v>142.42920000000001</v>
      </c>
      <c r="N1131" s="5">
        <f t="shared" ca="1" si="98"/>
        <v>58.377000000000002</v>
      </c>
      <c r="O1131" s="5">
        <f t="shared" ca="1" si="98"/>
        <v>4.4165999999999999</v>
      </c>
      <c r="P1131" s="5">
        <f t="shared" ca="1" si="98"/>
        <v>15.262199999999998</v>
      </c>
      <c r="Q1131" s="5">
        <f t="shared" ca="1" si="98"/>
        <v>232.44659999999996</v>
      </c>
      <c r="R1131" s="4"/>
      <c r="S1131" s="4"/>
    </row>
    <row r="1132" spans="1:19" ht="15" customHeight="1">
      <c r="A1132" s="3">
        <f t="shared" si="94"/>
        <v>2085</v>
      </c>
      <c r="B1132" s="4">
        <f t="shared" ca="1" si="97"/>
        <v>29.335858333333334</v>
      </c>
      <c r="C1132" s="4">
        <f t="shared" ca="1" si="97"/>
        <v>29.342141666666663</v>
      </c>
      <c r="D1132" s="4">
        <f t="shared" ca="1" si="97"/>
        <v>29.351058333333338</v>
      </c>
      <c r="E1132" s="4">
        <f t="shared" ca="1" si="97"/>
        <v>29.347183333333334</v>
      </c>
      <c r="F1132" s="4">
        <f t="shared" ca="1" si="97"/>
        <v>30.065508333333337</v>
      </c>
      <c r="G1132" s="4">
        <f t="shared" ca="1" si="97"/>
        <v>28.979266666666661</v>
      </c>
      <c r="H1132" s="4">
        <f t="shared" ca="1" si="97"/>
        <v>29.919916666666662</v>
      </c>
      <c r="I1132" s="4">
        <f t="shared" ca="1" si="97"/>
        <v>28.571733333333338</v>
      </c>
      <c r="J1132" s="4">
        <f t="shared" ca="1" si="97"/>
        <v>28.421616666666665</v>
      </c>
      <c r="K1132" s="4"/>
      <c r="L1132" s="5">
        <f t="shared" ca="1" si="98"/>
        <v>355.53689999999995</v>
      </c>
      <c r="M1132" s="5">
        <f t="shared" ca="1" si="98"/>
        <v>142.0401</v>
      </c>
      <c r="N1132" s="5">
        <f t="shared" ca="1" si="98"/>
        <v>58.217499999999994</v>
      </c>
      <c r="O1132" s="5">
        <f t="shared" ca="1" si="98"/>
        <v>4.4046000000000003</v>
      </c>
      <c r="P1132" s="5">
        <f t="shared" ca="1" si="98"/>
        <v>15.220499999999998</v>
      </c>
      <c r="Q1132" s="5">
        <f t="shared" ca="1" si="98"/>
        <v>231.81149999999997</v>
      </c>
      <c r="R1132" s="4"/>
      <c r="S1132" s="4"/>
    </row>
    <row r="1133" spans="1:19" ht="15" customHeight="1">
      <c r="A1133" s="3">
        <f t="shared" si="94"/>
        <v>2086</v>
      </c>
      <c r="B1133" s="4">
        <f t="shared" ca="1" si="97"/>
        <v>30.0411</v>
      </c>
      <c r="C1133" s="4">
        <f t="shared" ca="1" si="97"/>
        <v>30.047374999999999</v>
      </c>
      <c r="D1133" s="4">
        <f t="shared" ca="1" si="97"/>
        <v>30.056283333333329</v>
      </c>
      <c r="E1133" s="4">
        <f t="shared" ca="1" si="97"/>
        <v>30.052400000000002</v>
      </c>
      <c r="F1133" s="4">
        <f t="shared" ca="1" si="97"/>
        <v>30.770749999999996</v>
      </c>
      <c r="G1133" s="4">
        <f t="shared" ca="1" si="97"/>
        <v>29.67464166666667</v>
      </c>
      <c r="H1133" s="4">
        <f t="shared" ca="1" si="97"/>
        <v>30.615308333333335</v>
      </c>
      <c r="I1133" s="4">
        <f t="shared" ca="1" si="97"/>
        <v>29.254941666666671</v>
      </c>
      <c r="J1133" s="4">
        <f t="shared" ca="1" si="97"/>
        <v>29.104483333333331</v>
      </c>
      <c r="K1133" s="4"/>
      <c r="L1133" s="5">
        <f t="shared" ca="1" si="98"/>
        <v>355.53689999999995</v>
      </c>
      <c r="M1133" s="5">
        <f t="shared" ca="1" si="98"/>
        <v>142.0401</v>
      </c>
      <c r="N1133" s="5">
        <f t="shared" ca="1" si="98"/>
        <v>58.217499999999994</v>
      </c>
      <c r="O1133" s="5">
        <f t="shared" ca="1" si="98"/>
        <v>4.4046000000000003</v>
      </c>
      <c r="P1133" s="5">
        <f t="shared" ca="1" si="98"/>
        <v>15.220499999999998</v>
      </c>
      <c r="Q1133" s="5">
        <f t="shared" ca="1" si="98"/>
        <v>231.81149999999997</v>
      </c>
      <c r="R1133" s="4"/>
      <c r="S1133" s="4"/>
    </row>
    <row r="1134" spans="1:19" ht="15" customHeight="1">
      <c r="A1134" s="3">
        <f t="shared" si="94"/>
        <v>2087</v>
      </c>
      <c r="B1134" s="4">
        <f t="shared" ca="1" si="97"/>
        <v>30.763258333333336</v>
      </c>
      <c r="C1134" s="4">
        <f t="shared" ca="1" si="97"/>
        <v>30.769533333333332</v>
      </c>
      <c r="D1134" s="4">
        <f t="shared" ca="1" si="97"/>
        <v>30.778449999999996</v>
      </c>
      <c r="E1134" s="4">
        <f t="shared" ca="1" si="97"/>
        <v>30.774558333333331</v>
      </c>
      <c r="F1134" s="4">
        <f t="shared" ca="1" si="97"/>
        <v>31.492908333333332</v>
      </c>
      <c r="G1134" s="4">
        <f t="shared" ca="1" si="97"/>
        <v>30.386749999999996</v>
      </c>
      <c r="H1134" s="4">
        <f t="shared" ca="1" si="97"/>
        <v>31.327391666666667</v>
      </c>
      <c r="I1134" s="4">
        <f t="shared" ca="1" si="97"/>
        <v>29.954574999999995</v>
      </c>
      <c r="J1134" s="4">
        <f t="shared" ca="1" si="97"/>
        <v>29.803775000000002</v>
      </c>
      <c r="K1134" s="4"/>
      <c r="L1134" s="5">
        <f t="shared" ca="1" si="98"/>
        <v>355.53689999999995</v>
      </c>
      <c r="M1134" s="5">
        <f t="shared" ca="1" si="98"/>
        <v>142.0401</v>
      </c>
      <c r="N1134" s="5">
        <f t="shared" ca="1" si="98"/>
        <v>58.217499999999994</v>
      </c>
      <c r="O1134" s="5">
        <f t="shared" ca="1" si="98"/>
        <v>4.4046000000000003</v>
      </c>
      <c r="P1134" s="5">
        <f t="shared" ca="1" si="98"/>
        <v>15.220499999999998</v>
      </c>
      <c r="Q1134" s="5">
        <f t="shared" ca="1" si="98"/>
        <v>231.81149999999997</v>
      </c>
      <c r="R1134" s="4"/>
      <c r="S1134" s="4"/>
    </row>
    <row r="1135" spans="1:19" ht="15" customHeight="1">
      <c r="A1135" s="3">
        <f t="shared" si="94"/>
        <v>2088</v>
      </c>
      <c r="B1135" s="4">
        <f t="shared" ca="1" si="97"/>
        <v>31.50276666666667</v>
      </c>
      <c r="C1135" s="4">
        <f t="shared" ca="1" si="97"/>
        <v>31.509058333333332</v>
      </c>
      <c r="D1135" s="4">
        <f t="shared" ca="1" si="97"/>
        <v>31.517966666666666</v>
      </c>
      <c r="E1135" s="4">
        <f t="shared" ca="1" si="97"/>
        <v>31.514091666666669</v>
      </c>
      <c r="F1135" s="4">
        <f t="shared" ca="1" si="97"/>
        <v>32.232424999999999</v>
      </c>
      <c r="G1135" s="4">
        <f t="shared" ca="1" si="97"/>
        <v>31.115941666666668</v>
      </c>
      <c r="H1135" s="4">
        <f t="shared" ca="1" si="97"/>
        <v>32.056608333333337</v>
      </c>
      <c r="I1135" s="4">
        <f t="shared" ca="1" si="97"/>
        <v>30.671016666666663</v>
      </c>
      <c r="J1135" s="4">
        <f t="shared" ca="1" si="97"/>
        <v>30.519858333333332</v>
      </c>
      <c r="K1135" s="4"/>
      <c r="L1135" s="5">
        <f t="shared" ca="1" si="98"/>
        <v>356.48229999999995</v>
      </c>
      <c r="M1135" s="5">
        <f t="shared" ca="1" si="98"/>
        <v>142.42920000000001</v>
      </c>
      <c r="N1135" s="5">
        <f t="shared" ca="1" si="98"/>
        <v>58.377000000000002</v>
      </c>
      <c r="O1135" s="5">
        <f t="shared" ca="1" si="98"/>
        <v>4.4165999999999999</v>
      </c>
      <c r="P1135" s="5">
        <f t="shared" ca="1" si="98"/>
        <v>15.262199999999998</v>
      </c>
      <c r="Q1135" s="5">
        <f t="shared" ca="1" si="98"/>
        <v>232.44659999999996</v>
      </c>
      <c r="R1135" s="4"/>
      <c r="S1135" s="4"/>
    </row>
    <row r="1136" spans="1:19" ht="15" customHeight="1">
      <c r="A1136" s="3">
        <f t="shared" si="94"/>
        <v>2089</v>
      </c>
      <c r="B1136" s="4">
        <f t="shared" ca="1" si="97"/>
        <v>32.260083333333334</v>
      </c>
      <c r="C1136" s="4">
        <f t="shared" ca="1" si="97"/>
        <v>32.266358333333336</v>
      </c>
      <c r="D1136" s="4">
        <f t="shared" ca="1" si="97"/>
        <v>32.275266666666667</v>
      </c>
      <c r="E1136" s="4">
        <f t="shared" ca="1" si="97"/>
        <v>32.271391666666666</v>
      </c>
      <c r="F1136" s="4">
        <f t="shared" ca="1" si="97"/>
        <v>32.989741666666667</v>
      </c>
      <c r="G1136" s="4">
        <f t="shared" ca="1" si="97"/>
        <v>31.862674999999996</v>
      </c>
      <c r="H1136" s="4">
        <f t="shared" ca="1" si="97"/>
        <v>32.803333333333335</v>
      </c>
      <c r="I1136" s="4">
        <f t="shared" ca="1" si="97"/>
        <v>31.40465</v>
      </c>
      <c r="J1136" s="4">
        <f t="shared" ca="1" si="97"/>
        <v>31.253133333333338</v>
      </c>
      <c r="K1136" s="4"/>
      <c r="L1136" s="5">
        <f t="shared" ca="1" si="98"/>
        <v>355.53689999999995</v>
      </c>
      <c r="M1136" s="5">
        <f t="shared" ca="1" si="98"/>
        <v>142.0401</v>
      </c>
      <c r="N1136" s="5">
        <f t="shared" ca="1" si="98"/>
        <v>58.217499999999994</v>
      </c>
      <c r="O1136" s="5">
        <f t="shared" ca="1" si="98"/>
        <v>4.4046000000000003</v>
      </c>
      <c r="P1136" s="5">
        <f t="shared" ca="1" si="98"/>
        <v>15.220499999999998</v>
      </c>
      <c r="Q1136" s="5">
        <f t="shared" ca="1" si="98"/>
        <v>231.81149999999997</v>
      </c>
      <c r="R1136" s="4"/>
      <c r="S1136" s="4"/>
    </row>
    <row r="1137" spans="1:19" ht="15" customHeight="1">
      <c r="A1137" s="3">
        <f t="shared" si="94"/>
        <v>2090</v>
      </c>
      <c r="B1137" s="4">
        <f t="shared" ca="1" si="97"/>
        <v>33.035558333333334</v>
      </c>
      <c r="C1137" s="4">
        <f t="shared" ca="1" si="97"/>
        <v>33.04184166666667</v>
      </c>
      <c r="D1137" s="4">
        <f t="shared" ca="1" si="97"/>
        <v>33.050758333333334</v>
      </c>
      <c r="E1137" s="4">
        <f t="shared" ca="1" si="97"/>
        <v>33.046874999999993</v>
      </c>
      <c r="F1137" s="4">
        <f t="shared" ca="1" si="97"/>
        <v>33.7652</v>
      </c>
      <c r="G1137" s="4">
        <f t="shared" ca="1" si="97"/>
        <v>32.62735</v>
      </c>
      <c r="H1137" s="4">
        <f t="shared" ca="1" si="97"/>
        <v>33.568008333333331</v>
      </c>
      <c r="I1137" s="4">
        <f t="shared" ca="1" si="97"/>
        <v>32.155941666666664</v>
      </c>
      <c r="J1137" s="4">
        <f t="shared" ca="1" si="97"/>
        <v>32.004024999999999</v>
      </c>
      <c r="K1137" s="4"/>
      <c r="L1137" s="5">
        <f t="shared" ca="1" si="98"/>
        <v>355.53689999999995</v>
      </c>
      <c r="M1137" s="5">
        <f t="shared" ca="1" si="98"/>
        <v>142.0401</v>
      </c>
      <c r="N1137" s="5">
        <f t="shared" ca="1" si="98"/>
        <v>58.217499999999994</v>
      </c>
      <c r="O1137" s="5">
        <f t="shared" ca="1" si="98"/>
        <v>4.4046000000000003</v>
      </c>
      <c r="P1137" s="5">
        <f t="shared" ca="1" si="98"/>
        <v>15.220499999999998</v>
      </c>
      <c r="Q1137" s="5">
        <f t="shared" ca="1" si="98"/>
        <v>231.81149999999997</v>
      </c>
      <c r="R1137" s="4"/>
      <c r="S1137" s="4"/>
    </row>
    <row r="1138" spans="1:19" ht="15" customHeight="1">
      <c r="A1138" s="3">
        <f t="shared" si="94"/>
        <v>2091</v>
      </c>
      <c r="B1138" s="4">
        <f t="shared" ca="1" si="97"/>
        <v>33.829691666666669</v>
      </c>
      <c r="C1138" s="4">
        <f t="shared" ca="1" si="97"/>
        <v>33.835966666666671</v>
      </c>
      <c r="D1138" s="4">
        <f t="shared" ca="1" si="97"/>
        <v>33.844866666666668</v>
      </c>
      <c r="E1138" s="4">
        <f t="shared" ca="1" si="97"/>
        <v>33.841000000000001</v>
      </c>
      <c r="F1138" s="4">
        <f t="shared" ca="1" si="97"/>
        <v>34.559316666666668</v>
      </c>
      <c r="G1138" s="4">
        <f t="shared" ca="1" si="97"/>
        <v>33.410375000000002</v>
      </c>
      <c r="H1138" s="4">
        <f t="shared" ca="1" si="97"/>
        <v>34.351025000000007</v>
      </c>
      <c r="I1138" s="4">
        <f t="shared" ca="1" si="97"/>
        <v>32.925274999999992</v>
      </c>
      <c r="J1138" s="4">
        <f t="shared" ca="1" si="97"/>
        <v>32.772975000000002</v>
      </c>
      <c r="K1138" s="4"/>
      <c r="L1138" s="5">
        <f t="shared" ca="1" si="98"/>
        <v>355.53689999999995</v>
      </c>
      <c r="M1138" s="5">
        <f t="shared" ca="1" si="98"/>
        <v>142.0401</v>
      </c>
      <c r="N1138" s="5">
        <f t="shared" ca="1" si="98"/>
        <v>58.217499999999994</v>
      </c>
      <c r="O1138" s="5">
        <f t="shared" ca="1" si="98"/>
        <v>4.4046000000000003</v>
      </c>
      <c r="P1138" s="5">
        <f t="shared" ca="1" si="98"/>
        <v>15.220499999999998</v>
      </c>
      <c r="Q1138" s="5">
        <f t="shared" ca="1" si="98"/>
        <v>231.81149999999997</v>
      </c>
      <c r="R1138" s="4"/>
      <c r="S1138" s="4"/>
    </row>
    <row r="1139" spans="1:19" ht="15" customHeight="1">
      <c r="A1139" s="3">
        <f t="shared" si="94"/>
        <v>2092</v>
      </c>
      <c r="B1139" s="4">
        <f t="shared" ref="B1139:J1147" ca="1" si="99">AVERAGE(OFFSET(B$592,($A1139-$A$1109)*12,0,12,1))</f>
        <v>34.642849999999996</v>
      </c>
      <c r="C1139" s="4">
        <f t="shared" ca="1" si="99"/>
        <v>34.649133333333332</v>
      </c>
      <c r="D1139" s="4">
        <f t="shared" ca="1" si="99"/>
        <v>34.65806666666667</v>
      </c>
      <c r="E1139" s="4">
        <f t="shared" ca="1" si="99"/>
        <v>34.654183333333336</v>
      </c>
      <c r="F1139" s="4">
        <f t="shared" ca="1" si="99"/>
        <v>35.372533333333337</v>
      </c>
      <c r="G1139" s="4">
        <f t="shared" ca="1" si="99"/>
        <v>34.212233333333337</v>
      </c>
      <c r="H1139" s="4">
        <f t="shared" ca="1" si="99"/>
        <v>35.152883333333335</v>
      </c>
      <c r="I1139" s="4">
        <f t="shared" ca="1" si="99"/>
        <v>33.713091666666664</v>
      </c>
      <c r="J1139" s="4">
        <f t="shared" ca="1" si="99"/>
        <v>33.560383333333334</v>
      </c>
      <c r="K1139" s="4"/>
      <c r="L1139" s="5">
        <f t="shared" ref="L1139:Q1147" ca="1" si="100">SUM(OFFSET(L$592,($A1139-$A$1109)*12,0,12,1))</f>
        <v>356.48229999999995</v>
      </c>
      <c r="M1139" s="5">
        <f t="shared" ca="1" si="100"/>
        <v>142.42920000000001</v>
      </c>
      <c r="N1139" s="5">
        <f t="shared" ca="1" si="100"/>
        <v>58.377000000000002</v>
      </c>
      <c r="O1139" s="5">
        <f t="shared" ca="1" si="100"/>
        <v>4.4165999999999999</v>
      </c>
      <c r="P1139" s="5">
        <f t="shared" ca="1" si="100"/>
        <v>15.262199999999998</v>
      </c>
      <c r="Q1139" s="5">
        <f t="shared" ca="1" si="100"/>
        <v>232.44659999999996</v>
      </c>
      <c r="R1139" s="4"/>
      <c r="S1139" s="4"/>
    </row>
    <row r="1140" spans="1:19" ht="15" customHeight="1">
      <c r="A1140" s="3">
        <f t="shared" si="94"/>
        <v>2093</v>
      </c>
      <c r="B1140" s="4">
        <f t="shared" ca="1" si="99"/>
        <v>35.475608333333334</v>
      </c>
      <c r="C1140" s="4">
        <f t="shared" ca="1" si="99"/>
        <v>35.481891666666662</v>
      </c>
      <c r="D1140" s="4">
        <f t="shared" ca="1" si="99"/>
        <v>35.490808333333334</v>
      </c>
      <c r="E1140" s="4">
        <f t="shared" ca="1" si="99"/>
        <v>35.486933333333333</v>
      </c>
      <c r="F1140" s="4">
        <f t="shared" ca="1" si="99"/>
        <v>36.205274999999993</v>
      </c>
      <c r="G1140" s="4">
        <f t="shared" ca="1" si="99"/>
        <v>35.033341666666665</v>
      </c>
      <c r="H1140" s="4">
        <f t="shared" ca="1" si="99"/>
        <v>35.974016666666664</v>
      </c>
      <c r="I1140" s="4">
        <f t="shared" ca="1" si="99"/>
        <v>34.519833333333331</v>
      </c>
      <c r="J1140" s="4">
        <f t="shared" ca="1" si="99"/>
        <v>34.36674166666667</v>
      </c>
      <c r="K1140" s="4"/>
      <c r="L1140" s="5">
        <f t="shared" ca="1" si="100"/>
        <v>355.53689999999995</v>
      </c>
      <c r="M1140" s="5">
        <f t="shared" ca="1" si="100"/>
        <v>142.0401</v>
      </c>
      <c r="N1140" s="5">
        <f t="shared" ca="1" si="100"/>
        <v>58.217499999999994</v>
      </c>
      <c r="O1140" s="5">
        <f t="shared" ca="1" si="100"/>
        <v>4.4046000000000003</v>
      </c>
      <c r="P1140" s="5">
        <f t="shared" ca="1" si="100"/>
        <v>15.220499999999998</v>
      </c>
      <c r="Q1140" s="5">
        <f t="shared" ca="1" si="100"/>
        <v>231.81149999999997</v>
      </c>
      <c r="R1140" s="4"/>
      <c r="S1140" s="4"/>
    </row>
    <row r="1141" spans="1:19" ht="15" customHeight="1">
      <c r="A1141" s="3">
        <f t="shared" si="94"/>
        <v>2094</v>
      </c>
      <c r="B1141" s="4">
        <f t="shared" ca="1" si="99"/>
        <v>36.328358333333327</v>
      </c>
      <c r="C1141" s="4">
        <f t="shared" ca="1" si="99"/>
        <v>36.334633333333336</v>
      </c>
      <c r="D1141" s="4">
        <f t="shared" ca="1" si="99"/>
        <v>36.343549999999993</v>
      </c>
      <c r="E1141" s="4">
        <f t="shared" ca="1" si="99"/>
        <v>36.339666666666666</v>
      </c>
      <c r="F1141" s="4">
        <f t="shared" ca="1" si="99"/>
        <v>37.058016666666667</v>
      </c>
      <c r="G1141" s="4">
        <f t="shared" ca="1" si="99"/>
        <v>35.874208333333335</v>
      </c>
      <c r="H1141" s="4">
        <f t="shared" ca="1" si="99"/>
        <v>36.81485</v>
      </c>
      <c r="I1141" s="4">
        <f t="shared" ca="1" si="99"/>
        <v>35.345949999999995</v>
      </c>
      <c r="J1141" s="4">
        <f t="shared" ca="1" si="99"/>
        <v>35.192458333333335</v>
      </c>
      <c r="K1141" s="4"/>
      <c r="L1141" s="5">
        <f t="shared" ca="1" si="100"/>
        <v>355.53689999999995</v>
      </c>
      <c r="M1141" s="5">
        <f t="shared" ca="1" si="100"/>
        <v>142.0401</v>
      </c>
      <c r="N1141" s="5">
        <f t="shared" ca="1" si="100"/>
        <v>58.217499999999994</v>
      </c>
      <c r="O1141" s="5">
        <f t="shared" ca="1" si="100"/>
        <v>4.4046000000000003</v>
      </c>
      <c r="P1141" s="5">
        <f t="shared" ca="1" si="100"/>
        <v>15.220499999999998</v>
      </c>
      <c r="Q1141" s="5">
        <f t="shared" ca="1" si="100"/>
        <v>231.81149999999997</v>
      </c>
      <c r="R1141" s="4"/>
      <c r="S1141" s="4"/>
    </row>
    <row r="1142" spans="1:19" ht="15" customHeight="1">
      <c r="A1142" s="3">
        <f t="shared" si="94"/>
        <v>2095</v>
      </c>
      <c r="B1142" s="4">
        <f t="shared" ca="1" si="99"/>
        <v>37.201591666666666</v>
      </c>
      <c r="C1142" s="4">
        <f t="shared" ca="1" si="99"/>
        <v>37.207875000000001</v>
      </c>
      <c r="D1142" s="4">
        <f t="shared" ca="1" si="99"/>
        <v>37.216766666666672</v>
      </c>
      <c r="E1142" s="4">
        <f t="shared" ca="1" si="99"/>
        <v>37.212891666666664</v>
      </c>
      <c r="F1142" s="4">
        <f t="shared" ca="1" si="99"/>
        <v>37.931249999999999</v>
      </c>
      <c r="G1142" s="4">
        <f t="shared" ca="1" si="99"/>
        <v>36.735258333333341</v>
      </c>
      <c r="H1142" s="4">
        <f t="shared" ca="1" si="99"/>
        <v>37.675899999999999</v>
      </c>
      <c r="I1142" s="4">
        <f t="shared" ca="1" si="99"/>
        <v>36.191908333333338</v>
      </c>
      <c r="J1142" s="4">
        <f t="shared" ca="1" si="99"/>
        <v>36.038016666666664</v>
      </c>
      <c r="K1142" s="4"/>
      <c r="L1142" s="5">
        <f t="shared" ca="1" si="100"/>
        <v>355.53689999999995</v>
      </c>
      <c r="M1142" s="5">
        <f t="shared" ca="1" si="100"/>
        <v>142.0401</v>
      </c>
      <c r="N1142" s="5">
        <f t="shared" ca="1" si="100"/>
        <v>58.217499999999994</v>
      </c>
      <c r="O1142" s="5">
        <f t="shared" ca="1" si="100"/>
        <v>4.4046000000000003</v>
      </c>
      <c r="P1142" s="5">
        <f t="shared" ca="1" si="100"/>
        <v>15.220499999999998</v>
      </c>
      <c r="Q1142" s="5">
        <f t="shared" ca="1" si="100"/>
        <v>231.81149999999997</v>
      </c>
      <c r="R1142" s="4"/>
      <c r="S1142" s="4"/>
    </row>
    <row r="1143" spans="1:19" ht="15" customHeight="1">
      <c r="A1143" s="3">
        <f t="shared" si="94"/>
        <v>2096</v>
      </c>
      <c r="B1143" s="4">
        <f t="shared" ca="1" si="99"/>
        <v>38.095808333333331</v>
      </c>
      <c r="C1143" s="4">
        <f t="shared" ca="1" si="99"/>
        <v>38.102091666666659</v>
      </c>
      <c r="D1143" s="4">
        <f t="shared" ca="1" si="99"/>
        <v>38.111000000000004</v>
      </c>
      <c r="E1143" s="4">
        <f t="shared" ca="1" si="99"/>
        <v>38.107116666666663</v>
      </c>
      <c r="F1143" s="4">
        <f t="shared" ca="1" si="99"/>
        <v>38.825475000000004</v>
      </c>
      <c r="G1143" s="4">
        <f t="shared" ca="1" si="99"/>
        <v>37.616991666666671</v>
      </c>
      <c r="H1143" s="4">
        <f t="shared" ca="1" si="99"/>
        <v>38.557633333333335</v>
      </c>
      <c r="I1143" s="4">
        <f t="shared" ca="1" si="99"/>
        <v>37.058225000000007</v>
      </c>
      <c r="J1143" s="4">
        <f t="shared" ca="1" si="99"/>
        <v>36.903866666666673</v>
      </c>
      <c r="K1143" s="4"/>
      <c r="L1143" s="5">
        <f t="shared" ca="1" si="100"/>
        <v>356.48229999999995</v>
      </c>
      <c r="M1143" s="5">
        <f t="shared" ca="1" si="100"/>
        <v>142.42920000000001</v>
      </c>
      <c r="N1143" s="5">
        <f t="shared" ca="1" si="100"/>
        <v>58.377000000000002</v>
      </c>
      <c r="O1143" s="5">
        <f t="shared" ca="1" si="100"/>
        <v>4.4165999999999999</v>
      </c>
      <c r="P1143" s="5">
        <f t="shared" ca="1" si="100"/>
        <v>15.262199999999998</v>
      </c>
      <c r="Q1143" s="5">
        <f t="shared" ca="1" si="100"/>
        <v>232.44659999999996</v>
      </c>
      <c r="R1143" s="4"/>
      <c r="S1143" s="4"/>
    </row>
    <row r="1144" spans="1:19" ht="15" customHeight="1">
      <c r="A1144" s="3">
        <f t="shared" si="94"/>
        <v>2097</v>
      </c>
      <c r="B1144" s="4">
        <f t="shared" ca="1" si="99"/>
        <v>39.011516666666665</v>
      </c>
      <c r="C1144" s="4">
        <f t="shared" ca="1" si="99"/>
        <v>39.017800000000008</v>
      </c>
      <c r="D1144" s="4">
        <f t="shared" ca="1" si="99"/>
        <v>39.026708333333332</v>
      </c>
      <c r="E1144" s="4">
        <f t="shared" ca="1" si="99"/>
        <v>39.022841666666665</v>
      </c>
      <c r="F1144" s="4">
        <f t="shared" ca="1" si="99"/>
        <v>39.741174999999998</v>
      </c>
      <c r="G1144" s="4">
        <f t="shared" ca="1" si="99"/>
        <v>38.519933333333334</v>
      </c>
      <c r="H1144" s="4">
        <f t="shared" ca="1" si="99"/>
        <v>39.460558333333331</v>
      </c>
      <c r="I1144" s="4">
        <f t="shared" ca="1" si="99"/>
        <v>37.945366666666665</v>
      </c>
      <c r="J1144" s="4">
        <f t="shared" ca="1" si="99"/>
        <v>37.790541666666662</v>
      </c>
      <c r="K1144" s="4"/>
      <c r="L1144" s="5">
        <f t="shared" ca="1" si="100"/>
        <v>355.53689999999995</v>
      </c>
      <c r="M1144" s="5">
        <f t="shared" ca="1" si="100"/>
        <v>142.0401</v>
      </c>
      <c r="N1144" s="5">
        <f t="shared" ca="1" si="100"/>
        <v>58.217499999999994</v>
      </c>
      <c r="O1144" s="5">
        <f t="shared" ca="1" si="100"/>
        <v>4.4046000000000003</v>
      </c>
      <c r="P1144" s="5">
        <f t="shared" ca="1" si="100"/>
        <v>15.220499999999998</v>
      </c>
      <c r="Q1144" s="5">
        <f t="shared" ca="1" si="100"/>
        <v>231.81149999999997</v>
      </c>
      <c r="R1144" s="4"/>
      <c r="S1144" s="4"/>
    </row>
    <row r="1145" spans="1:19" ht="15" customHeight="1">
      <c r="A1145" s="3">
        <f t="shared" si="94"/>
        <v>2098</v>
      </c>
      <c r="B1145" s="4">
        <f t="shared" ca="1" si="99"/>
        <v>39.949208333333331</v>
      </c>
      <c r="C1145" s="4">
        <f t="shared" ca="1" si="99"/>
        <v>39.955483333333341</v>
      </c>
      <c r="D1145" s="4">
        <f t="shared" ca="1" si="99"/>
        <v>39.964408333333331</v>
      </c>
      <c r="E1145" s="4">
        <f t="shared" ca="1" si="99"/>
        <v>39.960533333333338</v>
      </c>
      <c r="F1145" s="4">
        <f t="shared" ca="1" si="99"/>
        <v>40.678866666666664</v>
      </c>
      <c r="G1145" s="4">
        <f t="shared" ca="1" si="99"/>
        <v>39.44455</v>
      </c>
      <c r="H1145" s="4">
        <f t="shared" ca="1" si="99"/>
        <v>40.385191666666671</v>
      </c>
      <c r="I1145" s="4">
        <f t="shared" ca="1" si="99"/>
        <v>38.85378333333334</v>
      </c>
      <c r="J1145" s="4">
        <f t="shared" ca="1" si="99"/>
        <v>38.698525000000004</v>
      </c>
      <c r="K1145" s="4"/>
      <c r="L1145" s="5">
        <f t="shared" ca="1" si="100"/>
        <v>355.53689999999995</v>
      </c>
      <c r="M1145" s="5">
        <f t="shared" ca="1" si="100"/>
        <v>142.0401</v>
      </c>
      <c r="N1145" s="5">
        <f t="shared" ca="1" si="100"/>
        <v>58.217499999999994</v>
      </c>
      <c r="O1145" s="5">
        <f t="shared" ca="1" si="100"/>
        <v>4.4046000000000003</v>
      </c>
      <c r="P1145" s="5">
        <f t="shared" ca="1" si="100"/>
        <v>15.220499999999998</v>
      </c>
      <c r="Q1145" s="5">
        <f t="shared" ca="1" si="100"/>
        <v>231.81149999999997</v>
      </c>
      <c r="R1145" s="4"/>
      <c r="S1145" s="4"/>
    </row>
    <row r="1146" spans="1:19" ht="15" customHeight="1">
      <c r="A1146" s="3">
        <f t="shared" si="94"/>
        <v>2099</v>
      </c>
      <c r="B1146" s="4">
        <f t="shared" ca="1" si="99"/>
        <v>40.909458333333333</v>
      </c>
      <c r="C1146" s="4">
        <f t="shared" ca="1" si="99"/>
        <v>40.915741666666669</v>
      </c>
      <c r="D1146" s="4">
        <f t="shared" ca="1" si="99"/>
        <v>40.92465</v>
      </c>
      <c r="E1146" s="4">
        <f t="shared" ca="1" si="99"/>
        <v>40.920758333333339</v>
      </c>
      <c r="F1146" s="4">
        <f t="shared" ca="1" si="99"/>
        <v>41.639108333333333</v>
      </c>
      <c r="G1146" s="4">
        <f t="shared" ca="1" si="99"/>
        <v>40.391391666666671</v>
      </c>
      <c r="H1146" s="4">
        <f t="shared" ca="1" si="99"/>
        <v>41.332033333333335</v>
      </c>
      <c r="I1146" s="4">
        <f t="shared" ca="1" si="99"/>
        <v>39.784050000000001</v>
      </c>
      <c r="J1146" s="4">
        <f t="shared" ca="1" si="99"/>
        <v>39.628325000000004</v>
      </c>
      <c r="K1146" s="4"/>
      <c r="L1146" s="5">
        <f t="shared" ca="1" si="100"/>
        <v>355.53689999999995</v>
      </c>
      <c r="M1146" s="5">
        <f t="shared" ca="1" si="100"/>
        <v>142.0401</v>
      </c>
      <c r="N1146" s="5">
        <f t="shared" ca="1" si="100"/>
        <v>58.217499999999994</v>
      </c>
      <c r="O1146" s="5">
        <f t="shared" ca="1" si="100"/>
        <v>4.4046000000000003</v>
      </c>
      <c r="P1146" s="5">
        <f t="shared" ca="1" si="100"/>
        <v>15.220499999999998</v>
      </c>
      <c r="Q1146" s="5">
        <f t="shared" ca="1" si="100"/>
        <v>231.81149999999997</v>
      </c>
      <c r="R1146" s="4"/>
      <c r="S1146" s="4"/>
    </row>
    <row r="1147" spans="1:19" ht="15" customHeight="1">
      <c r="A1147" s="3">
        <f t="shared" si="94"/>
        <v>2100</v>
      </c>
      <c r="B1147" s="4">
        <f t="shared" ca="1" si="99"/>
        <v>41.892758333333326</v>
      </c>
      <c r="C1147" s="4">
        <f t="shared" ca="1" si="99"/>
        <v>41.899041666666662</v>
      </c>
      <c r="D1147" s="4">
        <f t="shared" ca="1" si="99"/>
        <v>41.907983333333327</v>
      </c>
      <c r="E1147" s="4">
        <f t="shared" ca="1" si="99"/>
        <v>41.904091666666666</v>
      </c>
      <c r="F1147" s="4">
        <f t="shared" ca="1" si="99"/>
        <v>42.622425</v>
      </c>
      <c r="G1147" s="4">
        <f t="shared" ca="1" si="99"/>
        <v>41.360974999999996</v>
      </c>
      <c r="H1147" s="4">
        <f t="shared" ca="1" si="99"/>
        <v>42.301633333333328</v>
      </c>
      <c r="I1147" s="4">
        <f t="shared" ca="1" si="99"/>
        <v>40.736666666666665</v>
      </c>
      <c r="J1147" s="4">
        <f t="shared" ca="1" si="99"/>
        <v>40.580466666666659</v>
      </c>
      <c r="K1147" s="4"/>
      <c r="L1147" s="5">
        <f t="shared" ca="1" si="100"/>
        <v>355.53689999999995</v>
      </c>
      <c r="M1147" s="5">
        <f t="shared" ca="1" si="100"/>
        <v>142.0401</v>
      </c>
      <c r="N1147" s="5">
        <f t="shared" ca="1" si="100"/>
        <v>58.217499999999994</v>
      </c>
      <c r="O1147" s="5">
        <f t="shared" ca="1" si="100"/>
        <v>4.4046000000000003</v>
      </c>
      <c r="P1147" s="5">
        <f t="shared" ca="1" si="100"/>
        <v>15.220499999999998</v>
      </c>
      <c r="Q1147" s="5">
        <f t="shared" ca="1" si="100"/>
        <v>231.81149999999997</v>
      </c>
      <c r="R1147" s="4"/>
      <c r="S1147" s="4"/>
    </row>
    <row r="1148" spans="1:19">
      <c r="A1148" s="3"/>
    </row>
    <row r="1149" spans="1:19">
      <c r="A1149" s="3"/>
    </row>
    <row r="1150" spans="1:19">
      <c r="A1150" s="3"/>
    </row>
    <row r="1151" spans="1:19">
      <c r="A1151" s="3"/>
    </row>
    <row r="1152" spans="1:19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</sheetData>
  <mergeCells count="2">
    <mergeCell ref="L12:S12"/>
    <mergeCell ref="L13:S13"/>
  </mergeCells>
  <pageMargins left="0.25" right="0.25" top="0.5" bottom="0.5" header="0.25" footer="0.25"/>
  <pageSetup paperSize="5" scale="7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10</xdr:row>
                    <xdr:rowOff>171450</xdr:rowOff>
                  </from>
                  <to>
                    <xdr:col>4</xdr:col>
                    <xdr:colOff>533400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10</xdr:row>
                    <xdr:rowOff>171450</xdr:rowOff>
                  </from>
                  <to>
                    <xdr:col>6</xdr:col>
                    <xdr:colOff>257175</xdr:colOff>
                    <xdr:row>12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68"/>
  <sheetViews>
    <sheetView zoomScale="70" zoomScaleNormal="70" workbookViewId="0">
      <pane xSplit="1" ySplit="16" topLeftCell="B17" activePane="bottomRight" state="frozen"/>
      <selection activeCell="C5" sqref="C5"/>
      <selection pane="topRight" activeCell="C5" sqref="C5"/>
      <selection pane="bottomLeft" activeCell="C5" sqref="C5"/>
      <selection pane="bottomRight" activeCell="B17" sqref="B17"/>
    </sheetView>
  </sheetViews>
  <sheetFormatPr defaultColWidth="7.109375" defaultRowHeight="12.75"/>
  <cols>
    <col min="1" max="1" width="7.5546875" style="35" bestFit="1" customWidth="1"/>
    <col min="2" max="2" width="7.88671875" style="35" customWidth="1"/>
    <col min="3" max="7" width="11.33203125" style="34" customWidth="1"/>
    <col min="8" max="8" width="12.77734375" style="34" bestFit="1" customWidth="1"/>
    <col min="9" max="9" width="13.21875" style="34" customWidth="1"/>
    <col min="10" max="10" width="12.77734375" style="34" customWidth="1"/>
    <col min="11" max="11" width="7.77734375" style="34" customWidth="1"/>
    <col min="12" max="16384" width="7.109375" style="34"/>
  </cols>
  <sheetData>
    <row r="1" spans="1:10" ht="15.75">
      <c r="A1" s="92" t="s">
        <v>65</v>
      </c>
    </row>
    <row r="2" spans="1:10" ht="15.75">
      <c r="A2" s="92" t="s">
        <v>66</v>
      </c>
    </row>
    <row r="3" spans="1:10" ht="15.75">
      <c r="A3" s="92" t="s">
        <v>67</v>
      </c>
    </row>
    <row r="4" spans="1:10" ht="15.75">
      <c r="A4" s="92" t="s">
        <v>68</v>
      </c>
    </row>
    <row r="5" spans="1:10" ht="15.75">
      <c r="A5" s="92" t="s">
        <v>69</v>
      </c>
    </row>
    <row r="6" spans="1:10" ht="15.75">
      <c r="A6" s="92" t="s">
        <v>71</v>
      </c>
    </row>
    <row r="7" spans="1:10" ht="15.75">
      <c r="A7" s="92"/>
    </row>
    <row r="8" spans="1:10" s="62" customFormat="1" ht="20.25">
      <c r="A8" s="88" t="s">
        <v>35</v>
      </c>
      <c r="B8" s="89"/>
    </row>
    <row r="9" spans="1:10" s="62" customFormat="1" ht="15.75">
      <c r="A9" s="59" t="s">
        <v>25</v>
      </c>
      <c r="B9" s="89"/>
    </row>
    <row r="11" spans="1:10">
      <c r="A11" s="34"/>
    </row>
    <row r="12" spans="1:10" ht="15.75">
      <c r="A12" s="34"/>
      <c r="B12" s="33"/>
      <c r="C12" s="55"/>
      <c r="I12" s="27"/>
    </row>
    <row r="13" spans="1:10" ht="15.75">
      <c r="A13" s="33"/>
      <c r="B13" s="33"/>
      <c r="C13" s="55"/>
      <c r="I13" s="27"/>
    </row>
    <row r="14" spans="1:10" ht="15.75">
      <c r="A14" s="33"/>
      <c r="C14" s="94" t="s">
        <v>34</v>
      </c>
      <c r="D14" s="94"/>
      <c r="E14" s="94"/>
      <c r="F14" s="54"/>
      <c r="G14" s="53"/>
      <c r="H14" s="52"/>
      <c r="I14" s="51"/>
    </row>
    <row r="15" spans="1:10" ht="97.9" customHeight="1">
      <c r="A15" s="21"/>
      <c r="B15" s="21"/>
      <c r="C15" s="24" t="s">
        <v>20</v>
      </c>
      <c r="D15" s="50" t="s">
        <v>19</v>
      </c>
      <c r="E15" s="24" t="s">
        <v>33</v>
      </c>
      <c r="F15" s="24" t="s">
        <v>32</v>
      </c>
      <c r="G15" s="24" t="s">
        <v>16</v>
      </c>
      <c r="H15" s="49" t="s">
        <v>31</v>
      </c>
      <c r="I15" s="24" t="s">
        <v>30</v>
      </c>
      <c r="J15" s="24" t="s">
        <v>29</v>
      </c>
    </row>
    <row r="16" spans="1:10" ht="15.75">
      <c r="A16" s="23" t="s">
        <v>2</v>
      </c>
      <c r="B16" s="23" t="s">
        <v>28</v>
      </c>
      <c r="C16" s="23" t="s">
        <v>27</v>
      </c>
      <c r="D16" s="23" t="s">
        <v>27</v>
      </c>
      <c r="E16" s="23" t="s">
        <v>27</v>
      </c>
      <c r="F16" s="23" t="s">
        <v>27</v>
      </c>
      <c r="G16" s="23" t="s">
        <v>27</v>
      </c>
      <c r="H16" s="48" t="s">
        <v>27</v>
      </c>
      <c r="I16" s="23" t="s">
        <v>27</v>
      </c>
      <c r="J16" s="23" t="s">
        <v>27</v>
      </c>
    </row>
    <row r="17" spans="1:20" ht="15.75">
      <c r="A17" s="13">
        <v>41640</v>
      </c>
      <c r="B17" s="46">
        <v>31</v>
      </c>
      <c r="C17" s="37">
        <v>122.58</v>
      </c>
      <c r="D17" s="37">
        <v>297.94099999999997</v>
      </c>
      <c r="E17" s="43">
        <v>729.47900000000004</v>
      </c>
      <c r="F17" s="37">
        <v>1150</v>
      </c>
      <c r="G17" s="37">
        <v>100</v>
      </c>
      <c r="H17" s="45"/>
      <c r="I17" s="37">
        <v>695</v>
      </c>
      <c r="J17" s="37">
        <v>50</v>
      </c>
      <c r="K17" s="38"/>
      <c r="L17" s="47"/>
      <c r="M17" s="38"/>
      <c r="N17" s="38"/>
      <c r="O17" s="38"/>
      <c r="P17" s="38"/>
      <c r="Q17" s="38"/>
      <c r="R17" s="38"/>
      <c r="S17" s="38"/>
      <c r="T17" s="38"/>
    </row>
    <row r="18" spans="1:20" ht="15.75">
      <c r="A18" s="13">
        <v>41671</v>
      </c>
      <c r="B18" s="46">
        <v>30</v>
      </c>
      <c r="C18" s="37">
        <v>122.58</v>
      </c>
      <c r="D18" s="37">
        <v>297.94099999999997</v>
      </c>
      <c r="E18" s="43">
        <v>729.47900000000004</v>
      </c>
      <c r="F18" s="37">
        <v>1150</v>
      </c>
      <c r="G18" s="37">
        <v>100</v>
      </c>
      <c r="H18" s="45"/>
      <c r="I18" s="37">
        <v>695</v>
      </c>
      <c r="J18" s="37">
        <v>50</v>
      </c>
      <c r="K18" s="38"/>
      <c r="L18" s="47"/>
      <c r="M18" s="38"/>
      <c r="N18" s="38"/>
      <c r="O18" s="38"/>
      <c r="P18" s="38"/>
      <c r="Q18" s="38"/>
      <c r="R18" s="38"/>
      <c r="S18" s="38"/>
      <c r="T18" s="38"/>
    </row>
    <row r="19" spans="1:20" ht="15.75">
      <c r="A19" s="13">
        <v>41699</v>
      </c>
      <c r="B19" s="46">
        <v>31</v>
      </c>
      <c r="C19" s="37">
        <v>122.58</v>
      </c>
      <c r="D19" s="37">
        <v>297.94099999999997</v>
      </c>
      <c r="E19" s="43">
        <v>729.47900000000004</v>
      </c>
      <c r="F19" s="37">
        <v>1150</v>
      </c>
      <c r="G19" s="37">
        <v>100</v>
      </c>
      <c r="H19" s="45"/>
      <c r="I19" s="37">
        <v>695</v>
      </c>
      <c r="J19" s="37">
        <v>50</v>
      </c>
      <c r="K19" s="38"/>
      <c r="L19" s="47"/>
      <c r="M19" s="38"/>
      <c r="N19" s="38"/>
      <c r="O19" s="38"/>
      <c r="P19" s="38"/>
      <c r="Q19" s="38"/>
      <c r="R19" s="38"/>
      <c r="S19" s="38"/>
      <c r="T19" s="38"/>
    </row>
    <row r="20" spans="1:20" ht="15.75">
      <c r="A20" s="13">
        <v>41730</v>
      </c>
      <c r="B20" s="46">
        <v>30</v>
      </c>
      <c r="C20" s="37">
        <v>141.29300000000001</v>
      </c>
      <c r="D20" s="37">
        <v>267.99299999999999</v>
      </c>
      <c r="E20" s="43">
        <v>829.71400000000006</v>
      </c>
      <c r="F20" s="37">
        <v>1239</v>
      </c>
      <c r="G20" s="37">
        <v>100</v>
      </c>
      <c r="H20" s="45"/>
      <c r="I20" s="37">
        <v>695</v>
      </c>
      <c r="J20" s="37">
        <v>50</v>
      </c>
      <c r="K20" s="38"/>
      <c r="L20" s="47"/>
      <c r="M20" s="38"/>
      <c r="N20" s="38"/>
      <c r="O20" s="38"/>
      <c r="P20" s="38"/>
      <c r="Q20" s="38"/>
      <c r="R20" s="38"/>
      <c r="S20" s="38"/>
      <c r="T20" s="38"/>
    </row>
    <row r="21" spans="1:20" ht="15.75">
      <c r="A21" s="13">
        <v>41760</v>
      </c>
      <c r="B21" s="46">
        <v>31</v>
      </c>
      <c r="C21" s="37">
        <v>194.20500000000001</v>
      </c>
      <c r="D21" s="37">
        <v>267.46600000000001</v>
      </c>
      <c r="E21" s="43">
        <v>862.32899999999995</v>
      </c>
      <c r="F21" s="37">
        <v>1324</v>
      </c>
      <c r="G21" s="37">
        <v>75</v>
      </c>
      <c r="H21" s="45"/>
      <c r="I21" s="37">
        <v>695</v>
      </c>
      <c r="J21" s="37">
        <v>50</v>
      </c>
      <c r="K21" s="38"/>
      <c r="L21" s="47"/>
      <c r="M21" s="38"/>
      <c r="N21" s="38"/>
      <c r="O21" s="38"/>
      <c r="P21" s="38"/>
      <c r="Q21" s="38"/>
      <c r="R21" s="38"/>
      <c r="S21" s="38"/>
      <c r="T21" s="38"/>
    </row>
    <row r="22" spans="1:20" ht="15.75">
      <c r="A22" s="13">
        <v>41791</v>
      </c>
      <c r="B22" s="46">
        <v>30</v>
      </c>
      <c r="C22" s="37">
        <v>194.20500000000001</v>
      </c>
      <c r="D22" s="37">
        <v>267.46600000000001</v>
      </c>
      <c r="E22" s="43">
        <v>862.32899999999995</v>
      </c>
      <c r="F22" s="37">
        <v>1324</v>
      </c>
      <c r="G22" s="37">
        <v>50</v>
      </c>
      <c r="H22" s="45"/>
      <c r="I22" s="37">
        <v>695</v>
      </c>
      <c r="J22" s="37">
        <v>50</v>
      </c>
      <c r="K22" s="38"/>
      <c r="L22" s="47"/>
      <c r="M22" s="38"/>
      <c r="N22" s="38"/>
      <c r="O22" s="38"/>
      <c r="P22" s="38"/>
      <c r="Q22" s="38"/>
      <c r="R22" s="38"/>
      <c r="S22" s="38"/>
      <c r="T22" s="38"/>
    </row>
    <row r="23" spans="1:20" ht="15.75">
      <c r="A23" s="13">
        <v>41821</v>
      </c>
      <c r="B23" s="46">
        <v>31</v>
      </c>
      <c r="C23" s="37">
        <v>194.20500000000001</v>
      </c>
      <c r="D23" s="37">
        <v>267.46600000000001</v>
      </c>
      <c r="E23" s="43">
        <v>862.32899999999995</v>
      </c>
      <c r="F23" s="37">
        <v>1324</v>
      </c>
      <c r="G23" s="37">
        <v>50</v>
      </c>
      <c r="H23" s="45"/>
      <c r="I23" s="37">
        <v>695</v>
      </c>
      <c r="J23" s="37">
        <v>0</v>
      </c>
      <c r="K23" s="38"/>
      <c r="L23" s="47"/>
      <c r="M23" s="38"/>
      <c r="N23" s="38"/>
      <c r="O23" s="38"/>
      <c r="P23" s="38"/>
      <c r="Q23" s="38"/>
      <c r="R23" s="38"/>
      <c r="S23" s="38"/>
      <c r="T23" s="38"/>
    </row>
    <row r="24" spans="1:20" ht="15.75">
      <c r="A24" s="13">
        <v>41852</v>
      </c>
      <c r="B24" s="46">
        <v>31</v>
      </c>
      <c r="C24" s="37">
        <v>194.20500000000001</v>
      </c>
      <c r="D24" s="37">
        <v>267.46600000000001</v>
      </c>
      <c r="E24" s="43">
        <v>862.32899999999995</v>
      </c>
      <c r="F24" s="37">
        <v>1324</v>
      </c>
      <c r="G24" s="37">
        <v>50</v>
      </c>
      <c r="H24" s="45"/>
      <c r="I24" s="37">
        <v>695</v>
      </c>
      <c r="J24" s="37">
        <v>0</v>
      </c>
      <c r="K24" s="38"/>
      <c r="L24" s="47"/>
      <c r="M24" s="38"/>
      <c r="N24" s="38"/>
      <c r="O24" s="38"/>
      <c r="P24" s="38"/>
      <c r="Q24" s="38"/>
      <c r="R24" s="38"/>
      <c r="S24" s="38"/>
      <c r="T24" s="38"/>
    </row>
    <row r="25" spans="1:20" ht="15.75">
      <c r="A25" s="13">
        <v>41883</v>
      </c>
      <c r="B25" s="46">
        <v>30</v>
      </c>
      <c r="C25" s="37">
        <v>194.20500000000001</v>
      </c>
      <c r="D25" s="37">
        <v>267.46600000000001</v>
      </c>
      <c r="E25" s="43">
        <v>862.32899999999995</v>
      </c>
      <c r="F25" s="37">
        <v>1324</v>
      </c>
      <c r="G25" s="37">
        <v>50</v>
      </c>
      <c r="H25" s="45"/>
      <c r="I25" s="37">
        <v>695</v>
      </c>
      <c r="J25" s="37">
        <v>0</v>
      </c>
      <c r="K25" s="38"/>
      <c r="L25" s="47"/>
      <c r="M25" s="38"/>
      <c r="N25" s="38"/>
      <c r="O25" s="38"/>
      <c r="P25" s="38"/>
      <c r="Q25" s="38"/>
      <c r="R25" s="38"/>
      <c r="S25" s="38"/>
      <c r="T25" s="38"/>
    </row>
    <row r="26" spans="1:20" ht="15.75">
      <c r="A26" s="13">
        <v>41913</v>
      </c>
      <c r="B26" s="46">
        <v>31</v>
      </c>
      <c r="C26" s="37">
        <v>131.881</v>
      </c>
      <c r="D26" s="37">
        <v>277.16699999999997</v>
      </c>
      <c r="E26" s="43">
        <v>829.952</v>
      </c>
      <c r="F26" s="37">
        <v>1239</v>
      </c>
      <c r="G26" s="37">
        <v>75</v>
      </c>
      <c r="H26" s="45"/>
      <c r="I26" s="37">
        <v>695</v>
      </c>
      <c r="J26" s="37">
        <v>0</v>
      </c>
      <c r="K26" s="38"/>
      <c r="L26" s="47"/>
      <c r="M26" s="38"/>
      <c r="N26" s="38"/>
      <c r="O26" s="38"/>
      <c r="P26" s="38"/>
      <c r="Q26" s="38"/>
      <c r="R26" s="38"/>
      <c r="S26" s="38"/>
      <c r="T26" s="38"/>
    </row>
    <row r="27" spans="1:20" ht="15.75">
      <c r="A27" s="13">
        <v>41944</v>
      </c>
      <c r="B27" s="46">
        <v>30</v>
      </c>
      <c r="C27" s="37">
        <v>122.58</v>
      </c>
      <c r="D27" s="37">
        <v>297.94099999999997</v>
      </c>
      <c r="E27" s="43">
        <v>729.47900000000004</v>
      </c>
      <c r="F27" s="37">
        <v>1150</v>
      </c>
      <c r="G27" s="37">
        <v>100</v>
      </c>
      <c r="H27" s="45"/>
      <c r="I27" s="37">
        <v>695</v>
      </c>
      <c r="J27" s="37">
        <v>50</v>
      </c>
      <c r="K27" s="38"/>
      <c r="L27" s="47"/>
      <c r="M27" s="38"/>
      <c r="N27" s="38"/>
      <c r="O27" s="38"/>
      <c r="P27" s="38"/>
      <c r="Q27" s="38"/>
      <c r="R27" s="38"/>
      <c r="S27" s="38"/>
      <c r="T27" s="38"/>
    </row>
    <row r="28" spans="1:20" ht="15.75">
      <c r="A28" s="13">
        <v>41974</v>
      </c>
      <c r="B28" s="46">
        <v>31</v>
      </c>
      <c r="C28" s="37">
        <v>122.58</v>
      </c>
      <c r="D28" s="37">
        <v>297.94099999999997</v>
      </c>
      <c r="E28" s="43">
        <v>729.47900000000004</v>
      </c>
      <c r="F28" s="37">
        <v>1150</v>
      </c>
      <c r="G28" s="37">
        <v>100</v>
      </c>
      <c r="H28" s="45"/>
      <c r="I28" s="37">
        <v>695</v>
      </c>
      <c r="J28" s="37">
        <v>50</v>
      </c>
      <c r="K28" s="38"/>
      <c r="L28" s="47"/>
      <c r="M28" s="38"/>
      <c r="N28" s="38"/>
      <c r="O28" s="38"/>
      <c r="P28" s="38"/>
      <c r="Q28" s="38"/>
      <c r="R28" s="38"/>
      <c r="S28" s="38"/>
      <c r="T28" s="38"/>
    </row>
    <row r="29" spans="1:20" ht="15.75">
      <c r="A29" s="13">
        <v>42005</v>
      </c>
      <c r="B29" s="46">
        <v>31</v>
      </c>
      <c r="C29" s="37">
        <v>122.58</v>
      </c>
      <c r="D29" s="37">
        <v>297.94099999999997</v>
      </c>
      <c r="E29" s="43">
        <v>729.47900000000004</v>
      </c>
      <c r="F29" s="37">
        <v>1150</v>
      </c>
      <c r="G29" s="37">
        <v>100</v>
      </c>
      <c r="H29" s="45"/>
      <c r="I29" s="37">
        <v>695</v>
      </c>
      <c r="J29" s="37">
        <v>50</v>
      </c>
      <c r="K29" s="38"/>
      <c r="L29" s="47"/>
      <c r="M29" s="38"/>
      <c r="N29" s="38"/>
      <c r="O29" s="38"/>
      <c r="P29" s="38"/>
      <c r="Q29" s="38"/>
      <c r="R29" s="38"/>
      <c r="S29" s="38"/>
      <c r="T29" s="38"/>
    </row>
    <row r="30" spans="1:20" ht="15.75">
      <c r="A30" s="13">
        <v>42036</v>
      </c>
      <c r="B30" s="46">
        <v>28</v>
      </c>
      <c r="C30" s="37">
        <v>122.58</v>
      </c>
      <c r="D30" s="37">
        <v>297.94099999999997</v>
      </c>
      <c r="E30" s="43">
        <v>729.47900000000004</v>
      </c>
      <c r="F30" s="37">
        <v>1150</v>
      </c>
      <c r="G30" s="37">
        <v>100</v>
      </c>
      <c r="H30" s="45"/>
      <c r="I30" s="37">
        <v>695</v>
      </c>
      <c r="J30" s="37">
        <v>50</v>
      </c>
      <c r="K30" s="38"/>
      <c r="L30" s="47"/>
      <c r="M30" s="38"/>
      <c r="N30" s="38"/>
      <c r="O30" s="38"/>
      <c r="P30" s="38"/>
      <c r="Q30" s="38"/>
      <c r="R30" s="38"/>
      <c r="S30" s="38"/>
      <c r="T30" s="38"/>
    </row>
    <row r="31" spans="1:20" ht="15.75">
      <c r="A31" s="13">
        <v>42064</v>
      </c>
      <c r="B31" s="46">
        <v>31</v>
      </c>
      <c r="C31" s="37">
        <v>122.58</v>
      </c>
      <c r="D31" s="37">
        <v>297.94099999999997</v>
      </c>
      <c r="E31" s="43">
        <v>729.47900000000004</v>
      </c>
      <c r="F31" s="37">
        <v>1150</v>
      </c>
      <c r="G31" s="37">
        <v>100</v>
      </c>
      <c r="H31" s="45"/>
      <c r="I31" s="37">
        <v>695</v>
      </c>
      <c r="J31" s="37">
        <v>50</v>
      </c>
      <c r="K31" s="38"/>
      <c r="L31" s="47"/>
      <c r="M31" s="38"/>
      <c r="N31" s="38"/>
      <c r="O31" s="38"/>
      <c r="P31" s="38"/>
      <c r="Q31" s="38"/>
      <c r="R31" s="38"/>
      <c r="S31" s="38"/>
      <c r="T31" s="38"/>
    </row>
    <row r="32" spans="1:20" ht="15.75">
      <c r="A32" s="13">
        <v>42095</v>
      </c>
      <c r="B32" s="46">
        <v>30</v>
      </c>
      <c r="C32" s="37">
        <v>141.29300000000001</v>
      </c>
      <c r="D32" s="37">
        <v>267.99299999999999</v>
      </c>
      <c r="E32" s="43">
        <v>829.71400000000006</v>
      </c>
      <c r="F32" s="37">
        <v>1239</v>
      </c>
      <c r="G32" s="37">
        <v>100</v>
      </c>
      <c r="H32" s="45"/>
      <c r="I32" s="37">
        <v>695</v>
      </c>
      <c r="J32" s="37">
        <v>50</v>
      </c>
      <c r="K32" s="38"/>
      <c r="L32" s="47"/>
      <c r="M32" s="38"/>
      <c r="N32" s="38"/>
      <c r="O32" s="38"/>
      <c r="P32" s="38"/>
      <c r="Q32" s="38"/>
      <c r="R32" s="38"/>
      <c r="S32" s="38"/>
      <c r="T32" s="38"/>
    </row>
    <row r="33" spans="1:20" ht="15.75">
      <c r="A33" s="13">
        <v>42125</v>
      </c>
      <c r="B33" s="46">
        <v>31</v>
      </c>
      <c r="C33" s="37">
        <v>194.20500000000001</v>
      </c>
      <c r="D33" s="37">
        <v>267.46600000000001</v>
      </c>
      <c r="E33" s="43">
        <v>862.32899999999995</v>
      </c>
      <c r="F33" s="37">
        <v>1324</v>
      </c>
      <c r="G33" s="37">
        <v>75</v>
      </c>
      <c r="H33" s="45"/>
      <c r="I33" s="37">
        <v>695</v>
      </c>
      <c r="J33" s="37">
        <v>50</v>
      </c>
      <c r="K33" s="38"/>
      <c r="L33" s="47"/>
      <c r="M33" s="38"/>
      <c r="N33" s="38"/>
      <c r="O33" s="38"/>
      <c r="P33" s="38"/>
      <c r="Q33" s="38"/>
      <c r="R33" s="38"/>
      <c r="S33" s="38"/>
      <c r="T33" s="38"/>
    </row>
    <row r="34" spans="1:20" ht="15.75">
      <c r="A34" s="13">
        <v>42156</v>
      </c>
      <c r="B34" s="46">
        <v>30</v>
      </c>
      <c r="C34" s="37">
        <v>194.20500000000001</v>
      </c>
      <c r="D34" s="37">
        <v>267.46600000000001</v>
      </c>
      <c r="E34" s="43">
        <v>862.32899999999995</v>
      </c>
      <c r="F34" s="37">
        <v>1324</v>
      </c>
      <c r="G34" s="37">
        <v>50</v>
      </c>
      <c r="H34" s="45"/>
      <c r="I34" s="37">
        <v>695</v>
      </c>
      <c r="J34" s="37">
        <v>50</v>
      </c>
      <c r="K34" s="38"/>
      <c r="L34" s="47"/>
      <c r="M34" s="38"/>
      <c r="N34" s="38"/>
      <c r="O34" s="38"/>
      <c r="P34" s="38"/>
      <c r="Q34" s="38"/>
      <c r="R34" s="38"/>
      <c r="S34" s="38"/>
      <c r="T34" s="38"/>
    </row>
    <row r="35" spans="1:20" ht="15.75">
      <c r="A35" s="13">
        <v>42186</v>
      </c>
      <c r="B35" s="46">
        <v>31</v>
      </c>
      <c r="C35" s="37">
        <v>194.20500000000001</v>
      </c>
      <c r="D35" s="37">
        <v>267.46600000000001</v>
      </c>
      <c r="E35" s="43">
        <v>862.32899999999995</v>
      </c>
      <c r="F35" s="37">
        <v>1324</v>
      </c>
      <c r="G35" s="37">
        <v>50</v>
      </c>
      <c r="H35" s="45"/>
      <c r="I35" s="37">
        <v>695</v>
      </c>
      <c r="J35" s="37">
        <v>0</v>
      </c>
      <c r="K35" s="38"/>
      <c r="L35" s="47"/>
      <c r="M35" s="38"/>
      <c r="N35" s="38"/>
      <c r="O35" s="38"/>
      <c r="P35" s="38"/>
      <c r="Q35" s="38"/>
      <c r="R35" s="38"/>
      <c r="S35" s="38"/>
      <c r="T35" s="38"/>
    </row>
    <row r="36" spans="1:20" ht="15.75">
      <c r="A36" s="13">
        <v>42217</v>
      </c>
      <c r="B36" s="46">
        <v>31</v>
      </c>
      <c r="C36" s="37">
        <v>194.20500000000001</v>
      </c>
      <c r="D36" s="37">
        <v>267.46600000000001</v>
      </c>
      <c r="E36" s="43">
        <v>862.32899999999995</v>
      </c>
      <c r="F36" s="37">
        <v>1324</v>
      </c>
      <c r="G36" s="37">
        <v>50</v>
      </c>
      <c r="H36" s="45"/>
      <c r="I36" s="37">
        <v>695</v>
      </c>
      <c r="J36" s="37">
        <v>0</v>
      </c>
      <c r="K36" s="38"/>
      <c r="L36" s="47"/>
      <c r="M36" s="38"/>
      <c r="N36" s="38"/>
      <c r="O36" s="38"/>
      <c r="P36" s="38"/>
      <c r="Q36" s="38"/>
      <c r="R36" s="38"/>
      <c r="S36" s="38"/>
      <c r="T36" s="38"/>
    </row>
    <row r="37" spans="1:20" ht="15.75">
      <c r="A37" s="13">
        <v>42248</v>
      </c>
      <c r="B37" s="46">
        <v>30</v>
      </c>
      <c r="C37" s="37">
        <v>194.20500000000001</v>
      </c>
      <c r="D37" s="37">
        <v>267.46600000000001</v>
      </c>
      <c r="E37" s="43">
        <v>862.32899999999995</v>
      </c>
      <c r="F37" s="37">
        <v>1324</v>
      </c>
      <c r="G37" s="37">
        <v>50</v>
      </c>
      <c r="H37" s="45"/>
      <c r="I37" s="37">
        <v>695</v>
      </c>
      <c r="J37" s="37">
        <v>0</v>
      </c>
      <c r="K37" s="38"/>
      <c r="L37" s="47"/>
      <c r="M37" s="38"/>
      <c r="N37" s="38"/>
      <c r="O37" s="38"/>
      <c r="P37" s="38"/>
      <c r="Q37" s="38"/>
      <c r="R37" s="38"/>
      <c r="S37" s="38"/>
      <c r="T37" s="38"/>
    </row>
    <row r="38" spans="1:20" ht="15.75">
      <c r="A38" s="13">
        <v>42278</v>
      </c>
      <c r="B38" s="46">
        <v>31</v>
      </c>
      <c r="C38" s="37">
        <v>131.881</v>
      </c>
      <c r="D38" s="37">
        <v>277.16699999999997</v>
      </c>
      <c r="E38" s="43">
        <v>829.952</v>
      </c>
      <c r="F38" s="37">
        <v>1239</v>
      </c>
      <c r="G38" s="37">
        <v>75</v>
      </c>
      <c r="H38" s="45"/>
      <c r="I38" s="37">
        <v>695</v>
      </c>
      <c r="J38" s="37">
        <v>0</v>
      </c>
      <c r="K38" s="38"/>
      <c r="L38" s="47"/>
      <c r="M38" s="38"/>
      <c r="N38" s="38"/>
      <c r="O38" s="38"/>
      <c r="P38" s="38"/>
      <c r="Q38" s="38"/>
      <c r="R38" s="38"/>
      <c r="S38" s="38"/>
      <c r="T38" s="38"/>
    </row>
    <row r="39" spans="1:20" ht="15.75">
      <c r="A39" s="13">
        <v>42309</v>
      </c>
      <c r="B39" s="46">
        <v>30</v>
      </c>
      <c r="C39" s="37">
        <v>122.58</v>
      </c>
      <c r="D39" s="37">
        <v>297.94099999999997</v>
      </c>
      <c r="E39" s="43">
        <v>729.47900000000004</v>
      </c>
      <c r="F39" s="37">
        <v>1150</v>
      </c>
      <c r="G39" s="37">
        <v>100</v>
      </c>
      <c r="H39" s="45"/>
      <c r="I39" s="37">
        <v>695</v>
      </c>
      <c r="J39" s="37">
        <v>50</v>
      </c>
      <c r="K39" s="38"/>
      <c r="L39" s="47"/>
      <c r="M39" s="38"/>
      <c r="N39" s="38"/>
      <c r="O39" s="38"/>
      <c r="P39" s="38"/>
      <c r="Q39" s="38"/>
      <c r="R39" s="38"/>
      <c r="S39" s="38"/>
      <c r="T39" s="38"/>
    </row>
    <row r="40" spans="1:20" ht="15.75">
      <c r="A40" s="13">
        <v>42339</v>
      </c>
      <c r="B40" s="46">
        <v>31</v>
      </c>
      <c r="C40" s="37">
        <v>122.58</v>
      </c>
      <c r="D40" s="37">
        <v>297.94099999999997</v>
      </c>
      <c r="E40" s="43">
        <v>729.47900000000004</v>
      </c>
      <c r="F40" s="37">
        <v>1150</v>
      </c>
      <c r="G40" s="37">
        <v>100</v>
      </c>
      <c r="H40" s="45"/>
      <c r="I40" s="37">
        <v>695</v>
      </c>
      <c r="J40" s="37">
        <v>50</v>
      </c>
      <c r="K40" s="38"/>
      <c r="L40" s="47"/>
      <c r="M40" s="38"/>
      <c r="N40" s="38"/>
      <c r="O40" s="38"/>
      <c r="P40" s="38"/>
      <c r="Q40" s="38"/>
      <c r="R40" s="38"/>
      <c r="S40" s="38"/>
      <c r="T40" s="38"/>
    </row>
    <row r="41" spans="1:20" ht="15.75">
      <c r="A41" s="13">
        <v>42370</v>
      </c>
      <c r="B41" s="46">
        <v>31</v>
      </c>
      <c r="C41" s="37">
        <v>122.58</v>
      </c>
      <c r="D41" s="37">
        <v>297.94099999999997</v>
      </c>
      <c r="E41" s="43">
        <v>729.47900000000004</v>
      </c>
      <c r="F41" s="37">
        <v>1150</v>
      </c>
      <c r="G41" s="37">
        <v>100</v>
      </c>
      <c r="H41" s="45"/>
      <c r="I41" s="37">
        <v>695</v>
      </c>
      <c r="J41" s="37">
        <v>50</v>
      </c>
      <c r="K41" s="38"/>
      <c r="L41" s="47"/>
      <c r="M41" s="38"/>
      <c r="N41" s="38"/>
      <c r="O41" s="38"/>
      <c r="P41" s="38"/>
      <c r="Q41" s="38"/>
      <c r="R41" s="38"/>
      <c r="S41" s="38"/>
      <c r="T41" s="38"/>
    </row>
    <row r="42" spans="1:20" ht="15.75">
      <c r="A42" s="13">
        <v>42401</v>
      </c>
      <c r="B42" s="46">
        <v>29</v>
      </c>
      <c r="C42" s="37">
        <v>122.58</v>
      </c>
      <c r="D42" s="37">
        <v>297.94099999999997</v>
      </c>
      <c r="E42" s="43">
        <v>729.47900000000004</v>
      </c>
      <c r="F42" s="37">
        <v>1150</v>
      </c>
      <c r="G42" s="37">
        <v>100</v>
      </c>
      <c r="H42" s="45"/>
      <c r="I42" s="37">
        <v>695</v>
      </c>
      <c r="J42" s="37">
        <v>50</v>
      </c>
      <c r="K42" s="38"/>
      <c r="L42" s="47"/>
      <c r="M42" s="38"/>
      <c r="N42" s="38"/>
      <c r="O42" s="38"/>
      <c r="P42" s="38"/>
      <c r="Q42" s="38"/>
      <c r="R42" s="38"/>
      <c r="S42" s="38"/>
      <c r="T42" s="38"/>
    </row>
    <row r="43" spans="1:20" ht="15.75">
      <c r="A43" s="13">
        <v>42430</v>
      </c>
      <c r="B43" s="46">
        <v>31</v>
      </c>
      <c r="C43" s="37">
        <v>122.58</v>
      </c>
      <c r="D43" s="37">
        <v>297.94099999999997</v>
      </c>
      <c r="E43" s="43">
        <v>729.47900000000004</v>
      </c>
      <c r="F43" s="37">
        <v>1150</v>
      </c>
      <c r="G43" s="37">
        <v>100</v>
      </c>
      <c r="H43" s="45"/>
      <c r="I43" s="37">
        <v>695</v>
      </c>
      <c r="J43" s="37">
        <v>50</v>
      </c>
      <c r="K43" s="38"/>
      <c r="L43" s="47"/>
      <c r="M43" s="38"/>
      <c r="N43" s="38"/>
      <c r="O43" s="38"/>
      <c r="P43" s="38"/>
      <c r="Q43" s="38"/>
      <c r="R43" s="38"/>
      <c r="S43" s="38"/>
      <c r="T43" s="38"/>
    </row>
    <row r="44" spans="1:20" ht="15.75">
      <c r="A44" s="13">
        <v>42461</v>
      </c>
      <c r="B44" s="46">
        <v>30</v>
      </c>
      <c r="C44" s="37">
        <v>141.29300000000001</v>
      </c>
      <c r="D44" s="37">
        <v>267.99299999999999</v>
      </c>
      <c r="E44" s="43">
        <v>829.71400000000006</v>
      </c>
      <c r="F44" s="37">
        <v>1239</v>
      </c>
      <c r="G44" s="37">
        <v>100</v>
      </c>
      <c r="H44" s="45"/>
      <c r="I44" s="37">
        <v>695</v>
      </c>
      <c r="J44" s="37">
        <v>50</v>
      </c>
      <c r="K44" s="38"/>
      <c r="L44" s="47"/>
      <c r="M44" s="38"/>
      <c r="N44" s="38"/>
      <c r="O44" s="38"/>
      <c r="P44" s="38"/>
      <c r="Q44" s="38"/>
      <c r="R44" s="38"/>
      <c r="S44" s="38"/>
      <c r="T44" s="38"/>
    </row>
    <row r="45" spans="1:20" ht="15.75">
      <c r="A45" s="13">
        <v>42491</v>
      </c>
      <c r="B45" s="46">
        <v>31</v>
      </c>
      <c r="C45" s="37">
        <v>194.20500000000001</v>
      </c>
      <c r="D45" s="37">
        <v>267.46600000000001</v>
      </c>
      <c r="E45" s="43">
        <v>812.32899999999995</v>
      </c>
      <c r="F45" s="37">
        <v>1274</v>
      </c>
      <c r="G45" s="37">
        <v>75</v>
      </c>
      <c r="H45" s="45"/>
      <c r="I45" s="37">
        <v>695</v>
      </c>
      <c r="J45" s="37">
        <v>50</v>
      </c>
      <c r="K45" s="38"/>
      <c r="L45" s="47"/>
      <c r="M45" s="38"/>
      <c r="N45" s="38"/>
      <c r="O45" s="38"/>
      <c r="P45" s="38"/>
      <c r="Q45" s="38"/>
      <c r="R45" s="38"/>
      <c r="S45" s="38"/>
      <c r="T45" s="38"/>
    </row>
    <row r="46" spans="1:20" ht="15.75">
      <c r="A46" s="13">
        <v>42522</v>
      </c>
      <c r="B46" s="46">
        <v>30</v>
      </c>
      <c r="C46" s="37">
        <v>194.20500000000001</v>
      </c>
      <c r="D46" s="37">
        <v>267.46600000000001</v>
      </c>
      <c r="E46" s="43">
        <v>812.32899999999995</v>
      </c>
      <c r="F46" s="37">
        <v>1274</v>
      </c>
      <c r="G46" s="37">
        <v>50</v>
      </c>
      <c r="H46" s="45"/>
      <c r="I46" s="37">
        <v>695</v>
      </c>
      <c r="J46" s="37">
        <v>50</v>
      </c>
      <c r="K46" s="38"/>
      <c r="L46" s="47"/>
      <c r="M46" s="38"/>
      <c r="N46" s="38"/>
      <c r="O46" s="38"/>
      <c r="P46" s="38"/>
      <c r="Q46" s="38"/>
      <c r="R46" s="38"/>
      <c r="S46" s="38"/>
      <c r="T46" s="38"/>
    </row>
    <row r="47" spans="1:20" ht="15.75">
      <c r="A47" s="13">
        <v>42552</v>
      </c>
      <c r="B47" s="46">
        <v>31</v>
      </c>
      <c r="C47" s="37">
        <v>194.20500000000001</v>
      </c>
      <c r="D47" s="37">
        <v>267.46600000000001</v>
      </c>
      <c r="E47" s="43">
        <v>812.32899999999995</v>
      </c>
      <c r="F47" s="37">
        <v>1274</v>
      </c>
      <c r="G47" s="37">
        <v>50</v>
      </c>
      <c r="H47" s="45"/>
      <c r="I47" s="37">
        <v>695</v>
      </c>
      <c r="J47" s="37">
        <v>0</v>
      </c>
      <c r="K47" s="38"/>
      <c r="L47" s="47"/>
      <c r="M47" s="38"/>
      <c r="N47" s="38"/>
      <c r="O47" s="38"/>
      <c r="P47" s="38"/>
      <c r="Q47" s="38"/>
      <c r="R47" s="38"/>
      <c r="S47" s="38"/>
      <c r="T47" s="38"/>
    </row>
    <row r="48" spans="1:20" ht="15.75">
      <c r="A48" s="13">
        <v>42583</v>
      </c>
      <c r="B48" s="46">
        <v>31</v>
      </c>
      <c r="C48" s="37">
        <v>194.20500000000001</v>
      </c>
      <c r="D48" s="37">
        <v>267.46600000000001</v>
      </c>
      <c r="E48" s="43">
        <v>812.32899999999995</v>
      </c>
      <c r="F48" s="37">
        <v>1274</v>
      </c>
      <c r="G48" s="37">
        <v>50</v>
      </c>
      <c r="H48" s="45"/>
      <c r="I48" s="37">
        <v>695</v>
      </c>
      <c r="J48" s="37">
        <v>0</v>
      </c>
      <c r="K48" s="38"/>
      <c r="L48" s="47"/>
      <c r="M48" s="38"/>
      <c r="N48" s="38"/>
      <c r="O48" s="38"/>
      <c r="P48" s="38"/>
      <c r="Q48" s="38"/>
      <c r="R48" s="38"/>
      <c r="S48" s="38"/>
      <c r="T48" s="38"/>
    </row>
    <row r="49" spans="1:20" ht="15.75">
      <c r="A49" s="13">
        <v>42614</v>
      </c>
      <c r="B49" s="46">
        <v>30</v>
      </c>
      <c r="C49" s="37">
        <v>194.20500000000001</v>
      </c>
      <c r="D49" s="37">
        <v>267.46600000000001</v>
      </c>
      <c r="E49" s="43">
        <v>812.32899999999995</v>
      </c>
      <c r="F49" s="37">
        <v>1274</v>
      </c>
      <c r="G49" s="37">
        <v>50</v>
      </c>
      <c r="H49" s="45"/>
      <c r="I49" s="37">
        <v>695</v>
      </c>
      <c r="J49" s="37">
        <v>0</v>
      </c>
      <c r="K49" s="38"/>
      <c r="L49" s="47"/>
      <c r="M49" s="38"/>
      <c r="N49" s="38"/>
      <c r="O49" s="38"/>
      <c r="P49" s="38"/>
      <c r="Q49" s="38"/>
      <c r="R49" s="38"/>
      <c r="S49" s="38"/>
      <c r="T49" s="38"/>
    </row>
    <row r="50" spans="1:20" ht="15.75">
      <c r="A50" s="13">
        <v>42644</v>
      </c>
      <c r="B50" s="46">
        <v>31</v>
      </c>
      <c r="C50" s="37">
        <v>131.881</v>
      </c>
      <c r="D50" s="37">
        <v>277.16699999999997</v>
      </c>
      <c r="E50" s="43">
        <v>829.952</v>
      </c>
      <c r="F50" s="37">
        <v>1239</v>
      </c>
      <c r="G50" s="37">
        <v>75</v>
      </c>
      <c r="H50" s="45"/>
      <c r="I50" s="37">
        <v>695</v>
      </c>
      <c r="J50" s="37">
        <v>0</v>
      </c>
      <c r="K50" s="38"/>
      <c r="L50" s="47"/>
      <c r="M50" s="38"/>
      <c r="N50" s="38"/>
      <c r="O50" s="38"/>
      <c r="P50" s="38"/>
      <c r="Q50" s="38"/>
      <c r="R50" s="38"/>
      <c r="S50" s="38"/>
      <c r="T50" s="38"/>
    </row>
    <row r="51" spans="1:20" ht="15.75">
      <c r="A51" s="13">
        <v>42675</v>
      </c>
      <c r="B51" s="46">
        <v>30</v>
      </c>
      <c r="C51" s="37">
        <v>122.58</v>
      </c>
      <c r="D51" s="37">
        <v>297.94099999999997</v>
      </c>
      <c r="E51" s="43">
        <v>729.47900000000004</v>
      </c>
      <c r="F51" s="37">
        <v>1150</v>
      </c>
      <c r="G51" s="37">
        <v>100</v>
      </c>
      <c r="H51" s="45"/>
      <c r="I51" s="37">
        <v>695</v>
      </c>
      <c r="J51" s="37">
        <v>50</v>
      </c>
      <c r="K51" s="38"/>
      <c r="L51" s="47"/>
      <c r="M51" s="38"/>
      <c r="N51" s="38"/>
      <c r="O51" s="38"/>
      <c r="P51" s="38"/>
      <c r="Q51" s="38"/>
      <c r="R51" s="38"/>
      <c r="S51" s="38"/>
      <c r="T51" s="38"/>
    </row>
    <row r="52" spans="1:20" ht="15.75">
      <c r="A52" s="13">
        <v>42705</v>
      </c>
      <c r="B52" s="46">
        <v>31</v>
      </c>
      <c r="C52" s="37">
        <v>122.58</v>
      </c>
      <c r="D52" s="37">
        <v>297.94099999999997</v>
      </c>
      <c r="E52" s="43">
        <v>729.47900000000004</v>
      </c>
      <c r="F52" s="37">
        <v>1150</v>
      </c>
      <c r="G52" s="37">
        <v>100</v>
      </c>
      <c r="H52" s="45"/>
      <c r="I52" s="37">
        <v>695</v>
      </c>
      <c r="J52" s="37">
        <v>50</v>
      </c>
      <c r="K52" s="38"/>
      <c r="L52" s="47"/>
      <c r="M52" s="38"/>
      <c r="N52" s="38"/>
      <c r="O52" s="38"/>
      <c r="P52" s="38"/>
      <c r="Q52" s="38"/>
      <c r="R52" s="38"/>
      <c r="S52" s="38"/>
      <c r="T52" s="38"/>
    </row>
    <row r="53" spans="1:20" ht="15.75">
      <c r="A53" s="13">
        <v>42736</v>
      </c>
      <c r="B53" s="46">
        <v>31</v>
      </c>
      <c r="C53" s="37">
        <v>122.58</v>
      </c>
      <c r="D53" s="37">
        <v>297.94099999999997</v>
      </c>
      <c r="E53" s="43">
        <v>729.47900000000004</v>
      </c>
      <c r="F53" s="37">
        <v>1150</v>
      </c>
      <c r="G53" s="37">
        <v>100</v>
      </c>
      <c r="H53" s="45"/>
      <c r="I53" s="37">
        <v>695</v>
      </c>
      <c r="J53" s="37">
        <v>50</v>
      </c>
      <c r="K53" s="38"/>
      <c r="L53" s="47"/>
      <c r="M53" s="38"/>
      <c r="N53" s="38"/>
      <c r="O53" s="38"/>
      <c r="P53" s="38"/>
      <c r="Q53" s="38"/>
      <c r="R53" s="38"/>
      <c r="S53" s="38"/>
      <c r="T53" s="38"/>
    </row>
    <row r="54" spans="1:20" ht="15.75">
      <c r="A54" s="13">
        <v>42767</v>
      </c>
      <c r="B54" s="46">
        <v>28</v>
      </c>
      <c r="C54" s="37">
        <v>122.58</v>
      </c>
      <c r="D54" s="37">
        <v>297.94099999999997</v>
      </c>
      <c r="E54" s="43">
        <v>729.47900000000004</v>
      </c>
      <c r="F54" s="37">
        <v>1150</v>
      </c>
      <c r="G54" s="37">
        <v>100</v>
      </c>
      <c r="H54" s="45"/>
      <c r="I54" s="37">
        <v>695</v>
      </c>
      <c r="J54" s="37">
        <v>50</v>
      </c>
      <c r="K54" s="38"/>
      <c r="L54" s="47"/>
      <c r="M54" s="38"/>
      <c r="N54" s="38"/>
      <c r="O54" s="38"/>
      <c r="P54" s="38"/>
      <c r="Q54" s="38"/>
      <c r="R54" s="38"/>
      <c r="S54" s="38"/>
      <c r="T54" s="38"/>
    </row>
    <row r="55" spans="1:20" ht="15.75">
      <c r="A55" s="13">
        <v>42795</v>
      </c>
      <c r="B55" s="46">
        <v>31</v>
      </c>
      <c r="C55" s="37">
        <v>122.58</v>
      </c>
      <c r="D55" s="37">
        <v>297.94099999999997</v>
      </c>
      <c r="E55" s="43">
        <v>729.47900000000004</v>
      </c>
      <c r="F55" s="37">
        <v>1150</v>
      </c>
      <c r="G55" s="37">
        <v>100</v>
      </c>
      <c r="H55" s="45"/>
      <c r="I55" s="37">
        <v>695</v>
      </c>
      <c r="J55" s="37">
        <v>50</v>
      </c>
      <c r="K55" s="38"/>
      <c r="L55" s="47"/>
      <c r="M55" s="38"/>
      <c r="N55" s="38"/>
      <c r="O55" s="38"/>
      <c r="P55" s="38"/>
      <c r="Q55" s="38"/>
      <c r="R55" s="38"/>
      <c r="S55" s="38"/>
      <c r="T55" s="38"/>
    </row>
    <row r="56" spans="1:20" ht="15.75">
      <c r="A56" s="13">
        <v>42826</v>
      </c>
      <c r="B56" s="46">
        <v>30</v>
      </c>
      <c r="C56" s="37">
        <v>141.29300000000001</v>
      </c>
      <c r="D56" s="37">
        <v>267.99299999999999</v>
      </c>
      <c r="E56" s="43">
        <v>829.71400000000006</v>
      </c>
      <c r="F56" s="37">
        <v>1239</v>
      </c>
      <c r="G56" s="37">
        <v>100</v>
      </c>
      <c r="H56" s="45"/>
      <c r="I56" s="37">
        <v>695</v>
      </c>
      <c r="J56" s="37">
        <v>50</v>
      </c>
      <c r="K56" s="38"/>
      <c r="L56" s="47"/>
      <c r="M56" s="38"/>
      <c r="N56" s="38"/>
      <c r="O56" s="38"/>
      <c r="P56" s="38"/>
      <c r="Q56" s="38"/>
      <c r="R56" s="38"/>
      <c r="S56" s="38"/>
      <c r="T56" s="38"/>
    </row>
    <row r="57" spans="1:20" ht="15.75">
      <c r="A57" s="13">
        <v>42856</v>
      </c>
      <c r="B57" s="46">
        <v>31</v>
      </c>
      <c r="C57" s="37">
        <v>194.20500000000001</v>
      </c>
      <c r="D57" s="37">
        <v>267.46600000000001</v>
      </c>
      <c r="E57" s="43">
        <v>812.32899999999995</v>
      </c>
      <c r="F57" s="37">
        <v>1274</v>
      </c>
      <c r="G57" s="37">
        <v>75</v>
      </c>
      <c r="H57" s="45">
        <v>400</v>
      </c>
      <c r="I57" s="37">
        <v>695</v>
      </c>
      <c r="J57" s="37">
        <v>50</v>
      </c>
      <c r="K57" s="38"/>
      <c r="L57" s="47"/>
      <c r="M57" s="38"/>
      <c r="N57" s="38"/>
      <c r="O57" s="38"/>
      <c r="P57" s="38"/>
      <c r="Q57" s="38"/>
      <c r="R57" s="38"/>
      <c r="S57" s="38"/>
      <c r="T57" s="38"/>
    </row>
    <row r="58" spans="1:20" ht="15.75">
      <c r="A58" s="13">
        <v>42887</v>
      </c>
      <c r="B58" s="46">
        <v>30</v>
      </c>
      <c r="C58" s="37">
        <v>194.20500000000001</v>
      </c>
      <c r="D58" s="37">
        <v>267.46600000000001</v>
      </c>
      <c r="E58" s="43">
        <v>812.32899999999995</v>
      </c>
      <c r="F58" s="37">
        <v>1274</v>
      </c>
      <c r="G58" s="37">
        <v>50</v>
      </c>
      <c r="H58" s="45">
        <v>400</v>
      </c>
      <c r="I58" s="37">
        <v>695</v>
      </c>
      <c r="J58" s="37">
        <v>50</v>
      </c>
      <c r="K58" s="38"/>
      <c r="L58" s="47"/>
      <c r="M58" s="38"/>
      <c r="N58" s="38"/>
      <c r="O58" s="38"/>
      <c r="P58" s="38"/>
      <c r="Q58" s="38"/>
      <c r="R58" s="38"/>
      <c r="S58" s="38"/>
      <c r="T58" s="38"/>
    </row>
    <row r="59" spans="1:20" ht="15.75">
      <c r="A59" s="13">
        <v>42917</v>
      </c>
      <c r="B59" s="46">
        <v>31</v>
      </c>
      <c r="C59" s="37">
        <v>194.20500000000001</v>
      </c>
      <c r="D59" s="37">
        <v>267.46600000000001</v>
      </c>
      <c r="E59" s="43">
        <v>812.32899999999995</v>
      </c>
      <c r="F59" s="37">
        <v>1274</v>
      </c>
      <c r="G59" s="37">
        <v>50</v>
      </c>
      <c r="H59" s="45">
        <v>400</v>
      </c>
      <c r="I59" s="37">
        <v>695</v>
      </c>
      <c r="J59" s="37">
        <v>0</v>
      </c>
      <c r="K59" s="38"/>
      <c r="L59" s="47"/>
      <c r="M59" s="38"/>
      <c r="N59" s="38"/>
      <c r="O59" s="38"/>
      <c r="P59" s="38"/>
      <c r="Q59" s="38"/>
      <c r="R59" s="38"/>
      <c r="S59" s="38"/>
      <c r="T59" s="38"/>
    </row>
    <row r="60" spans="1:20" ht="15.75">
      <c r="A60" s="13">
        <v>42948</v>
      </c>
      <c r="B60" s="46">
        <v>31</v>
      </c>
      <c r="C60" s="37">
        <v>194.20500000000001</v>
      </c>
      <c r="D60" s="37">
        <v>267.46600000000001</v>
      </c>
      <c r="E60" s="43">
        <v>812.32899999999995</v>
      </c>
      <c r="F60" s="37">
        <v>1274</v>
      </c>
      <c r="G60" s="37">
        <v>50</v>
      </c>
      <c r="H60" s="45">
        <v>400</v>
      </c>
      <c r="I60" s="37">
        <v>695</v>
      </c>
      <c r="J60" s="37">
        <v>0</v>
      </c>
      <c r="K60" s="38"/>
      <c r="L60" s="47"/>
      <c r="M60" s="38"/>
      <c r="N60" s="38"/>
      <c r="O60" s="38"/>
      <c r="P60" s="38"/>
      <c r="Q60" s="38"/>
      <c r="R60" s="38"/>
      <c r="S60" s="38"/>
      <c r="T60" s="38"/>
    </row>
    <row r="61" spans="1:20" ht="15.75">
      <c r="A61" s="13">
        <v>42979</v>
      </c>
      <c r="B61" s="46">
        <v>30</v>
      </c>
      <c r="C61" s="37">
        <v>194.20500000000001</v>
      </c>
      <c r="D61" s="37">
        <v>267.46600000000001</v>
      </c>
      <c r="E61" s="43">
        <v>812.32899999999995</v>
      </c>
      <c r="F61" s="37">
        <v>1274</v>
      </c>
      <c r="G61" s="37">
        <v>50</v>
      </c>
      <c r="H61" s="45">
        <v>400</v>
      </c>
      <c r="I61" s="37">
        <v>695</v>
      </c>
      <c r="J61" s="37">
        <v>0</v>
      </c>
      <c r="K61" s="38"/>
      <c r="L61" s="47"/>
      <c r="M61" s="38"/>
      <c r="N61" s="38"/>
      <c r="O61" s="38"/>
      <c r="P61" s="38"/>
      <c r="Q61" s="38"/>
      <c r="R61" s="38"/>
      <c r="S61" s="38"/>
      <c r="T61" s="38"/>
    </row>
    <row r="62" spans="1:20" ht="15.75">
      <c r="A62" s="13">
        <v>43009</v>
      </c>
      <c r="B62" s="46">
        <v>31</v>
      </c>
      <c r="C62" s="37">
        <v>131.881</v>
      </c>
      <c r="D62" s="37">
        <v>277.16699999999997</v>
      </c>
      <c r="E62" s="43">
        <v>829.952</v>
      </c>
      <c r="F62" s="37">
        <v>1239</v>
      </c>
      <c r="G62" s="37">
        <v>75</v>
      </c>
      <c r="H62" s="45">
        <v>400</v>
      </c>
      <c r="I62" s="37">
        <v>695</v>
      </c>
      <c r="J62" s="37">
        <v>0</v>
      </c>
      <c r="K62" s="38"/>
      <c r="L62" s="47"/>
      <c r="M62" s="38"/>
      <c r="N62" s="38"/>
      <c r="O62" s="38"/>
      <c r="P62" s="38"/>
      <c r="Q62" s="38"/>
      <c r="R62" s="38"/>
      <c r="S62" s="38"/>
      <c r="T62" s="38"/>
    </row>
    <row r="63" spans="1:20" ht="15.75">
      <c r="A63" s="13">
        <v>43040</v>
      </c>
      <c r="B63" s="46">
        <v>30</v>
      </c>
      <c r="C63" s="37">
        <v>122.58</v>
      </c>
      <c r="D63" s="37">
        <v>297.94099999999997</v>
      </c>
      <c r="E63" s="43">
        <v>729.47900000000004</v>
      </c>
      <c r="F63" s="37">
        <v>1150</v>
      </c>
      <c r="G63" s="37">
        <v>100</v>
      </c>
      <c r="H63" s="45">
        <v>400</v>
      </c>
      <c r="I63" s="37">
        <v>695</v>
      </c>
      <c r="J63" s="37">
        <v>50</v>
      </c>
      <c r="K63" s="38"/>
      <c r="L63" s="47"/>
      <c r="M63" s="38"/>
      <c r="N63" s="38"/>
      <c r="O63" s="38"/>
      <c r="P63" s="38"/>
      <c r="Q63" s="38"/>
      <c r="R63" s="38"/>
      <c r="S63" s="38"/>
      <c r="T63" s="38"/>
    </row>
    <row r="64" spans="1:20" ht="15.75">
      <c r="A64" s="13">
        <v>43070</v>
      </c>
      <c r="B64" s="46">
        <v>31</v>
      </c>
      <c r="C64" s="37">
        <v>122.58</v>
      </c>
      <c r="D64" s="37">
        <v>297.94099999999997</v>
      </c>
      <c r="E64" s="43">
        <v>729.47900000000004</v>
      </c>
      <c r="F64" s="37">
        <v>1150</v>
      </c>
      <c r="G64" s="37">
        <v>100</v>
      </c>
      <c r="H64" s="45">
        <v>400</v>
      </c>
      <c r="I64" s="37">
        <v>695</v>
      </c>
      <c r="J64" s="37">
        <v>50</v>
      </c>
      <c r="K64" s="38"/>
      <c r="L64" s="47"/>
      <c r="M64" s="38"/>
      <c r="N64" s="38"/>
      <c r="O64" s="38"/>
      <c r="P64" s="38"/>
      <c r="Q64" s="38"/>
      <c r="R64" s="38"/>
      <c r="S64" s="38"/>
      <c r="T64" s="38"/>
    </row>
    <row r="65" spans="1:20" ht="15.75">
      <c r="A65" s="13">
        <v>43101</v>
      </c>
      <c r="B65" s="46">
        <v>31</v>
      </c>
      <c r="C65" s="37">
        <v>122.58</v>
      </c>
      <c r="D65" s="37">
        <v>297.94099999999997</v>
      </c>
      <c r="E65" s="43">
        <v>729.47900000000004</v>
      </c>
      <c r="F65" s="37">
        <v>1150</v>
      </c>
      <c r="G65" s="37">
        <v>100</v>
      </c>
      <c r="H65" s="45">
        <v>400</v>
      </c>
      <c r="I65" s="37">
        <v>695</v>
      </c>
      <c r="J65" s="37">
        <v>50</v>
      </c>
      <c r="K65" s="38"/>
      <c r="L65" s="47"/>
      <c r="M65" s="38"/>
      <c r="N65" s="38"/>
      <c r="O65" s="38"/>
      <c r="P65" s="38"/>
      <c r="Q65" s="38"/>
      <c r="R65" s="38"/>
      <c r="S65" s="38"/>
      <c r="T65" s="38"/>
    </row>
    <row r="66" spans="1:20" ht="15.75">
      <c r="A66" s="13">
        <v>43132</v>
      </c>
      <c r="B66" s="46">
        <v>28</v>
      </c>
      <c r="C66" s="37">
        <v>122.58</v>
      </c>
      <c r="D66" s="37">
        <v>297.94099999999997</v>
      </c>
      <c r="E66" s="43">
        <v>729.47900000000004</v>
      </c>
      <c r="F66" s="37">
        <v>1150</v>
      </c>
      <c r="G66" s="37">
        <v>100</v>
      </c>
      <c r="H66" s="45">
        <v>400</v>
      </c>
      <c r="I66" s="37">
        <v>695</v>
      </c>
      <c r="J66" s="37">
        <v>50</v>
      </c>
      <c r="K66" s="38"/>
      <c r="L66" s="47"/>
      <c r="M66" s="38"/>
      <c r="N66" s="38"/>
      <c r="O66" s="38"/>
      <c r="P66" s="38"/>
      <c r="Q66" s="38"/>
      <c r="R66" s="38"/>
      <c r="S66" s="38"/>
      <c r="T66" s="38"/>
    </row>
    <row r="67" spans="1:20" ht="15.75">
      <c r="A67" s="13">
        <v>43160</v>
      </c>
      <c r="B67" s="46">
        <v>31</v>
      </c>
      <c r="C67" s="37">
        <v>122.58</v>
      </c>
      <c r="D67" s="37">
        <v>297.94099999999997</v>
      </c>
      <c r="E67" s="43">
        <v>729.47900000000004</v>
      </c>
      <c r="F67" s="37">
        <v>1150</v>
      </c>
      <c r="G67" s="37">
        <v>100</v>
      </c>
      <c r="H67" s="45">
        <v>400</v>
      </c>
      <c r="I67" s="37">
        <v>695</v>
      </c>
      <c r="J67" s="37">
        <v>50</v>
      </c>
      <c r="K67" s="38"/>
      <c r="L67" s="47"/>
      <c r="M67" s="38"/>
      <c r="N67" s="38"/>
      <c r="O67" s="38"/>
      <c r="P67" s="38"/>
      <c r="Q67" s="38"/>
      <c r="R67" s="38"/>
      <c r="S67" s="38"/>
      <c r="T67" s="38"/>
    </row>
    <row r="68" spans="1:20" ht="15.75">
      <c r="A68" s="13">
        <v>43191</v>
      </c>
      <c r="B68" s="46">
        <v>30</v>
      </c>
      <c r="C68" s="37">
        <v>141.29300000000001</v>
      </c>
      <c r="D68" s="37">
        <v>267.99299999999999</v>
      </c>
      <c r="E68" s="43">
        <v>829.71400000000006</v>
      </c>
      <c r="F68" s="37">
        <v>1239</v>
      </c>
      <c r="G68" s="37">
        <v>100</v>
      </c>
      <c r="H68" s="45">
        <v>400</v>
      </c>
      <c r="I68" s="37">
        <v>695</v>
      </c>
      <c r="J68" s="37">
        <v>50</v>
      </c>
      <c r="K68" s="38"/>
      <c r="L68" s="47"/>
      <c r="M68" s="38"/>
      <c r="N68" s="38"/>
      <c r="O68" s="38"/>
      <c r="P68" s="38"/>
      <c r="Q68" s="38"/>
      <c r="R68" s="38"/>
      <c r="S68" s="38"/>
      <c r="T68" s="38"/>
    </row>
    <row r="69" spans="1:20" ht="15.75">
      <c r="A69" s="13">
        <v>43221</v>
      </c>
      <c r="B69" s="46">
        <v>31</v>
      </c>
      <c r="C69" s="37">
        <v>194.20500000000001</v>
      </c>
      <c r="D69" s="37">
        <v>267.46600000000001</v>
      </c>
      <c r="E69" s="43">
        <v>812.32899999999995</v>
      </c>
      <c r="F69" s="37">
        <v>1274</v>
      </c>
      <c r="G69" s="37">
        <v>75</v>
      </c>
      <c r="H69" s="45">
        <v>400</v>
      </c>
      <c r="I69" s="37">
        <v>695</v>
      </c>
      <c r="J69" s="37">
        <v>50</v>
      </c>
      <c r="K69" s="38"/>
      <c r="L69" s="47"/>
      <c r="M69" s="38"/>
      <c r="N69" s="38"/>
      <c r="O69" s="38"/>
      <c r="P69" s="38"/>
      <c r="Q69" s="38"/>
      <c r="R69" s="38"/>
      <c r="S69" s="38"/>
      <c r="T69" s="38"/>
    </row>
    <row r="70" spans="1:20" ht="15.75">
      <c r="A70" s="13">
        <v>43252</v>
      </c>
      <c r="B70" s="46">
        <v>30</v>
      </c>
      <c r="C70" s="37">
        <v>194.20500000000001</v>
      </c>
      <c r="D70" s="37">
        <v>267.46600000000001</v>
      </c>
      <c r="E70" s="43">
        <v>812.32899999999995</v>
      </c>
      <c r="F70" s="37">
        <v>1274</v>
      </c>
      <c r="G70" s="37">
        <v>50</v>
      </c>
      <c r="H70" s="45">
        <v>400</v>
      </c>
      <c r="I70" s="37">
        <v>695</v>
      </c>
      <c r="J70" s="37">
        <v>50</v>
      </c>
      <c r="K70" s="38"/>
      <c r="L70" s="47"/>
      <c r="M70" s="38"/>
      <c r="N70" s="38"/>
      <c r="O70" s="38"/>
      <c r="P70" s="38"/>
      <c r="Q70" s="38"/>
      <c r="R70" s="38"/>
      <c r="S70" s="38"/>
      <c r="T70" s="38"/>
    </row>
    <row r="71" spans="1:20" ht="15.75">
      <c r="A71" s="13">
        <v>43282</v>
      </c>
      <c r="B71" s="46">
        <v>31</v>
      </c>
      <c r="C71" s="37">
        <v>194.20500000000001</v>
      </c>
      <c r="D71" s="37">
        <v>267.46600000000001</v>
      </c>
      <c r="E71" s="43">
        <v>812.32899999999995</v>
      </c>
      <c r="F71" s="37">
        <v>1274</v>
      </c>
      <c r="G71" s="37">
        <v>50</v>
      </c>
      <c r="H71" s="45">
        <v>400</v>
      </c>
      <c r="I71" s="37">
        <v>695</v>
      </c>
      <c r="J71" s="37">
        <v>0</v>
      </c>
      <c r="K71" s="38"/>
      <c r="L71" s="47"/>
      <c r="M71" s="38"/>
      <c r="N71" s="38"/>
      <c r="O71" s="38"/>
      <c r="P71" s="38"/>
      <c r="Q71" s="38"/>
      <c r="R71" s="38"/>
      <c r="S71" s="38"/>
      <c r="T71" s="38"/>
    </row>
    <row r="72" spans="1:20" ht="15.75">
      <c r="A72" s="13">
        <v>43313</v>
      </c>
      <c r="B72" s="46">
        <v>31</v>
      </c>
      <c r="C72" s="37">
        <v>194.20500000000001</v>
      </c>
      <c r="D72" s="37">
        <v>267.46600000000001</v>
      </c>
      <c r="E72" s="43">
        <v>812.32899999999995</v>
      </c>
      <c r="F72" s="37">
        <v>1274</v>
      </c>
      <c r="G72" s="37">
        <v>50</v>
      </c>
      <c r="H72" s="45">
        <v>400</v>
      </c>
      <c r="I72" s="37">
        <v>695</v>
      </c>
      <c r="J72" s="37">
        <v>0</v>
      </c>
      <c r="K72" s="38"/>
      <c r="L72" s="47"/>
      <c r="M72" s="38"/>
      <c r="N72" s="38"/>
      <c r="O72" s="38"/>
      <c r="P72" s="38"/>
      <c r="Q72" s="38"/>
      <c r="R72" s="38"/>
      <c r="S72" s="38"/>
      <c r="T72" s="38"/>
    </row>
    <row r="73" spans="1:20" ht="15.75">
      <c r="A73" s="13">
        <v>43344</v>
      </c>
      <c r="B73" s="46">
        <v>30</v>
      </c>
      <c r="C73" s="37">
        <v>194.20500000000001</v>
      </c>
      <c r="D73" s="37">
        <v>267.46600000000001</v>
      </c>
      <c r="E73" s="43">
        <v>812.32899999999995</v>
      </c>
      <c r="F73" s="37">
        <v>1274</v>
      </c>
      <c r="G73" s="37">
        <v>50</v>
      </c>
      <c r="H73" s="45">
        <v>400</v>
      </c>
      <c r="I73" s="37">
        <v>695</v>
      </c>
      <c r="J73" s="37">
        <v>0</v>
      </c>
      <c r="K73" s="38"/>
      <c r="L73" s="47"/>
      <c r="M73" s="38"/>
      <c r="N73" s="38"/>
      <c r="O73" s="38"/>
      <c r="P73" s="38"/>
      <c r="Q73" s="38"/>
      <c r="R73" s="38"/>
      <c r="S73" s="38"/>
      <c r="T73" s="38"/>
    </row>
    <row r="74" spans="1:20" ht="15.75">
      <c r="A74" s="13">
        <v>43374</v>
      </c>
      <c r="B74" s="46">
        <v>31</v>
      </c>
      <c r="C74" s="37">
        <v>131.881</v>
      </c>
      <c r="D74" s="37">
        <v>277.16699999999997</v>
      </c>
      <c r="E74" s="43">
        <v>829.952</v>
      </c>
      <c r="F74" s="37">
        <v>1239</v>
      </c>
      <c r="G74" s="37">
        <v>75</v>
      </c>
      <c r="H74" s="45">
        <v>400</v>
      </c>
      <c r="I74" s="37">
        <v>695</v>
      </c>
      <c r="J74" s="37">
        <v>0</v>
      </c>
      <c r="K74" s="38"/>
      <c r="L74" s="47"/>
      <c r="M74" s="38"/>
      <c r="N74" s="38"/>
      <c r="O74" s="38"/>
      <c r="P74" s="38"/>
      <c r="Q74" s="38"/>
      <c r="R74" s="38"/>
      <c r="S74" s="38"/>
      <c r="T74" s="38"/>
    </row>
    <row r="75" spans="1:20" ht="15.75">
      <c r="A75" s="13">
        <v>43405</v>
      </c>
      <c r="B75" s="46">
        <v>30</v>
      </c>
      <c r="C75" s="37">
        <v>122.58</v>
      </c>
      <c r="D75" s="37">
        <v>297.94099999999997</v>
      </c>
      <c r="E75" s="43">
        <v>729.47900000000004</v>
      </c>
      <c r="F75" s="37">
        <v>1150</v>
      </c>
      <c r="G75" s="37">
        <v>100</v>
      </c>
      <c r="H75" s="45">
        <v>400</v>
      </c>
      <c r="I75" s="37">
        <v>695</v>
      </c>
      <c r="J75" s="37">
        <v>50</v>
      </c>
      <c r="K75" s="38"/>
      <c r="L75" s="47"/>
      <c r="M75" s="38"/>
      <c r="N75" s="38"/>
      <c r="O75" s="38"/>
      <c r="P75" s="38"/>
      <c r="Q75" s="38"/>
      <c r="R75" s="38"/>
      <c r="S75" s="38"/>
      <c r="T75" s="38"/>
    </row>
    <row r="76" spans="1:20" ht="15.75">
      <c r="A76" s="13">
        <v>43435</v>
      </c>
      <c r="B76" s="46">
        <v>31</v>
      </c>
      <c r="C76" s="37">
        <v>122.58</v>
      </c>
      <c r="D76" s="37">
        <v>297.94099999999997</v>
      </c>
      <c r="E76" s="43">
        <v>729.47900000000004</v>
      </c>
      <c r="F76" s="37">
        <v>1150</v>
      </c>
      <c r="G76" s="37">
        <v>100</v>
      </c>
      <c r="H76" s="45">
        <v>400</v>
      </c>
      <c r="I76" s="37">
        <v>695</v>
      </c>
      <c r="J76" s="37">
        <v>50</v>
      </c>
      <c r="K76" s="38"/>
      <c r="L76" s="47"/>
      <c r="M76" s="38"/>
      <c r="N76" s="38"/>
      <c r="O76" s="38"/>
      <c r="P76" s="38"/>
      <c r="Q76" s="38"/>
      <c r="R76" s="38"/>
      <c r="S76" s="38"/>
      <c r="T76" s="38"/>
    </row>
    <row r="77" spans="1:20" ht="15.75">
      <c r="A77" s="13">
        <v>43466</v>
      </c>
      <c r="B77" s="46">
        <v>31</v>
      </c>
      <c r="C77" s="37">
        <v>122.58</v>
      </c>
      <c r="D77" s="37">
        <v>297.94099999999997</v>
      </c>
      <c r="E77" s="43">
        <v>729.47900000000004</v>
      </c>
      <c r="F77" s="37">
        <v>1150</v>
      </c>
      <c r="G77" s="37">
        <v>100</v>
      </c>
      <c r="H77" s="45">
        <v>400</v>
      </c>
      <c r="I77" s="37">
        <v>695</v>
      </c>
      <c r="J77" s="37">
        <v>50</v>
      </c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15.75">
      <c r="A78" s="13">
        <v>43497</v>
      </c>
      <c r="B78" s="46">
        <v>28</v>
      </c>
      <c r="C78" s="37">
        <v>122.58</v>
      </c>
      <c r="D78" s="37">
        <v>297.94099999999997</v>
      </c>
      <c r="E78" s="43">
        <v>729.47900000000004</v>
      </c>
      <c r="F78" s="37">
        <v>1150</v>
      </c>
      <c r="G78" s="37">
        <v>100</v>
      </c>
      <c r="H78" s="45">
        <v>400</v>
      </c>
      <c r="I78" s="37">
        <v>695</v>
      </c>
      <c r="J78" s="37">
        <v>50</v>
      </c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15.75">
      <c r="A79" s="13">
        <v>43525</v>
      </c>
      <c r="B79" s="46">
        <v>31</v>
      </c>
      <c r="C79" s="37">
        <v>122.58</v>
      </c>
      <c r="D79" s="37">
        <v>297.94099999999997</v>
      </c>
      <c r="E79" s="43">
        <v>729.47900000000004</v>
      </c>
      <c r="F79" s="37">
        <v>1150</v>
      </c>
      <c r="G79" s="37">
        <v>100</v>
      </c>
      <c r="H79" s="45">
        <v>400</v>
      </c>
      <c r="I79" s="37">
        <v>695</v>
      </c>
      <c r="J79" s="37">
        <v>50</v>
      </c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5.75">
      <c r="A80" s="13">
        <v>43556</v>
      </c>
      <c r="B80" s="46">
        <v>30</v>
      </c>
      <c r="C80" s="37">
        <v>141.29300000000001</v>
      </c>
      <c r="D80" s="37">
        <v>267.99299999999999</v>
      </c>
      <c r="E80" s="43">
        <v>829.71400000000006</v>
      </c>
      <c r="F80" s="37">
        <v>1239</v>
      </c>
      <c r="G80" s="37">
        <v>100</v>
      </c>
      <c r="H80" s="45">
        <v>400</v>
      </c>
      <c r="I80" s="37">
        <v>695</v>
      </c>
      <c r="J80" s="37">
        <v>50</v>
      </c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15.75">
      <c r="A81" s="13">
        <v>43586</v>
      </c>
      <c r="B81" s="46">
        <v>31</v>
      </c>
      <c r="C81" s="37">
        <v>194.20500000000001</v>
      </c>
      <c r="D81" s="37">
        <v>267.46600000000001</v>
      </c>
      <c r="E81" s="43">
        <v>812.32899999999995</v>
      </c>
      <c r="F81" s="37">
        <v>1274</v>
      </c>
      <c r="G81" s="37">
        <v>75</v>
      </c>
      <c r="H81" s="45">
        <v>400</v>
      </c>
      <c r="I81" s="37">
        <v>695</v>
      </c>
      <c r="J81" s="37">
        <v>50</v>
      </c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15.75">
      <c r="A82" s="13">
        <v>43617</v>
      </c>
      <c r="B82" s="46">
        <v>30</v>
      </c>
      <c r="C82" s="37">
        <v>194.20500000000001</v>
      </c>
      <c r="D82" s="37">
        <v>267.46600000000001</v>
      </c>
      <c r="E82" s="43">
        <v>812.32899999999995</v>
      </c>
      <c r="F82" s="37">
        <v>1274</v>
      </c>
      <c r="G82" s="37">
        <v>50</v>
      </c>
      <c r="H82" s="45">
        <v>400</v>
      </c>
      <c r="I82" s="37">
        <v>695</v>
      </c>
      <c r="J82" s="37">
        <v>50</v>
      </c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15.75">
      <c r="A83" s="13">
        <v>43647</v>
      </c>
      <c r="B83" s="46">
        <v>31</v>
      </c>
      <c r="C83" s="37">
        <v>194.20500000000001</v>
      </c>
      <c r="D83" s="37">
        <v>267.46600000000001</v>
      </c>
      <c r="E83" s="43">
        <v>812.32899999999995</v>
      </c>
      <c r="F83" s="37">
        <v>1274</v>
      </c>
      <c r="G83" s="37">
        <v>50</v>
      </c>
      <c r="H83" s="45">
        <v>400</v>
      </c>
      <c r="I83" s="37">
        <v>695</v>
      </c>
      <c r="J83" s="37">
        <v>0</v>
      </c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15.75">
      <c r="A84" s="13">
        <v>43678</v>
      </c>
      <c r="B84" s="46">
        <v>31</v>
      </c>
      <c r="C84" s="37">
        <v>194.20500000000001</v>
      </c>
      <c r="D84" s="37">
        <v>267.46600000000001</v>
      </c>
      <c r="E84" s="43">
        <v>812.32899999999995</v>
      </c>
      <c r="F84" s="37">
        <v>1274</v>
      </c>
      <c r="G84" s="37">
        <v>50</v>
      </c>
      <c r="H84" s="45">
        <v>400</v>
      </c>
      <c r="I84" s="37">
        <v>695</v>
      </c>
      <c r="J84" s="37">
        <v>0</v>
      </c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15.75">
      <c r="A85" s="13">
        <v>43709</v>
      </c>
      <c r="B85" s="46">
        <v>30</v>
      </c>
      <c r="C85" s="37">
        <v>194.20500000000001</v>
      </c>
      <c r="D85" s="37">
        <v>267.46600000000001</v>
      </c>
      <c r="E85" s="43">
        <v>812.32899999999995</v>
      </c>
      <c r="F85" s="37">
        <v>1274</v>
      </c>
      <c r="G85" s="37">
        <v>50</v>
      </c>
      <c r="H85" s="45">
        <v>400</v>
      </c>
      <c r="I85" s="37">
        <v>695</v>
      </c>
      <c r="J85" s="37">
        <v>0</v>
      </c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ht="15.75">
      <c r="A86" s="13">
        <v>43739</v>
      </c>
      <c r="B86" s="46">
        <v>31</v>
      </c>
      <c r="C86" s="37">
        <v>131.881</v>
      </c>
      <c r="D86" s="37">
        <v>277.16699999999997</v>
      </c>
      <c r="E86" s="43">
        <v>829.952</v>
      </c>
      <c r="F86" s="37">
        <v>1239</v>
      </c>
      <c r="G86" s="37">
        <v>75</v>
      </c>
      <c r="H86" s="45">
        <v>400</v>
      </c>
      <c r="I86" s="37">
        <v>695</v>
      </c>
      <c r="J86" s="37">
        <v>0</v>
      </c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>
      <c r="A87" s="13">
        <v>43770</v>
      </c>
      <c r="B87" s="46">
        <v>30</v>
      </c>
      <c r="C87" s="37">
        <v>122.58</v>
      </c>
      <c r="D87" s="37">
        <v>297.94099999999997</v>
      </c>
      <c r="E87" s="43">
        <v>729.47900000000004</v>
      </c>
      <c r="F87" s="37">
        <v>1150</v>
      </c>
      <c r="G87" s="37">
        <v>100</v>
      </c>
      <c r="H87" s="45">
        <v>400</v>
      </c>
      <c r="I87" s="37">
        <v>695</v>
      </c>
      <c r="J87" s="37">
        <v>50</v>
      </c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ht="15.75">
      <c r="A88" s="13">
        <v>43800</v>
      </c>
      <c r="B88" s="46">
        <v>31</v>
      </c>
      <c r="C88" s="37">
        <v>122.58</v>
      </c>
      <c r="D88" s="37">
        <v>297.94099999999997</v>
      </c>
      <c r="E88" s="43">
        <v>729.47900000000004</v>
      </c>
      <c r="F88" s="37">
        <v>1150</v>
      </c>
      <c r="G88" s="37">
        <v>100</v>
      </c>
      <c r="H88" s="45">
        <v>400</v>
      </c>
      <c r="I88" s="37">
        <v>695</v>
      </c>
      <c r="J88" s="37">
        <v>50</v>
      </c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ht="15.75">
      <c r="A89" s="13">
        <v>43831</v>
      </c>
      <c r="B89" s="46">
        <v>31</v>
      </c>
      <c r="C89" s="37">
        <v>122.58</v>
      </c>
      <c r="D89" s="37">
        <v>297.94099999999997</v>
      </c>
      <c r="E89" s="43">
        <v>729.47900000000004</v>
      </c>
      <c r="F89" s="37">
        <v>1150</v>
      </c>
      <c r="G89" s="37">
        <v>100</v>
      </c>
      <c r="H89" s="45">
        <v>400</v>
      </c>
      <c r="I89" s="37">
        <v>695</v>
      </c>
      <c r="J89" s="37">
        <v>50</v>
      </c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ht="15.75">
      <c r="A90" s="13">
        <v>43862</v>
      </c>
      <c r="B90" s="46">
        <v>29</v>
      </c>
      <c r="C90" s="37">
        <v>122.58</v>
      </c>
      <c r="D90" s="37">
        <v>297.94099999999997</v>
      </c>
      <c r="E90" s="43">
        <v>729.47900000000004</v>
      </c>
      <c r="F90" s="37">
        <v>1150</v>
      </c>
      <c r="G90" s="37">
        <v>100</v>
      </c>
      <c r="H90" s="45">
        <v>400</v>
      </c>
      <c r="I90" s="37">
        <v>695</v>
      </c>
      <c r="J90" s="37">
        <v>50</v>
      </c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ht="15.75">
      <c r="A91" s="13">
        <v>43891</v>
      </c>
      <c r="B91" s="46">
        <v>31</v>
      </c>
      <c r="C91" s="37">
        <v>122.58</v>
      </c>
      <c r="D91" s="37">
        <v>297.94099999999997</v>
      </c>
      <c r="E91" s="43">
        <v>729.47900000000004</v>
      </c>
      <c r="F91" s="37">
        <v>1150</v>
      </c>
      <c r="G91" s="37">
        <v>100</v>
      </c>
      <c r="H91" s="45">
        <v>400</v>
      </c>
      <c r="I91" s="37">
        <v>695</v>
      </c>
      <c r="J91" s="37">
        <v>50</v>
      </c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ht="15.75">
      <c r="A92" s="13">
        <v>43922</v>
      </c>
      <c r="B92" s="46">
        <v>30</v>
      </c>
      <c r="C92" s="37">
        <v>141.29300000000001</v>
      </c>
      <c r="D92" s="37">
        <v>267.99299999999999</v>
      </c>
      <c r="E92" s="43">
        <v>829.71400000000006</v>
      </c>
      <c r="F92" s="37">
        <v>1239</v>
      </c>
      <c r="G92" s="37">
        <v>100</v>
      </c>
      <c r="H92" s="45">
        <v>400</v>
      </c>
      <c r="I92" s="37">
        <v>695</v>
      </c>
      <c r="J92" s="37">
        <v>50</v>
      </c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ht="15.75">
      <c r="A93" s="13">
        <v>43952</v>
      </c>
      <c r="B93" s="46">
        <v>31</v>
      </c>
      <c r="C93" s="37">
        <v>194.20500000000001</v>
      </c>
      <c r="D93" s="37">
        <v>267.46600000000001</v>
      </c>
      <c r="E93" s="43">
        <v>812.32899999999995</v>
      </c>
      <c r="F93" s="37">
        <v>1274</v>
      </c>
      <c r="G93" s="37">
        <v>75</v>
      </c>
      <c r="H93" s="45">
        <v>600</v>
      </c>
      <c r="I93" s="37">
        <v>695</v>
      </c>
      <c r="J93" s="37">
        <v>50</v>
      </c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ht="15.75">
      <c r="A94" s="13">
        <v>43983</v>
      </c>
      <c r="B94" s="46">
        <v>30</v>
      </c>
      <c r="C94" s="37">
        <v>194.20500000000001</v>
      </c>
      <c r="D94" s="37">
        <v>267.46600000000001</v>
      </c>
      <c r="E94" s="43">
        <v>812.32899999999995</v>
      </c>
      <c r="F94" s="37">
        <v>1274</v>
      </c>
      <c r="G94" s="37">
        <v>50</v>
      </c>
      <c r="H94" s="45">
        <v>600</v>
      </c>
      <c r="I94" s="37">
        <v>695</v>
      </c>
      <c r="J94" s="37">
        <v>50</v>
      </c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ht="15.75">
      <c r="A95" s="13">
        <v>44013</v>
      </c>
      <c r="B95" s="46">
        <v>31</v>
      </c>
      <c r="C95" s="37">
        <v>194.20500000000001</v>
      </c>
      <c r="D95" s="37">
        <v>267.46600000000001</v>
      </c>
      <c r="E95" s="43">
        <v>812.32899999999995</v>
      </c>
      <c r="F95" s="37">
        <v>1274</v>
      </c>
      <c r="G95" s="37">
        <v>50</v>
      </c>
      <c r="H95" s="45">
        <v>600</v>
      </c>
      <c r="I95" s="37">
        <v>695</v>
      </c>
      <c r="J95" s="37">
        <v>0</v>
      </c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ht="15.75">
      <c r="A96" s="13">
        <v>44044</v>
      </c>
      <c r="B96" s="46">
        <v>31</v>
      </c>
      <c r="C96" s="37">
        <v>194.20500000000001</v>
      </c>
      <c r="D96" s="37">
        <v>267.46600000000001</v>
      </c>
      <c r="E96" s="43">
        <v>812.32899999999995</v>
      </c>
      <c r="F96" s="37">
        <v>1274</v>
      </c>
      <c r="G96" s="37">
        <v>50</v>
      </c>
      <c r="H96" s="45">
        <v>600</v>
      </c>
      <c r="I96" s="37">
        <v>695</v>
      </c>
      <c r="J96" s="37">
        <v>0</v>
      </c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ht="15.75">
      <c r="A97" s="13">
        <v>44075</v>
      </c>
      <c r="B97" s="46">
        <v>30</v>
      </c>
      <c r="C97" s="37">
        <v>194.20500000000001</v>
      </c>
      <c r="D97" s="37">
        <v>267.46600000000001</v>
      </c>
      <c r="E97" s="43">
        <v>812.32899999999995</v>
      </c>
      <c r="F97" s="37">
        <v>1274</v>
      </c>
      <c r="G97" s="37">
        <v>50</v>
      </c>
      <c r="H97" s="45">
        <v>600</v>
      </c>
      <c r="I97" s="37">
        <v>695</v>
      </c>
      <c r="J97" s="37">
        <v>0</v>
      </c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>
      <c r="A98" s="13">
        <v>44105</v>
      </c>
      <c r="B98" s="46">
        <v>31</v>
      </c>
      <c r="C98" s="37">
        <v>131.881</v>
      </c>
      <c r="D98" s="37">
        <v>277.16699999999997</v>
      </c>
      <c r="E98" s="43">
        <v>829.952</v>
      </c>
      <c r="F98" s="37">
        <v>1239</v>
      </c>
      <c r="G98" s="37">
        <v>75</v>
      </c>
      <c r="H98" s="45">
        <v>600</v>
      </c>
      <c r="I98" s="37">
        <v>695</v>
      </c>
      <c r="J98" s="37">
        <v>0</v>
      </c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ht="15.75">
      <c r="A99" s="13">
        <v>44136</v>
      </c>
      <c r="B99" s="46">
        <v>30</v>
      </c>
      <c r="C99" s="37">
        <v>122.58</v>
      </c>
      <c r="D99" s="37">
        <v>297.94099999999997</v>
      </c>
      <c r="E99" s="43">
        <v>729.47900000000004</v>
      </c>
      <c r="F99" s="37">
        <v>1150</v>
      </c>
      <c r="G99" s="37">
        <v>100</v>
      </c>
      <c r="H99" s="45">
        <v>600</v>
      </c>
      <c r="I99" s="37">
        <v>695</v>
      </c>
      <c r="J99" s="37">
        <v>50</v>
      </c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ht="15.75">
      <c r="A100" s="13">
        <v>44166</v>
      </c>
      <c r="B100" s="46">
        <v>31</v>
      </c>
      <c r="C100" s="37">
        <v>122.58</v>
      </c>
      <c r="D100" s="37">
        <v>297.94099999999997</v>
      </c>
      <c r="E100" s="43">
        <v>729.47900000000004</v>
      </c>
      <c r="F100" s="37">
        <v>1150</v>
      </c>
      <c r="G100" s="37">
        <v>100</v>
      </c>
      <c r="H100" s="45">
        <v>600</v>
      </c>
      <c r="I100" s="37">
        <v>695</v>
      </c>
      <c r="J100" s="37">
        <v>50</v>
      </c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  <row r="101" spans="1:20" ht="15.75">
      <c r="A101" s="13">
        <v>44197</v>
      </c>
      <c r="B101" s="46">
        <v>31</v>
      </c>
      <c r="C101" s="37">
        <v>122.58</v>
      </c>
      <c r="D101" s="37">
        <v>297.94099999999997</v>
      </c>
      <c r="E101" s="43">
        <v>729.47900000000004</v>
      </c>
      <c r="F101" s="37">
        <v>1150</v>
      </c>
      <c r="G101" s="37">
        <v>100</v>
      </c>
      <c r="H101" s="45">
        <v>600</v>
      </c>
      <c r="I101" s="37">
        <v>695</v>
      </c>
      <c r="J101" s="37">
        <v>50</v>
      </c>
      <c r="K101" s="38"/>
      <c r="L101" s="38"/>
      <c r="M101" s="38"/>
      <c r="N101" s="38"/>
      <c r="O101" s="38"/>
      <c r="P101" s="38"/>
      <c r="Q101" s="38"/>
      <c r="R101" s="38"/>
      <c r="S101" s="38"/>
      <c r="T101" s="38"/>
    </row>
    <row r="102" spans="1:20" ht="15.75">
      <c r="A102" s="13">
        <v>44228</v>
      </c>
      <c r="B102" s="46">
        <v>28</v>
      </c>
      <c r="C102" s="37">
        <v>122.58</v>
      </c>
      <c r="D102" s="37">
        <v>297.94099999999997</v>
      </c>
      <c r="E102" s="43">
        <v>729.47900000000004</v>
      </c>
      <c r="F102" s="37">
        <v>1150</v>
      </c>
      <c r="G102" s="37">
        <v>100</v>
      </c>
      <c r="H102" s="45">
        <v>600</v>
      </c>
      <c r="I102" s="37">
        <v>695</v>
      </c>
      <c r="J102" s="37">
        <v>50</v>
      </c>
      <c r="K102" s="38"/>
      <c r="L102" s="38"/>
      <c r="M102" s="38"/>
      <c r="N102" s="38"/>
      <c r="O102" s="38"/>
      <c r="P102" s="38"/>
      <c r="Q102" s="38"/>
      <c r="R102" s="38"/>
      <c r="S102" s="38"/>
      <c r="T102" s="38"/>
    </row>
    <row r="103" spans="1:20" ht="15.75">
      <c r="A103" s="13">
        <v>44256</v>
      </c>
      <c r="B103" s="46">
        <v>31</v>
      </c>
      <c r="C103" s="37">
        <v>122.58</v>
      </c>
      <c r="D103" s="37">
        <v>297.94099999999997</v>
      </c>
      <c r="E103" s="43">
        <v>729.47900000000004</v>
      </c>
      <c r="F103" s="37">
        <v>1150</v>
      </c>
      <c r="G103" s="37">
        <v>100</v>
      </c>
      <c r="H103" s="45">
        <v>600</v>
      </c>
      <c r="I103" s="37">
        <v>695</v>
      </c>
      <c r="J103" s="37">
        <v>50</v>
      </c>
      <c r="K103" s="38"/>
      <c r="L103" s="38"/>
      <c r="M103" s="38"/>
      <c r="N103" s="38"/>
      <c r="O103" s="38"/>
      <c r="P103" s="38"/>
      <c r="Q103" s="38"/>
      <c r="R103" s="38"/>
      <c r="S103" s="38"/>
      <c r="T103" s="38"/>
    </row>
    <row r="104" spans="1:20" ht="15.75">
      <c r="A104" s="13">
        <v>44287</v>
      </c>
      <c r="B104" s="46">
        <v>30</v>
      </c>
      <c r="C104" s="37">
        <v>141.29300000000001</v>
      </c>
      <c r="D104" s="37">
        <v>267.99299999999999</v>
      </c>
      <c r="E104" s="43">
        <v>829.71400000000006</v>
      </c>
      <c r="F104" s="37">
        <v>1239</v>
      </c>
      <c r="G104" s="37">
        <v>100</v>
      </c>
      <c r="H104" s="45">
        <v>600</v>
      </c>
      <c r="I104" s="37">
        <v>695</v>
      </c>
      <c r="J104" s="37">
        <v>50</v>
      </c>
      <c r="K104" s="38"/>
      <c r="L104" s="38"/>
      <c r="M104" s="38"/>
      <c r="N104" s="38"/>
      <c r="O104" s="38"/>
      <c r="P104" s="38"/>
      <c r="Q104" s="38"/>
      <c r="R104" s="38"/>
      <c r="S104" s="38"/>
      <c r="T104" s="38"/>
    </row>
    <row r="105" spans="1:20" ht="15.75">
      <c r="A105" s="13">
        <v>44317</v>
      </c>
      <c r="B105" s="46">
        <v>31</v>
      </c>
      <c r="C105" s="37">
        <v>194.20500000000001</v>
      </c>
      <c r="D105" s="37">
        <v>267.46600000000001</v>
      </c>
      <c r="E105" s="43">
        <v>812.32899999999995</v>
      </c>
      <c r="F105" s="37">
        <v>1274</v>
      </c>
      <c r="G105" s="37">
        <v>75</v>
      </c>
      <c r="H105" s="45">
        <v>600</v>
      </c>
      <c r="I105" s="37">
        <v>695</v>
      </c>
      <c r="J105" s="37">
        <v>50</v>
      </c>
      <c r="K105" s="38"/>
      <c r="L105" s="38"/>
      <c r="M105" s="38"/>
      <c r="N105" s="38"/>
      <c r="O105" s="38"/>
      <c r="P105" s="38"/>
      <c r="Q105" s="38"/>
      <c r="R105" s="38"/>
      <c r="S105" s="38"/>
      <c r="T105" s="38"/>
    </row>
    <row r="106" spans="1:20" ht="15.75">
      <c r="A106" s="13">
        <v>44348</v>
      </c>
      <c r="B106" s="46">
        <v>30</v>
      </c>
      <c r="C106" s="37">
        <v>194.20500000000001</v>
      </c>
      <c r="D106" s="37">
        <v>267.46600000000001</v>
      </c>
      <c r="E106" s="43">
        <v>812.32899999999995</v>
      </c>
      <c r="F106" s="37">
        <v>1274</v>
      </c>
      <c r="G106" s="37">
        <v>50</v>
      </c>
      <c r="H106" s="45">
        <v>600</v>
      </c>
      <c r="I106" s="37">
        <v>695</v>
      </c>
      <c r="J106" s="37">
        <v>50</v>
      </c>
      <c r="K106" s="38"/>
      <c r="L106" s="38"/>
      <c r="M106" s="38"/>
      <c r="N106" s="38"/>
      <c r="O106" s="38"/>
      <c r="P106" s="38"/>
      <c r="Q106" s="38"/>
      <c r="R106" s="38"/>
      <c r="S106" s="38"/>
      <c r="T106" s="38"/>
    </row>
    <row r="107" spans="1:20" ht="15.75">
      <c r="A107" s="13">
        <v>44378</v>
      </c>
      <c r="B107" s="46">
        <v>31</v>
      </c>
      <c r="C107" s="37">
        <v>194.20500000000001</v>
      </c>
      <c r="D107" s="37">
        <v>267.46600000000001</v>
      </c>
      <c r="E107" s="43">
        <v>812.32899999999995</v>
      </c>
      <c r="F107" s="37">
        <v>1274</v>
      </c>
      <c r="G107" s="37">
        <v>50</v>
      </c>
      <c r="H107" s="45">
        <v>600</v>
      </c>
      <c r="I107" s="37">
        <v>695</v>
      </c>
      <c r="J107" s="37">
        <v>0</v>
      </c>
      <c r="K107" s="38"/>
      <c r="L107" s="38"/>
      <c r="M107" s="38"/>
      <c r="N107" s="38"/>
      <c r="O107" s="38"/>
      <c r="P107" s="38"/>
      <c r="Q107" s="38"/>
      <c r="R107" s="38"/>
      <c r="S107" s="38"/>
      <c r="T107" s="38"/>
    </row>
    <row r="108" spans="1:20" ht="15.75">
      <c r="A108" s="13">
        <v>44409</v>
      </c>
      <c r="B108" s="46">
        <v>31</v>
      </c>
      <c r="C108" s="37">
        <v>194.20500000000001</v>
      </c>
      <c r="D108" s="37">
        <v>267.46600000000001</v>
      </c>
      <c r="E108" s="43">
        <v>812.32899999999995</v>
      </c>
      <c r="F108" s="37">
        <v>1274</v>
      </c>
      <c r="G108" s="37">
        <v>50</v>
      </c>
      <c r="H108" s="45">
        <v>600</v>
      </c>
      <c r="I108" s="37">
        <v>695</v>
      </c>
      <c r="J108" s="37">
        <v>0</v>
      </c>
      <c r="K108" s="38"/>
      <c r="L108" s="38"/>
      <c r="M108" s="38"/>
      <c r="N108" s="38"/>
      <c r="O108" s="38"/>
      <c r="P108" s="38"/>
      <c r="Q108" s="38"/>
      <c r="R108" s="38"/>
      <c r="S108" s="38"/>
      <c r="T108" s="38"/>
    </row>
    <row r="109" spans="1:20" ht="15.75">
      <c r="A109" s="13">
        <v>44440</v>
      </c>
      <c r="B109" s="46">
        <v>30</v>
      </c>
      <c r="C109" s="37">
        <v>194.20500000000001</v>
      </c>
      <c r="D109" s="37">
        <v>267.46600000000001</v>
      </c>
      <c r="E109" s="43">
        <v>812.32899999999995</v>
      </c>
      <c r="F109" s="37">
        <v>1274</v>
      </c>
      <c r="G109" s="37">
        <v>50</v>
      </c>
      <c r="H109" s="45">
        <v>600</v>
      </c>
      <c r="I109" s="37">
        <v>695</v>
      </c>
      <c r="J109" s="37">
        <v>0</v>
      </c>
      <c r="K109" s="38"/>
      <c r="L109" s="38"/>
      <c r="M109" s="38"/>
      <c r="N109" s="38"/>
      <c r="O109" s="38"/>
      <c r="P109" s="38"/>
      <c r="Q109" s="38"/>
      <c r="R109" s="38"/>
      <c r="S109" s="38"/>
      <c r="T109" s="38"/>
    </row>
    <row r="110" spans="1:20" ht="15.75">
      <c r="A110" s="13">
        <v>44470</v>
      </c>
      <c r="B110" s="46">
        <v>31</v>
      </c>
      <c r="C110" s="37">
        <v>131.881</v>
      </c>
      <c r="D110" s="37">
        <v>277.16699999999997</v>
      </c>
      <c r="E110" s="43">
        <v>829.952</v>
      </c>
      <c r="F110" s="37">
        <v>1239</v>
      </c>
      <c r="G110" s="37">
        <v>75</v>
      </c>
      <c r="H110" s="45">
        <v>600</v>
      </c>
      <c r="I110" s="37">
        <v>695</v>
      </c>
      <c r="J110" s="37">
        <v>0</v>
      </c>
      <c r="K110" s="38"/>
      <c r="L110" s="38"/>
      <c r="M110" s="38"/>
      <c r="N110" s="38"/>
      <c r="O110" s="38"/>
      <c r="P110" s="38"/>
      <c r="Q110" s="38"/>
      <c r="R110" s="38"/>
      <c r="S110" s="38"/>
      <c r="T110" s="38"/>
    </row>
    <row r="111" spans="1:20" ht="15.75">
      <c r="A111" s="13">
        <v>44501</v>
      </c>
      <c r="B111" s="46">
        <v>30</v>
      </c>
      <c r="C111" s="37">
        <v>122.58</v>
      </c>
      <c r="D111" s="37">
        <v>297.94099999999997</v>
      </c>
      <c r="E111" s="43">
        <v>729.47900000000004</v>
      </c>
      <c r="F111" s="37">
        <v>1150</v>
      </c>
      <c r="G111" s="37">
        <v>100</v>
      </c>
      <c r="H111" s="45">
        <v>600</v>
      </c>
      <c r="I111" s="37">
        <v>695</v>
      </c>
      <c r="J111" s="37">
        <v>50</v>
      </c>
      <c r="K111" s="38"/>
      <c r="L111" s="38"/>
      <c r="M111" s="38"/>
      <c r="N111" s="38"/>
      <c r="O111" s="38"/>
      <c r="P111" s="38"/>
      <c r="Q111" s="38"/>
      <c r="R111" s="38"/>
      <c r="S111" s="38"/>
      <c r="T111" s="38"/>
    </row>
    <row r="112" spans="1:20" ht="15.75">
      <c r="A112" s="13">
        <v>44531</v>
      </c>
      <c r="B112" s="46">
        <v>31</v>
      </c>
      <c r="C112" s="37">
        <v>122.58</v>
      </c>
      <c r="D112" s="37">
        <v>297.94099999999997</v>
      </c>
      <c r="E112" s="43">
        <v>729.47900000000004</v>
      </c>
      <c r="F112" s="37">
        <v>1150</v>
      </c>
      <c r="G112" s="37">
        <v>100</v>
      </c>
      <c r="H112" s="45">
        <v>600</v>
      </c>
      <c r="I112" s="37">
        <v>695</v>
      </c>
      <c r="J112" s="37">
        <v>50</v>
      </c>
      <c r="K112" s="38"/>
      <c r="L112" s="38"/>
      <c r="M112" s="38"/>
      <c r="N112" s="38"/>
      <c r="O112" s="38"/>
      <c r="P112" s="38"/>
      <c r="Q112" s="38"/>
      <c r="R112" s="38"/>
      <c r="S112" s="38"/>
      <c r="T112" s="38"/>
    </row>
    <row r="113" spans="1:20" ht="15.75">
      <c r="A113" s="13">
        <v>44562</v>
      </c>
      <c r="B113" s="46">
        <v>31</v>
      </c>
      <c r="C113" s="37">
        <v>122.58</v>
      </c>
      <c r="D113" s="37">
        <v>297.94099999999997</v>
      </c>
      <c r="E113" s="43">
        <v>729.47900000000004</v>
      </c>
      <c r="F113" s="37">
        <v>1150</v>
      </c>
      <c r="G113" s="37">
        <v>100</v>
      </c>
      <c r="H113" s="45">
        <v>600</v>
      </c>
      <c r="I113" s="37">
        <v>695</v>
      </c>
      <c r="J113" s="37">
        <v>50</v>
      </c>
      <c r="K113" s="38"/>
      <c r="L113" s="38"/>
      <c r="M113" s="38"/>
      <c r="N113" s="38"/>
      <c r="O113" s="38"/>
      <c r="P113" s="38"/>
      <c r="Q113" s="38"/>
      <c r="R113" s="38"/>
      <c r="S113" s="38"/>
      <c r="T113" s="38"/>
    </row>
    <row r="114" spans="1:20" ht="15.75">
      <c r="A114" s="13">
        <v>44593</v>
      </c>
      <c r="B114" s="46">
        <v>28</v>
      </c>
      <c r="C114" s="37">
        <v>122.58</v>
      </c>
      <c r="D114" s="37">
        <v>297.94099999999997</v>
      </c>
      <c r="E114" s="43">
        <v>729.47900000000004</v>
      </c>
      <c r="F114" s="37">
        <v>1150</v>
      </c>
      <c r="G114" s="37">
        <v>100</v>
      </c>
      <c r="H114" s="45">
        <v>600</v>
      </c>
      <c r="I114" s="37">
        <v>695</v>
      </c>
      <c r="J114" s="37">
        <v>50</v>
      </c>
      <c r="K114" s="38"/>
      <c r="L114" s="38"/>
      <c r="M114" s="38"/>
      <c r="N114" s="38"/>
      <c r="O114" s="38"/>
      <c r="P114" s="38"/>
      <c r="Q114" s="38"/>
      <c r="R114" s="38"/>
      <c r="S114" s="38"/>
      <c r="T114" s="38"/>
    </row>
    <row r="115" spans="1:20" ht="15.75">
      <c r="A115" s="13">
        <v>44621</v>
      </c>
      <c r="B115" s="46">
        <v>31</v>
      </c>
      <c r="C115" s="37">
        <v>122.58</v>
      </c>
      <c r="D115" s="37">
        <v>297.94099999999997</v>
      </c>
      <c r="E115" s="43">
        <v>729.47900000000004</v>
      </c>
      <c r="F115" s="37">
        <v>1150</v>
      </c>
      <c r="G115" s="37">
        <v>100</v>
      </c>
      <c r="H115" s="45">
        <v>600</v>
      </c>
      <c r="I115" s="37">
        <v>695</v>
      </c>
      <c r="J115" s="37">
        <v>50</v>
      </c>
      <c r="K115" s="38"/>
      <c r="L115" s="38"/>
      <c r="M115" s="38"/>
      <c r="N115" s="38"/>
      <c r="O115" s="38"/>
      <c r="P115" s="38"/>
      <c r="Q115" s="38"/>
      <c r="R115" s="38"/>
      <c r="S115" s="38"/>
      <c r="T115" s="38"/>
    </row>
    <row r="116" spans="1:20" ht="15.75">
      <c r="A116" s="13">
        <v>44652</v>
      </c>
      <c r="B116" s="46">
        <v>30</v>
      </c>
      <c r="C116" s="37">
        <v>141.29300000000001</v>
      </c>
      <c r="D116" s="37">
        <v>267.99299999999999</v>
      </c>
      <c r="E116" s="43">
        <v>829.71400000000006</v>
      </c>
      <c r="F116" s="37">
        <v>1239</v>
      </c>
      <c r="G116" s="37">
        <v>100</v>
      </c>
      <c r="H116" s="45">
        <v>600</v>
      </c>
      <c r="I116" s="37">
        <v>695</v>
      </c>
      <c r="J116" s="37">
        <v>50</v>
      </c>
      <c r="K116" s="38"/>
      <c r="L116" s="38"/>
      <c r="M116" s="38"/>
      <c r="N116" s="38"/>
      <c r="O116" s="38"/>
      <c r="P116" s="38"/>
      <c r="Q116" s="38"/>
      <c r="R116" s="38"/>
      <c r="S116" s="38"/>
      <c r="T116" s="38"/>
    </row>
    <row r="117" spans="1:20" ht="15.75">
      <c r="A117" s="13">
        <v>44682</v>
      </c>
      <c r="B117" s="46">
        <v>31</v>
      </c>
      <c r="C117" s="37">
        <v>194.20500000000001</v>
      </c>
      <c r="D117" s="37">
        <v>267.46600000000001</v>
      </c>
      <c r="E117" s="43">
        <v>812.32899999999995</v>
      </c>
      <c r="F117" s="37">
        <v>1274</v>
      </c>
      <c r="G117" s="37">
        <v>75</v>
      </c>
      <c r="H117" s="45">
        <v>600</v>
      </c>
      <c r="I117" s="37">
        <v>695</v>
      </c>
      <c r="J117" s="37">
        <v>50</v>
      </c>
      <c r="K117" s="38"/>
      <c r="L117" s="38"/>
      <c r="M117" s="38"/>
      <c r="N117" s="38"/>
      <c r="O117" s="38"/>
      <c r="P117" s="38"/>
      <c r="Q117" s="38"/>
      <c r="R117" s="38"/>
      <c r="S117" s="38"/>
      <c r="T117" s="38"/>
    </row>
    <row r="118" spans="1:20" ht="15.75">
      <c r="A118" s="13">
        <v>44713</v>
      </c>
      <c r="B118" s="46">
        <v>30</v>
      </c>
      <c r="C118" s="37">
        <v>194.20500000000001</v>
      </c>
      <c r="D118" s="37">
        <v>267.46600000000001</v>
      </c>
      <c r="E118" s="43">
        <v>812.32899999999995</v>
      </c>
      <c r="F118" s="37">
        <v>1274</v>
      </c>
      <c r="G118" s="37">
        <v>50</v>
      </c>
      <c r="H118" s="45">
        <v>600</v>
      </c>
      <c r="I118" s="37">
        <v>695</v>
      </c>
      <c r="J118" s="37">
        <v>50</v>
      </c>
      <c r="K118" s="38"/>
      <c r="L118" s="38"/>
      <c r="M118" s="38"/>
      <c r="N118" s="38"/>
      <c r="O118" s="38"/>
      <c r="P118" s="38"/>
      <c r="Q118" s="38"/>
      <c r="R118" s="38"/>
      <c r="S118" s="38"/>
      <c r="T118" s="38"/>
    </row>
    <row r="119" spans="1:20" ht="15.75">
      <c r="A119" s="13">
        <v>44743</v>
      </c>
      <c r="B119" s="46">
        <v>31</v>
      </c>
      <c r="C119" s="37">
        <v>194.20500000000001</v>
      </c>
      <c r="D119" s="37">
        <v>267.46600000000001</v>
      </c>
      <c r="E119" s="43">
        <v>812.32899999999995</v>
      </c>
      <c r="F119" s="37">
        <v>1274</v>
      </c>
      <c r="G119" s="37">
        <v>50</v>
      </c>
      <c r="H119" s="45">
        <v>600</v>
      </c>
      <c r="I119" s="37">
        <v>695</v>
      </c>
      <c r="J119" s="37">
        <v>0</v>
      </c>
      <c r="K119" s="38"/>
      <c r="L119" s="38"/>
      <c r="M119" s="38"/>
      <c r="N119" s="38"/>
      <c r="O119" s="38"/>
      <c r="P119" s="38"/>
      <c r="Q119" s="38"/>
      <c r="R119" s="38"/>
      <c r="S119" s="38"/>
      <c r="T119" s="38"/>
    </row>
    <row r="120" spans="1:20" ht="15.75">
      <c r="A120" s="13">
        <v>44774</v>
      </c>
      <c r="B120" s="46">
        <v>31</v>
      </c>
      <c r="C120" s="37">
        <v>194.20500000000001</v>
      </c>
      <c r="D120" s="37">
        <v>267.46600000000001</v>
      </c>
      <c r="E120" s="43">
        <v>812.32899999999995</v>
      </c>
      <c r="F120" s="37">
        <v>1274</v>
      </c>
      <c r="G120" s="37">
        <v>50</v>
      </c>
      <c r="H120" s="45">
        <v>600</v>
      </c>
      <c r="I120" s="37">
        <v>695</v>
      </c>
      <c r="J120" s="37">
        <v>0</v>
      </c>
      <c r="K120" s="38"/>
      <c r="L120" s="38"/>
      <c r="M120" s="38"/>
      <c r="N120" s="38"/>
      <c r="O120" s="38"/>
      <c r="P120" s="38"/>
      <c r="Q120" s="38"/>
      <c r="R120" s="38"/>
      <c r="S120" s="38"/>
      <c r="T120" s="38"/>
    </row>
    <row r="121" spans="1:20" ht="15.75">
      <c r="A121" s="13">
        <v>44805</v>
      </c>
      <c r="B121" s="46">
        <v>30</v>
      </c>
      <c r="C121" s="37">
        <v>194.20500000000001</v>
      </c>
      <c r="D121" s="37">
        <v>267.46600000000001</v>
      </c>
      <c r="E121" s="43">
        <v>812.32899999999995</v>
      </c>
      <c r="F121" s="37">
        <v>1274</v>
      </c>
      <c r="G121" s="37">
        <v>50</v>
      </c>
      <c r="H121" s="45">
        <v>600</v>
      </c>
      <c r="I121" s="37">
        <v>695</v>
      </c>
      <c r="J121" s="37">
        <v>0</v>
      </c>
      <c r="K121" s="38"/>
      <c r="L121" s="38"/>
      <c r="M121" s="38"/>
      <c r="N121" s="38"/>
      <c r="O121" s="38"/>
      <c r="P121" s="38"/>
      <c r="Q121" s="38"/>
      <c r="R121" s="38"/>
      <c r="S121" s="38"/>
      <c r="T121" s="38"/>
    </row>
    <row r="122" spans="1:20" ht="15.75">
      <c r="A122" s="13">
        <v>44835</v>
      </c>
      <c r="B122" s="46">
        <v>31</v>
      </c>
      <c r="C122" s="37">
        <v>131.881</v>
      </c>
      <c r="D122" s="37">
        <v>277.16699999999997</v>
      </c>
      <c r="E122" s="43">
        <v>829.952</v>
      </c>
      <c r="F122" s="37">
        <v>1239</v>
      </c>
      <c r="G122" s="37">
        <v>75</v>
      </c>
      <c r="H122" s="45">
        <v>600</v>
      </c>
      <c r="I122" s="37">
        <v>695</v>
      </c>
      <c r="J122" s="37">
        <v>0</v>
      </c>
      <c r="K122" s="38"/>
      <c r="L122" s="38"/>
      <c r="M122" s="38"/>
      <c r="N122" s="38"/>
      <c r="O122" s="38"/>
      <c r="P122" s="38"/>
      <c r="Q122" s="38"/>
      <c r="R122" s="38"/>
      <c r="S122" s="38"/>
      <c r="T122" s="38"/>
    </row>
    <row r="123" spans="1:20" ht="15.75">
      <c r="A123" s="13">
        <v>44866</v>
      </c>
      <c r="B123" s="46">
        <v>30</v>
      </c>
      <c r="C123" s="37">
        <v>122.58</v>
      </c>
      <c r="D123" s="37">
        <v>297.94099999999997</v>
      </c>
      <c r="E123" s="43">
        <v>729.47900000000004</v>
      </c>
      <c r="F123" s="37">
        <v>1150</v>
      </c>
      <c r="G123" s="37">
        <v>100</v>
      </c>
      <c r="H123" s="45">
        <v>600</v>
      </c>
      <c r="I123" s="37">
        <v>695</v>
      </c>
      <c r="J123" s="37">
        <v>50</v>
      </c>
      <c r="K123" s="38"/>
      <c r="L123" s="38"/>
      <c r="M123" s="38"/>
      <c r="N123" s="38"/>
      <c r="O123" s="38"/>
      <c r="P123" s="38"/>
      <c r="Q123" s="38"/>
      <c r="R123" s="38"/>
      <c r="S123" s="38"/>
      <c r="T123" s="38"/>
    </row>
    <row r="124" spans="1:20" ht="15.75">
      <c r="A124" s="13">
        <v>44896</v>
      </c>
      <c r="B124" s="46">
        <v>31</v>
      </c>
      <c r="C124" s="37">
        <v>122.58</v>
      </c>
      <c r="D124" s="37">
        <v>297.94099999999997</v>
      </c>
      <c r="E124" s="43">
        <v>729.47900000000004</v>
      </c>
      <c r="F124" s="37">
        <v>1150</v>
      </c>
      <c r="G124" s="37">
        <v>100</v>
      </c>
      <c r="H124" s="45">
        <v>600</v>
      </c>
      <c r="I124" s="37">
        <v>695</v>
      </c>
      <c r="J124" s="37">
        <v>50</v>
      </c>
      <c r="K124" s="38"/>
      <c r="L124" s="38"/>
      <c r="M124" s="38"/>
      <c r="N124" s="38"/>
      <c r="O124" s="38"/>
      <c r="P124" s="38"/>
      <c r="Q124" s="38"/>
      <c r="R124" s="38"/>
      <c r="S124" s="38"/>
      <c r="T124" s="38"/>
    </row>
    <row r="125" spans="1:20" ht="15.75">
      <c r="A125" s="13">
        <v>44927</v>
      </c>
      <c r="B125" s="46">
        <v>31</v>
      </c>
      <c r="C125" s="37">
        <v>122.58</v>
      </c>
      <c r="D125" s="37">
        <v>297.94099999999997</v>
      </c>
      <c r="E125" s="43">
        <v>729.47900000000004</v>
      </c>
      <c r="F125" s="37">
        <v>1150</v>
      </c>
      <c r="G125" s="37">
        <v>100</v>
      </c>
      <c r="H125" s="45">
        <v>600</v>
      </c>
      <c r="I125" s="37">
        <v>695</v>
      </c>
      <c r="J125" s="37">
        <v>50</v>
      </c>
      <c r="K125" s="38"/>
      <c r="L125" s="38"/>
      <c r="M125" s="38"/>
      <c r="N125" s="38"/>
      <c r="O125" s="38"/>
      <c r="P125" s="38"/>
      <c r="Q125" s="38"/>
      <c r="R125" s="38"/>
      <c r="S125" s="38"/>
      <c r="T125" s="38"/>
    </row>
    <row r="126" spans="1:20" ht="15.75">
      <c r="A126" s="13">
        <v>44958</v>
      </c>
      <c r="B126" s="46">
        <v>28</v>
      </c>
      <c r="C126" s="37">
        <v>122.58</v>
      </c>
      <c r="D126" s="37">
        <v>297.94099999999997</v>
      </c>
      <c r="E126" s="43">
        <v>729.47900000000004</v>
      </c>
      <c r="F126" s="37">
        <v>1150</v>
      </c>
      <c r="G126" s="37">
        <v>100</v>
      </c>
      <c r="H126" s="45">
        <v>600</v>
      </c>
      <c r="I126" s="37">
        <v>695</v>
      </c>
      <c r="J126" s="37">
        <v>50</v>
      </c>
      <c r="K126" s="38"/>
      <c r="L126" s="38"/>
      <c r="M126" s="38"/>
      <c r="N126" s="38"/>
      <c r="O126" s="38"/>
      <c r="P126" s="38"/>
      <c r="Q126" s="38"/>
      <c r="R126" s="38"/>
      <c r="S126" s="38"/>
      <c r="T126" s="38"/>
    </row>
    <row r="127" spans="1:20" ht="15.75">
      <c r="A127" s="13">
        <v>44986</v>
      </c>
      <c r="B127" s="46">
        <v>31</v>
      </c>
      <c r="C127" s="37">
        <v>122.58</v>
      </c>
      <c r="D127" s="37">
        <v>297.94099999999997</v>
      </c>
      <c r="E127" s="43">
        <v>729.47900000000004</v>
      </c>
      <c r="F127" s="37">
        <v>1150</v>
      </c>
      <c r="G127" s="37">
        <v>100</v>
      </c>
      <c r="H127" s="45">
        <v>600</v>
      </c>
      <c r="I127" s="37">
        <v>695</v>
      </c>
      <c r="J127" s="37">
        <v>50</v>
      </c>
      <c r="K127" s="38"/>
      <c r="L127" s="38"/>
      <c r="M127" s="38"/>
      <c r="N127" s="38"/>
      <c r="O127" s="38"/>
      <c r="P127" s="38"/>
      <c r="Q127" s="38"/>
      <c r="R127" s="38"/>
      <c r="S127" s="38"/>
      <c r="T127" s="38"/>
    </row>
    <row r="128" spans="1:20" ht="15.75">
      <c r="A128" s="13">
        <v>45017</v>
      </c>
      <c r="B128" s="46">
        <v>30</v>
      </c>
      <c r="C128" s="37">
        <v>141.29300000000001</v>
      </c>
      <c r="D128" s="37">
        <v>267.99299999999999</v>
      </c>
      <c r="E128" s="43">
        <v>829.71400000000006</v>
      </c>
      <c r="F128" s="37">
        <v>1239</v>
      </c>
      <c r="G128" s="37">
        <v>100</v>
      </c>
      <c r="H128" s="45">
        <v>600</v>
      </c>
      <c r="I128" s="37">
        <v>695</v>
      </c>
      <c r="J128" s="37">
        <v>50</v>
      </c>
      <c r="K128" s="38"/>
      <c r="L128" s="38"/>
      <c r="M128" s="38"/>
      <c r="N128" s="38"/>
      <c r="O128" s="38"/>
      <c r="P128" s="38"/>
      <c r="Q128" s="38"/>
      <c r="R128" s="38"/>
      <c r="S128" s="38"/>
      <c r="T128" s="38"/>
    </row>
    <row r="129" spans="1:20" ht="15.75">
      <c r="A129" s="13">
        <v>45047</v>
      </c>
      <c r="B129" s="46">
        <v>31</v>
      </c>
      <c r="C129" s="37">
        <v>194.20500000000001</v>
      </c>
      <c r="D129" s="37">
        <v>267.46600000000001</v>
      </c>
      <c r="E129" s="43">
        <v>812.32899999999995</v>
      </c>
      <c r="F129" s="37">
        <v>1274</v>
      </c>
      <c r="G129" s="37">
        <v>75</v>
      </c>
      <c r="H129" s="45">
        <v>600</v>
      </c>
      <c r="I129" s="37">
        <v>695</v>
      </c>
      <c r="J129" s="37">
        <v>50</v>
      </c>
      <c r="K129" s="38"/>
      <c r="L129" s="38"/>
      <c r="M129" s="38"/>
      <c r="N129" s="38"/>
      <c r="O129" s="38"/>
      <c r="P129" s="38"/>
      <c r="Q129" s="38"/>
      <c r="R129" s="38"/>
      <c r="S129" s="38"/>
      <c r="T129" s="38"/>
    </row>
    <row r="130" spans="1:20" ht="15.75">
      <c r="A130" s="13">
        <v>45078</v>
      </c>
      <c r="B130" s="46">
        <v>30</v>
      </c>
      <c r="C130" s="37">
        <v>194.20500000000001</v>
      </c>
      <c r="D130" s="37">
        <v>267.46600000000001</v>
      </c>
      <c r="E130" s="43">
        <v>812.32899999999995</v>
      </c>
      <c r="F130" s="37">
        <v>1274</v>
      </c>
      <c r="G130" s="37">
        <v>50</v>
      </c>
      <c r="H130" s="45">
        <v>600</v>
      </c>
      <c r="I130" s="37">
        <v>695</v>
      </c>
      <c r="J130" s="37">
        <v>50</v>
      </c>
      <c r="K130" s="38"/>
      <c r="L130" s="38"/>
      <c r="M130" s="38"/>
      <c r="N130" s="38"/>
      <c r="O130" s="38"/>
      <c r="P130" s="38"/>
      <c r="Q130" s="38"/>
      <c r="R130" s="38"/>
      <c r="S130" s="38"/>
      <c r="T130" s="38"/>
    </row>
    <row r="131" spans="1:20" ht="15.75">
      <c r="A131" s="13">
        <v>45108</v>
      </c>
      <c r="B131" s="46">
        <v>31</v>
      </c>
      <c r="C131" s="37">
        <v>194.20500000000001</v>
      </c>
      <c r="D131" s="37">
        <v>267.46600000000001</v>
      </c>
      <c r="E131" s="43">
        <v>812.32899999999995</v>
      </c>
      <c r="F131" s="37">
        <v>1274</v>
      </c>
      <c r="G131" s="37">
        <v>50</v>
      </c>
      <c r="H131" s="45">
        <v>600</v>
      </c>
      <c r="I131" s="37">
        <v>695</v>
      </c>
      <c r="J131" s="37">
        <v>0</v>
      </c>
      <c r="K131" s="38"/>
      <c r="L131" s="38"/>
      <c r="M131" s="38"/>
      <c r="N131" s="38"/>
      <c r="O131" s="38"/>
      <c r="P131" s="38"/>
      <c r="Q131" s="38"/>
      <c r="R131" s="38"/>
      <c r="S131" s="38"/>
      <c r="T131" s="38"/>
    </row>
    <row r="132" spans="1:20" ht="15.75">
      <c r="A132" s="13">
        <v>45139</v>
      </c>
      <c r="B132" s="46">
        <v>31</v>
      </c>
      <c r="C132" s="37">
        <v>194.20500000000001</v>
      </c>
      <c r="D132" s="37">
        <v>267.46600000000001</v>
      </c>
      <c r="E132" s="43">
        <v>812.32899999999995</v>
      </c>
      <c r="F132" s="37">
        <v>1274</v>
      </c>
      <c r="G132" s="37">
        <v>50</v>
      </c>
      <c r="H132" s="45">
        <v>600</v>
      </c>
      <c r="I132" s="37">
        <v>695</v>
      </c>
      <c r="J132" s="37">
        <v>0</v>
      </c>
      <c r="K132" s="38"/>
      <c r="L132" s="38"/>
      <c r="M132" s="38"/>
      <c r="N132" s="38"/>
      <c r="O132" s="38"/>
      <c r="P132" s="38"/>
      <c r="Q132" s="38"/>
      <c r="R132" s="38"/>
      <c r="S132" s="38"/>
      <c r="T132" s="38"/>
    </row>
    <row r="133" spans="1:20" ht="15.75">
      <c r="A133" s="13">
        <v>45170</v>
      </c>
      <c r="B133" s="46">
        <v>30</v>
      </c>
      <c r="C133" s="37">
        <v>194.20500000000001</v>
      </c>
      <c r="D133" s="37">
        <v>267.46600000000001</v>
      </c>
      <c r="E133" s="43">
        <v>812.32899999999995</v>
      </c>
      <c r="F133" s="37">
        <v>1274</v>
      </c>
      <c r="G133" s="37">
        <v>50</v>
      </c>
      <c r="H133" s="45">
        <v>600</v>
      </c>
      <c r="I133" s="37">
        <v>695</v>
      </c>
      <c r="J133" s="37">
        <v>0</v>
      </c>
      <c r="K133" s="38"/>
      <c r="L133" s="38"/>
      <c r="M133" s="38"/>
      <c r="N133" s="38"/>
      <c r="O133" s="38"/>
      <c r="P133" s="38"/>
      <c r="Q133" s="38"/>
      <c r="R133" s="38"/>
      <c r="S133" s="38"/>
      <c r="T133" s="38"/>
    </row>
    <row r="134" spans="1:20" ht="15.75">
      <c r="A134" s="13">
        <v>45200</v>
      </c>
      <c r="B134" s="46">
        <v>31</v>
      </c>
      <c r="C134" s="37">
        <v>131.881</v>
      </c>
      <c r="D134" s="37">
        <v>277.16699999999997</v>
      </c>
      <c r="E134" s="43">
        <v>829.952</v>
      </c>
      <c r="F134" s="37">
        <v>1239</v>
      </c>
      <c r="G134" s="37">
        <v>75</v>
      </c>
      <c r="H134" s="45">
        <v>600</v>
      </c>
      <c r="I134" s="37">
        <v>695</v>
      </c>
      <c r="J134" s="37">
        <v>0</v>
      </c>
      <c r="K134" s="38"/>
      <c r="L134" s="38"/>
      <c r="M134" s="38"/>
      <c r="N134" s="38"/>
      <c r="O134" s="38"/>
      <c r="P134" s="38"/>
      <c r="Q134" s="38"/>
      <c r="R134" s="38"/>
      <c r="S134" s="38"/>
      <c r="T134" s="38"/>
    </row>
    <row r="135" spans="1:20" ht="15.75">
      <c r="A135" s="13">
        <v>45231</v>
      </c>
      <c r="B135" s="46">
        <v>30</v>
      </c>
      <c r="C135" s="37">
        <v>122.58</v>
      </c>
      <c r="D135" s="37">
        <v>297.94099999999997</v>
      </c>
      <c r="E135" s="43">
        <v>729.47900000000004</v>
      </c>
      <c r="F135" s="37">
        <v>1150</v>
      </c>
      <c r="G135" s="37">
        <v>100</v>
      </c>
      <c r="H135" s="45">
        <v>600</v>
      </c>
      <c r="I135" s="37">
        <v>695</v>
      </c>
      <c r="J135" s="37">
        <v>50</v>
      </c>
      <c r="K135" s="38"/>
      <c r="L135" s="38"/>
      <c r="M135" s="38"/>
      <c r="N135" s="38"/>
      <c r="O135" s="38"/>
      <c r="P135" s="38"/>
      <c r="Q135" s="38"/>
      <c r="R135" s="38"/>
      <c r="S135" s="38"/>
      <c r="T135" s="38"/>
    </row>
    <row r="136" spans="1:20" ht="15.75">
      <c r="A136" s="13">
        <v>45261</v>
      </c>
      <c r="B136" s="46">
        <v>31</v>
      </c>
      <c r="C136" s="37">
        <v>122.58</v>
      </c>
      <c r="D136" s="37">
        <v>297.94099999999997</v>
      </c>
      <c r="E136" s="43">
        <v>729.47900000000004</v>
      </c>
      <c r="F136" s="37">
        <v>1150</v>
      </c>
      <c r="G136" s="37">
        <v>100</v>
      </c>
      <c r="H136" s="45">
        <v>600</v>
      </c>
      <c r="I136" s="37">
        <v>695</v>
      </c>
      <c r="J136" s="37">
        <v>50</v>
      </c>
      <c r="K136" s="38"/>
      <c r="L136" s="38"/>
      <c r="M136" s="38"/>
      <c r="N136" s="38"/>
      <c r="O136" s="38"/>
      <c r="P136" s="38"/>
      <c r="Q136" s="38"/>
      <c r="R136" s="38"/>
      <c r="S136" s="38"/>
      <c r="T136" s="38"/>
    </row>
    <row r="137" spans="1:20" ht="15.75">
      <c r="A137" s="13">
        <v>45292</v>
      </c>
      <c r="B137" s="46">
        <v>31</v>
      </c>
      <c r="C137" s="37">
        <v>122.58</v>
      </c>
      <c r="D137" s="37">
        <v>297.94099999999997</v>
      </c>
      <c r="E137" s="43">
        <v>729.47900000000004</v>
      </c>
      <c r="F137" s="37">
        <v>1150</v>
      </c>
      <c r="G137" s="37">
        <v>100</v>
      </c>
      <c r="H137" s="45">
        <v>600</v>
      </c>
      <c r="I137" s="37">
        <v>695</v>
      </c>
      <c r="J137" s="37">
        <v>50</v>
      </c>
      <c r="K137" s="38"/>
      <c r="L137" s="38"/>
      <c r="M137" s="38"/>
      <c r="N137" s="38"/>
      <c r="O137" s="38"/>
      <c r="P137" s="38"/>
      <c r="Q137" s="38"/>
      <c r="R137" s="38"/>
      <c r="S137" s="38"/>
      <c r="T137" s="38"/>
    </row>
    <row r="138" spans="1:20" ht="15.75">
      <c r="A138" s="13">
        <v>45323</v>
      </c>
      <c r="B138" s="46">
        <v>29</v>
      </c>
      <c r="C138" s="37">
        <v>122.58</v>
      </c>
      <c r="D138" s="37">
        <v>297.94099999999997</v>
      </c>
      <c r="E138" s="43">
        <v>729.47900000000004</v>
      </c>
      <c r="F138" s="37">
        <v>1150</v>
      </c>
      <c r="G138" s="37">
        <v>100</v>
      </c>
      <c r="H138" s="45">
        <v>600</v>
      </c>
      <c r="I138" s="37">
        <v>695</v>
      </c>
      <c r="J138" s="37">
        <v>50</v>
      </c>
      <c r="K138" s="38"/>
      <c r="L138" s="38"/>
      <c r="M138" s="38"/>
      <c r="N138" s="38"/>
      <c r="O138" s="38"/>
      <c r="P138" s="38"/>
      <c r="Q138" s="38"/>
      <c r="R138" s="38"/>
      <c r="S138" s="38"/>
      <c r="T138" s="38"/>
    </row>
    <row r="139" spans="1:20" ht="15.75">
      <c r="A139" s="13">
        <v>45352</v>
      </c>
      <c r="B139" s="46">
        <v>31</v>
      </c>
      <c r="C139" s="37">
        <v>122.58</v>
      </c>
      <c r="D139" s="37">
        <v>297.94099999999997</v>
      </c>
      <c r="E139" s="43">
        <v>729.47900000000004</v>
      </c>
      <c r="F139" s="37">
        <v>1150</v>
      </c>
      <c r="G139" s="37">
        <v>100</v>
      </c>
      <c r="H139" s="45">
        <v>600</v>
      </c>
      <c r="I139" s="37">
        <v>695</v>
      </c>
      <c r="J139" s="37">
        <v>50</v>
      </c>
      <c r="K139" s="38"/>
      <c r="L139" s="38"/>
      <c r="M139" s="38"/>
      <c r="N139" s="38"/>
      <c r="O139" s="38"/>
      <c r="P139" s="38"/>
      <c r="Q139" s="38"/>
      <c r="R139" s="38"/>
      <c r="S139" s="38"/>
      <c r="T139" s="38"/>
    </row>
    <row r="140" spans="1:20" ht="15.75">
      <c r="A140" s="13">
        <v>45383</v>
      </c>
      <c r="B140" s="46">
        <v>30</v>
      </c>
      <c r="C140" s="37">
        <v>141.29300000000001</v>
      </c>
      <c r="D140" s="37">
        <v>267.99299999999999</v>
      </c>
      <c r="E140" s="43">
        <v>829.71400000000006</v>
      </c>
      <c r="F140" s="37">
        <v>1239</v>
      </c>
      <c r="G140" s="37">
        <v>100</v>
      </c>
      <c r="H140" s="45">
        <v>600</v>
      </c>
      <c r="I140" s="37">
        <v>695</v>
      </c>
      <c r="J140" s="37">
        <v>50</v>
      </c>
      <c r="K140" s="38"/>
      <c r="L140" s="38"/>
      <c r="M140" s="38"/>
      <c r="N140" s="38"/>
      <c r="O140" s="38"/>
      <c r="P140" s="38"/>
      <c r="Q140" s="38"/>
      <c r="R140" s="38"/>
      <c r="S140" s="38"/>
      <c r="T140" s="38"/>
    </row>
    <row r="141" spans="1:20" ht="15.75">
      <c r="A141" s="13">
        <v>45413</v>
      </c>
      <c r="B141" s="46">
        <v>31</v>
      </c>
      <c r="C141" s="37">
        <v>194.20500000000001</v>
      </c>
      <c r="D141" s="37">
        <v>267.46600000000001</v>
      </c>
      <c r="E141" s="43">
        <v>812.32899999999995</v>
      </c>
      <c r="F141" s="37">
        <v>1274</v>
      </c>
      <c r="G141" s="37">
        <v>75</v>
      </c>
      <c r="H141" s="45">
        <v>600</v>
      </c>
      <c r="I141" s="37">
        <v>695</v>
      </c>
      <c r="J141" s="37">
        <v>50</v>
      </c>
      <c r="K141" s="38"/>
      <c r="L141" s="38"/>
      <c r="M141" s="38"/>
      <c r="N141" s="38"/>
      <c r="O141" s="38"/>
      <c r="P141" s="38"/>
      <c r="Q141" s="38"/>
      <c r="R141" s="38"/>
      <c r="S141" s="38"/>
      <c r="T141" s="38"/>
    </row>
    <row r="142" spans="1:20" ht="15.75">
      <c r="A142" s="13">
        <v>45444</v>
      </c>
      <c r="B142" s="46">
        <v>30</v>
      </c>
      <c r="C142" s="37">
        <v>194.20500000000001</v>
      </c>
      <c r="D142" s="37">
        <v>267.46600000000001</v>
      </c>
      <c r="E142" s="43">
        <v>812.32899999999995</v>
      </c>
      <c r="F142" s="37">
        <v>1274</v>
      </c>
      <c r="G142" s="37">
        <v>50</v>
      </c>
      <c r="H142" s="45">
        <v>600</v>
      </c>
      <c r="I142" s="37">
        <v>695</v>
      </c>
      <c r="J142" s="37">
        <v>50</v>
      </c>
      <c r="K142" s="38"/>
      <c r="L142" s="38"/>
      <c r="M142" s="38"/>
      <c r="N142" s="38"/>
      <c r="O142" s="38"/>
      <c r="P142" s="38"/>
      <c r="Q142" s="38"/>
      <c r="R142" s="38"/>
      <c r="S142" s="38"/>
      <c r="T142" s="38"/>
    </row>
    <row r="143" spans="1:20" ht="15.75">
      <c r="A143" s="13">
        <v>45474</v>
      </c>
      <c r="B143" s="46">
        <v>31</v>
      </c>
      <c r="C143" s="37">
        <v>194.20500000000001</v>
      </c>
      <c r="D143" s="37">
        <v>267.46600000000001</v>
      </c>
      <c r="E143" s="43">
        <v>812.32899999999995</v>
      </c>
      <c r="F143" s="37">
        <v>1274</v>
      </c>
      <c r="G143" s="37">
        <v>50</v>
      </c>
      <c r="H143" s="45">
        <v>600</v>
      </c>
      <c r="I143" s="37">
        <v>695</v>
      </c>
      <c r="J143" s="37">
        <v>0</v>
      </c>
      <c r="K143" s="38"/>
      <c r="L143" s="38"/>
      <c r="M143" s="38"/>
      <c r="N143" s="38"/>
      <c r="O143" s="38"/>
      <c r="P143" s="38"/>
      <c r="Q143" s="38"/>
      <c r="R143" s="38"/>
      <c r="S143" s="38"/>
      <c r="T143" s="38"/>
    </row>
    <row r="144" spans="1:20" ht="15.75">
      <c r="A144" s="13">
        <v>45505</v>
      </c>
      <c r="B144" s="46">
        <v>31</v>
      </c>
      <c r="C144" s="37">
        <v>194.20500000000001</v>
      </c>
      <c r="D144" s="37">
        <v>267.46600000000001</v>
      </c>
      <c r="E144" s="43">
        <v>812.32899999999995</v>
      </c>
      <c r="F144" s="37">
        <v>1274</v>
      </c>
      <c r="G144" s="37">
        <v>50</v>
      </c>
      <c r="H144" s="45">
        <v>600</v>
      </c>
      <c r="I144" s="37">
        <v>695</v>
      </c>
      <c r="J144" s="37">
        <v>0</v>
      </c>
      <c r="K144" s="38"/>
      <c r="L144" s="38"/>
      <c r="M144" s="38"/>
      <c r="N144" s="38"/>
      <c r="O144" s="38"/>
      <c r="P144" s="38"/>
      <c r="Q144" s="38"/>
      <c r="R144" s="38"/>
      <c r="S144" s="38"/>
      <c r="T144" s="38"/>
    </row>
    <row r="145" spans="1:20" ht="15.75">
      <c r="A145" s="13">
        <v>45536</v>
      </c>
      <c r="B145" s="46">
        <v>30</v>
      </c>
      <c r="C145" s="37">
        <v>194.20500000000001</v>
      </c>
      <c r="D145" s="37">
        <v>267.46600000000001</v>
      </c>
      <c r="E145" s="43">
        <v>812.32899999999995</v>
      </c>
      <c r="F145" s="37">
        <v>1274</v>
      </c>
      <c r="G145" s="37">
        <v>50</v>
      </c>
      <c r="H145" s="45">
        <v>600</v>
      </c>
      <c r="I145" s="37">
        <v>695</v>
      </c>
      <c r="J145" s="37">
        <v>0</v>
      </c>
      <c r="K145" s="38"/>
      <c r="L145" s="38"/>
      <c r="M145" s="38"/>
      <c r="N145" s="38"/>
      <c r="O145" s="38"/>
      <c r="P145" s="38"/>
      <c r="Q145" s="38"/>
      <c r="R145" s="38"/>
      <c r="S145" s="38"/>
      <c r="T145" s="38"/>
    </row>
    <row r="146" spans="1:20" ht="15.75">
      <c r="A146" s="13">
        <v>45566</v>
      </c>
      <c r="B146" s="46">
        <v>31</v>
      </c>
      <c r="C146" s="37">
        <v>131.881</v>
      </c>
      <c r="D146" s="37">
        <v>277.16699999999997</v>
      </c>
      <c r="E146" s="43">
        <v>829.952</v>
      </c>
      <c r="F146" s="37">
        <v>1239</v>
      </c>
      <c r="G146" s="37">
        <v>75</v>
      </c>
      <c r="H146" s="45">
        <v>600</v>
      </c>
      <c r="I146" s="37">
        <v>695</v>
      </c>
      <c r="J146" s="37">
        <v>0</v>
      </c>
      <c r="K146" s="38"/>
      <c r="L146" s="38"/>
      <c r="M146" s="38"/>
      <c r="N146" s="38"/>
      <c r="O146" s="38"/>
      <c r="P146" s="38"/>
      <c r="Q146" s="38"/>
      <c r="R146" s="38"/>
      <c r="S146" s="38"/>
      <c r="T146" s="38"/>
    </row>
    <row r="147" spans="1:20" ht="15.75">
      <c r="A147" s="13">
        <v>45597</v>
      </c>
      <c r="B147" s="46">
        <v>30</v>
      </c>
      <c r="C147" s="37">
        <v>122.58</v>
      </c>
      <c r="D147" s="37">
        <v>297.94099999999997</v>
      </c>
      <c r="E147" s="43">
        <v>729.47900000000004</v>
      </c>
      <c r="F147" s="37">
        <v>1150</v>
      </c>
      <c r="G147" s="37">
        <v>100</v>
      </c>
      <c r="H147" s="45">
        <v>600</v>
      </c>
      <c r="I147" s="37">
        <v>695</v>
      </c>
      <c r="J147" s="37">
        <v>50</v>
      </c>
      <c r="K147" s="38"/>
      <c r="L147" s="38"/>
      <c r="M147" s="38"/>
      <c r="N147" s="38"/>
      <c r="O147" s="38"/>
      <c r="P147" s="38"/>
      <c r="Q147" s="38"/>
      <c r="R147" s="38"/>
      <c r="S147" s="38"/>
      <c r="T147" s="38"/>
    </row>
    <row r="148" spans="1:20" ht="15.75">
      <c r="A148" s="13">
        <v>45627</v>
      </c>
      <c r="B148" s="46">
        <v>31</v>
      </c>
      <c r="C148" s="37">
        <v>122.58</v>
      </c>
      <c r="D148" s="37">
        <v>297.94099999999997</v>
      </c>
      <c r="E148" s="43">
        <v>729.47900000000004</v>
      </c>
      <c r="F148" s="37">
        <v>1150</v>
      </c>
      <c r="G148" s="37">
        <v>100</v>
      </c>
      <c r="H148" s="45">
        <v>600</v>
      </c>
      <c r="I148" s="37">
        <v>695</v>
      </c>
      <c r="J148" s="37">
        <v>50</v>
      </c>
      <c r="K148" s="38"/>
      <c r="L148" s="38"/>
      <c r="M148" s="38"/>
      <c r="N148" s="38"/>
      <c r="O148" s="38"/>
      <c r="P148" s="38"/>
      <c r="Q148" s="38"/>
      <c r="R148" s="38"/>
      <c r="S148" s="38"/>
      <c r="T148" s="38"/>
    </row>
    <row r="149" spans="1:20" ht="15.75">
      <c r="A149" s="13">
        <v>45658</v>
      </c>
      <c r="B149" s="46">
        <v>31</v>
      </c>
      <c r="C149" s="37">
        <v>122.58</v>
      </c>
      <c r="D149" s="37">
        <v>297.94099999999997</v>
      </c>
      <c r="E149" s="43">
        <v>729.47900000000004</v>
      </c>
      <c r="F149" s="37">
        <v>1150</v>
      </c>
      <c r="G149" s="37">
        <v>100</v>
      </c>
      <c r="H149" s="45">
        <v>600</v>
      </c>
      <c r="I149" s="37">
        <v>695</v>
      </c>
      <c r="J149" s="37">
        <v>50</v>
      </c>
      <c r="K149" s="38"/>
      <c r="L149" s="38"/>
      <c r="M149" s="38"/>
      <c r="N149" s="38"/>
      <c r="O149" s="38"/>
      <c r="P149" s="38"/>
      <c r="Q149" s="38"/>
      <c r="R149" s="38"/>
      <c r="S149" s="38"/>
      <c r="T149" s="38"/>
    </row>
    <row r="150" spans="1:20" ht="15.75">
      <c r="A150" s="13">
        <v>45689</v>
      </c>
      <c r="B150" s="46">
        <v>28</v>
      </c>
      <c r="C150" s="37">
        <v>122.58</v>
      </c>
      <c r="D150" s="37">
        <v>297.94099999999997</v>
      </c>
      <c r="E150" s="43">
        <v>729.47900000000004</v>
      </c>
      <c r="F150" s="37">
        <v>1150</v>
      </c>
      <c r="G150" s="37">
        <v>100</v>
      </c>
      <c r="H150" s="45">
        <v>600</v>
      </c>
      <c r="I150" s="37">
        <v>695</v>
      </c>
      <c r="J150" s="37">
        <v>50</v>
      </c>
      <c r="K150" s="38"/>
      <c r="L150" s="38"/>
      <c r="M150" s="38"/>
      <c r="N150" s="38"/>
      <c r="O150" s="38"/>
      <c r="P150" s="38"/>
      <c r="Q150" s="38"/>
      <c r="R150" s="38"/>
      <c r="S150" s="38"/>
      <c r="T150" s="38"/>
    </row>
    <row r="151" spans="1:20" ht="15.75">
      <c r="A151" s="13">
        <v>45717</v>
      </c>
      <c r="B151" s="46">
        <v>31</v>
      </c>
      <c r="C151" s="37">
        <v>122.58</v>
      </c>
      <c r="D151" s="37">
        <v>297.94099999999997</v>
      </c>
      <c r="E151" s="43">
        <v>729.47900000000004</v>
      </c>
      <c r="F151" s="37">
        <v>1150</v>
      </c>
      <c r="G151" s="37">
        <v>100</v>
      </c>
      <c r="H151" s="45">
        <v>600</v>
      </c>
      <c r="I151" s="37">
        <v>695</v>
      </c>
      <c r="J151" s="37">
        <v>50</v>
      </c>
      <c r="K151" s="38"/>
      <c r="L151" s="38"/>
      <c r="M151" s="38"/>
      <c r="N151" s="38"/>
      <c r="O151" s="38"/>
      <c r="P151" s="38"/>
      <c r="Q151" s="38"/>
      <c r="R151" s="38"/>
      <c r="S151" s="38"/>
      <c r="T151" s="38"/>
    </row>
    <row r="152" spans="1:20" ht="15.75">
      <c r="A152" s="13">
        <v>45748</v>
      </c>
      <c r="B152" s="46">
        <v>30</v>
      </c>
      <c r="C152" s="37">
        <v>141.29300000000001</v>
      </c>
      <c r="D152" s="37">
        <v>267.99299999999999</v>
      </c>
      <c r="E152" s="43">
        <v>829.71400000000006</v>
      </c>
      <c r="F152" s="37">
        <v>1239</v>
      </c>
      <c r="G152" s="37">
        <v>100</v>
      </c>
      <c r="H152" s="45">
        <v>600</v>
      </c>
      <c r="I152" s="37">
        <v>695</v>
      </c>
      <c r="J152" s="37">
        <v>50</v>
      </c>
      <c r="K152" s="38"/>
      <c r="L152" s="38"/>
      <c r="M152" s="38"/>
      <c r="N152" s="38"/>
      <c r="O152" s="38"/>
      <c r="P152" s="38"/>
      <c r="Q152" s="38"/>
      <c r="R152" s="38"/>
      <c r="S152" s="38"/>
      <c r="T152" s="38"/>
    </row>
    <row r="153" spans="1:20" ht="15.75">
      <c r="A153" s="13">
        <v>45778</v>
      </c>
      <c r="B153" s="46">
        <v>31</v>
      </c>
      <c r="C153" s="37">
        <v>194.20500000000001</v>
      </c>
      <c r="D153" s="37">
        <v>267.46600000000001</v>
      </c>
      <c r="E153" s="43">
        <v>812.32899999999995</v>
      </c>
      <c r="F153" s="37">
        <v>1274</v>
      </c>
      <c r="G153" s="37">
        <v>75</v>
      </c>
      <c r="H153" s="45">
        <v>600</v>
      </c>
      <c r="I153" s="37">
        <v>695</v>
      </c>
      <c r="J153" s="37">
        <v>50</v>
      </c>
      <c r="K153" s="38"/>
      <c r="L153" s="38"/>
      <c r="M153" s="38"/>
      <c r="N153" s="38"/>
      <c r="O153" s="38"/>
      <c r="P153" s="38"/>
      <c r="Q153" s="38"/>
      <c r="R153" s="38"/>
      <c r="S153" s="38"/>
      <c r="T153" s="38"/>
    </row>
    <row r="154" spans="1:20" ht="15.75">
      <c r="A154" s="13">
        <v>45809</v>
      </c>
      <c r="B154" s="46">
        <v>30</v>
      </c>
      <c r="C154" s="37">
        <v>194.20500000000001</v>
      </c>
      <c r="D154" s="37">
        <v>267.46600000000001</v>
      </c>
      <c r="E154" s="43">
        <v>812.32899999999995</v>
      </c>
      <c r="F154" s="37">
        <v>1274</v>
      </c>
      <c r="G154" s="37">
        <v>50</v>
      </c>
      <c r="H154" s="45">
        <v>600</v>
      </c>
      <c r="I154" s="37">
        <v>695</v>
      </c>
      <c r="J154" s="37">
        <v>50</v>
      </c>
      <c r="K154" s="38"/>
      <c r="L154" s="38"/>
      <c r="M154" s="38"/>
      <c r="N154" s="38"/>
      <c r="O154" s="38"/>
      <c r="P154" s="38"/>
      <c r="Q154" s="38"/>
      <c r="R154" s="38"/>
      <c r="S154" s="38"/>
      <c r="T154" s="38"/>
    </row>
    <row r="155" spans="1:20" ht="15.75">
      <c r="A155" s="13">
        <v>45839</v>
      </c>
      <c r="B155" s="46">
        <v>31</v>
      </c>
      <c r="C155" s="37">
        <v>194.20500000000001</v>
      </c>
      <c r="D155" s="37">
        <v>267.46600000000001</v>
      </c>
      <c r="E155" s="43">
        <v>812.32899999999995</v>
      </c>
      <c r="F155" s="37">
        <v>1274</v>
      </c>
      <c r="G155" s="37">
        <v>50</v>
      </c>
      <c r="H155" s="45">
        <v>600</v>
      </c>
      <c r="I155" s="37">
        <v>695</v>
      </c>
      <c r="J155" s="37">
        <v>0</v>
      </c>
      <c r="K155" s="38"/>
      <c r="L155" s="38"/>
      <c r="M155" s="38"/>
      <c r="N155" s="38"/>
      <c r="O155" s="38"/>
      <c r="P155" s="38"/>
      <c r="Q155" s="38"/>
      <c r="R155" s="38"/>
      <c r="S155" s="38"/>
      <c r="T155" s="38"/>
    </row>
    <row r="156" spans="1:20" ht="15.75">
      <c r="A156" s="13">
        <v>45870</v>
      </c>
      <c r="B156" s="46">
        <v>31</v>
      </c>
      <c r="C156" s="37">
        <v>194.20500000000001</v>
      </c>
      <c r="D156" s="37">
        <v>267.46600000000001</v>
      </c>
      <c r="E156" s="43">
        <v>812.32899999999995</v>
      </c>
      <c r="F156" s="37">
        <v>1274</v>
      </c>
      <c r="G156" s="37">
        <v>50</v>
      </c>
      <c r="H156" s="45">
        <v>600</v>
      </c>
      <c r="I156" s="37">
        <v>695</v>
      </c>
      <c r="J156" s="37">
        <v>0</v>
      </c>
      <c r="K156" s="38"/>
      <c r="L156" s="38"/>
      <c r="M156" s="38"/>
      <c r="N156" s="38"/>
      <c r="O156" s="38"/>
      <c r="P156" s="38"/>
      <c r="Q156" s="38"/>
      <c r="R156" s="38"/>
      <c r="S156" s="38"/>
      <c r="T156" s="38"/>
    </row>
    <row r="157" spans="1:20" ht="15.75">
      <c r="A157" s="13">
        <v>45901</v>
      </c>
      <c r="B157" s="46">
        <v>30</v>
      </c>
      <c r="C157" s="37">
        <v>194.20500000000001</v>
      </c>
      <c r="D157" s="37">
        <v>267.46600000000001</v>
      </c>
      <c r="E157" s="43">
        <v>812.32899999999995</v>
      </c>
      <c r="F157" s="37">
        <v>1274</v>
      </c>
      <c r="G157" s="37">
        <v>50</v>
      </c>
      <c r="H157" s="45">
        <v>600</v>
      </c>
      <c r="I157" s="37">
        <v>695</v>
      </c>
      <c r="J157" s="37">
        <v>0</v>
      </c>
      <c r="K157" s="38"/>
      <c r="L157" s="38"/>
      <c r="M157" s="38"/>
      <c r="N157" s="38"/>
      <c r="O157" s="38"/>
      <c r="P157" s="38"/>
      <c r="Q157" s="38"/>
      <c r="R157" s="38"/>
      <c r="S157" s="38"/>
      <c r="T157" s="38"/>
    </row>
    <row r="158" spans="1:20" ht="15.75">
      <c r="A158" s="13">
        <v>45931</v>
      </c>
      <c r="B158" s="46">
        <v>31</v>
      </c>
      <c r="C158" s="37">
        <v>131.881</v>
      </c>
      <c r="D158" s="37">
        <v>277.16699999999997</v>
      </c>
      <c r="E158" s="43">
        <v>829.952</v>
      </c>
      <c r="F158" s="37">
        <v>1239</v>
      </c>
      <c r="G158" s="37">
        <v>75</v>
      </c>
      <c r="H158" s="45">
        <v>600</v>
      </c>
      <c r="I158" s="37">
        <v>695</v>
      </c>
      <c r="J158" s="37">
        <v>0</v>
      </c>
      <c r="K158" s="38"/>
      <c r="L158" s="38"/>
      <c r="M158" s="38"/>
      <c r="N158" s="38"/>
      <c r="O158" s="38"/>
      <c r="P158" s="38"/>
      <c r="Q158" s="38"/>
      <c r="R158" s="38"/>
      <c r="S158" s="38"/>
      <c r="T158" s="38"/>
    </row>
    <row r="159" spans="1:20" ht="15.75">
      <c r="A159" s="13">
        <v>45962</v>
      </c>
      <c r="B159" s="46">
        <v>30</v>
      </c>
      <c r="C159" s="37">
        <v>122.58</v>
      </c>
      <c r="D159" s="37">
        <v>297.94099999999997</v>
      </c>
      <c r="E159" s="43">
        <v>729.47900000000004</v>
      </c>
      <c r="F159" s="37">
        <v>1150</v>
      </c>
      <c r="G159" s="37">
        <v>100</v>
      </c>
      <c r="H159" s="45">
        <v>600</v>
      </c>
      <c r="I159" s="37">
        <v>695</v>
      </c>
      <c r="J159" s="37">
        <v>50</v>
      </c>
      <c r="K159" s="38"/>
      <c r="L159" s="38"/>
      <c r="M159" s="38"/>
      <c r="N159" s="38"/>
      <c r="O159" s="38"/>
      <c r="P159" s="38"/>
      <c r="Q159" s="38"/>
      <c r="R159" s="38"/>
      <c r="S159" s="38"/>
      <c r="T159" s="38"/>
    </row>
    <row r="160" spans="1:20" ht="15.75">
      <c r="A160" s="13">
        <v>45992</v>
      </c>
      <c r="B160" s="46">
        <v>31</v>
      </c>
      <c r="C160" s="37">
        <v>122.58</v>
      </c>
      <c r="D160" s="37">
        <v>297.94099999999997</v>
      </c>
      <c r="E160" s="43">
        <v>729.47900000000004</v>
      </c>
      <c r="F160" s="37">
        <v>1150</v>
      </c>
      <c r="G160" s="37">
        <v>100</v>
      </c>
      <c r="H160" s="45">
        <v>600</v>
      </c>
      <c r="I160" s="37">
        <v>695</v>
      </c>
      <c r="J160" s="37">
        <v>50</v>
      </c>
      <c r="K160" s="38"/>
      <c r="L160" s="38"/>
      <c r="M160" s="38"/>
      <c r="N160" s="38"/>
      <c r="O160" s="38"/>
      <c r="P160" s="38"/>
      <c r="Q160" s="38"/>
      <c r="R160" s="38"/>
      <c r="S160" s="38"/>
      <c r="T160" s="38"/>
    </row>
    <row r="161" spans="1:20" ht="15.75">
      <c r="A161" s="13">
        <v>46023</v>
      </c>
      <c r="B161" s="46">
        <v>31</v>
      </c>
      <c r="C161" s="37">
        <v>122.58</v>
      </c>
      <c r="D161" s="37">
        <v>297.94099999999997</v>
      </c>
      <c r="E161" s="43">
        <v>729.47900000000004</v>
      </c>
      <c r="F161" s="37">
        <v>1150</v>
      </c>
      <c r="G161" s="37">
        <v>100</v>
      </c>
      <c r="H161" s="45">
        <v>600</v>
      </c>
      <c r="I161" s="37">
        <v>695</v>
      </c>
      <c r="J161" s="37">
        <v>50</v>
      </c>
      <c r="K161" s="38"/>
      <c r="L161" s="38"/>
      <c r="M161" s="38"/>
      <c r="N161" s="38"/>
      <c r="O161" s="38"/>
      <c r="P161" s="38"/>
      <c r="Q161" s="38"/>
      <c r="R161" s="38"/>
      <c r="S161" s="38"/>
      <c r="T161" s="38"/>
    </row>
    <row r="162" spans="1:20" ht="15.75">
      <c r="A162" s="13">
        <v>46054</v>
      </c>
      <c r="B162" s="46">
        <v>28</v>
      </c>
      <c r="C162" s="37">
        <v>122.58</v>
      </c>
      <c r="D162" s="37">
        <v>297.94099999999997</v>
      </c>
      <c r="E162" s="43">
        <v>729.47900000000004</v>
      </c>
      <c r="F162" s="37">
        <v>1150</v>
      </c>
      <c r="G162" s="37">
        <v>100</v>
      </c>
      <c r="H162" s="45">
        <v>600</v>
      </c>
      <c r="I162" s="37">
        <v>695</v>
      </c>
      <c r="J162" s="37">
        <v>50</v>
      </c>
      <c r="K162" s="38"/>
      <c r="L162" s="38"/>
      <c r="M162" s="38"/>
      <c r="N162" s="38"/>
      <c r="O162" s="38"/>
      <c r="P162" s="38"/>
      <c r="Q162" s="38"/>
      <c r="R162" s="38"/>
      <c r="S162" s="38"/>
      <c r="T162" s="38"/>
    </row>
    <row r="163" spans="1:20" ht="15.75">
      <c r="A163" s="13">
        <v>46082</v>
      </c>
      <c r="B163" s="46">
        <v>31</v>
      </c>
      <c r="C163" s="37">
        <v>122.58</v>
      </c>
      <c r="D163" s="37">
        <v>297.94099999999997</v>
      </c>
      <c r="E163" s="43">
        <v>729.47900000000004</v>
      </c>
      <c r="F163" s="37">
        <v>1150</v>
      </c>
      <c r="G163" s="37">
        <v>100</v>
      </c>
      <c r="H163" s="45">
        <v>600</v>
      </c>
      <c r="I163" s="37">
        <v>695</v>
      </c>
      <c r="J163" s="37">
        <v>50</v>
      </c>
      <c r="K163" s="38"/>
      <c r="L163" s="38"/>
      <c r="M163" s="38"/>
      <c r="N163" s="38"/>
      <c r="O163" s="38"/>
      <c r="P163" s="38"/>
      <c r="Q163" s="38"/>
      <c r="R163" s="38"/>
      <c r="S163" s="38"/>
      <c r="T163" s="38"/>
    </row>
    <row r="164" spans="1:20" ht="15.75">
      <c r="A164" s="13">
        <v>46113</v>
      </c>
      <c r="B164" s="46">
        <v>30</v>
      </c>
      <c r="C164" s="37">
        <v>141.29300000000001</v>
      </c>
      <c r="D164" s="37">
        <v>267.99299999999999</v>
      </c>
      <c r="E164" s="43">
        <v>829.71400000000006</v>
      </c>
      <c r="F164" s="37">
        <v>1239</v>
      </c>
      <c r="G164" s="37">
        <v>100</v>
      </c>
      <c r="H164" s="45">
        <v>600</v>
      </c>
      <c r="I164" s="37">
        <v>695</v>
      </c>
      <c r="J164" s="37">
        <v>50</v>
      </c>
      <c r="K164" s="38"/>
      <c r="L164" s="38"/>
      <c r="M164" s="38"/>
      <c r="N164" s="38"/>
      <c r="O164" s="38"/>
      <c r="P164" s="38"/>
      <c r="Q164" s="38"/>
      <c r="R164" s="38"/>
      <c r="S164" s="38"/>
      <c r="T164" s="38"/>
    </row>
    <row r="165" spans="1:20" ht="15.75">
      <c r="A165" s="13">
        <v>46143</v>
      </c>
      <c r="B165" s="46">
        <v>31</v>
      </c>
      <c r="C165" s="37">
        <v>194.20500000000001</v>
      </c>
      <c r="D165" s="37">
        <v>267.46600000000001</v>
      </c>
      <c r="E165" s="43">
        <v>812.32899999999995</v>
      </c>
      <c r="F165" s="37">
        <v>1274</v>
      </c>
      <c r="G165" s="37">
        <v>75</v>
      </c>
      <c r="H165" s="45">
        <v>600</v>
      </c>
      <c r="I165" s="37">
        <v>695</v>
      </c>
      <c r="J165" s="37">
        <v>50</v>
      </c>
      <c r="K165" s="38"/>
      <c r="L165" s="38"/>
      <c r="M165" s="38"/>
      <c r="N165" s="38"/>
      <c r="O165" s="38"/>
      <c r="P165" s="38"/>
      <c r="Q165" s="38"/>
      <c r="R165" s="38"/>
      <c r="S165" s="38"/>
      <c r="T165" s="38"/>
    </row>
    <row r="166" spans="1:20" ht="15.75">
      <c r="A166" s="13">
        <v>46174</v>
      </c>
      <c r="B166" s="46">
        <v>30</v>
      </c>
      <c r="C166" s="37">
        <v>194.20500000000001</v>
      </c>
      <c r="D166" s="37">
        <v>267.46600000000001</v>
      </c>
      <c r="E166" s="43">
        <v>812.32899999999995</v>
      </c>
      <c r="F166" s="37">
        <v>1274</v>
      </c>
      <c r="G166" s="37">
        <v>50</v>
      </c>
      <c r="H166" s="45">
        <v>600</v>
      </c>
      <c r="I166" s="37">
        <v>695</v>
      </c>
      <c r="J166" s="37">
        <v>50</v>
      </c>
      <c r="K166" s="38"/>
      <c r="L166" s="38"/>
      <c r="M166" s="38"/>
      <c r="N166" s="38"/>
      <c r="O166" s="38"/>
      <c r="P166" s="38"/>
      <c r="Q166" s="38"/>
      <c r="R166" s="38"/>
      <c r="S166" s="38"/>
      <c r="T166" s="38"/>
    </row>
    <row r="167" spans="1:20" ht="15.75">
      <c r="A167" s="13">
        <v>46204</v>
      </c>
      <c r="B167" s="46">
        <v>31</v>
      </c>
      <c r="C167" s="37">
        <v>194.20500000000001</v>
      </c>
      <c r="D167" s="37">
        <v>267.46600000000001</v>
      </c>
      <c r="E167" s="43">
        <v>812.32899999999995</v>
      </c>
      <c r="F167" s="37">
        <v>1274</v>
      </c>
      <c r="G167" s="37">
        <v>50</v>
      </c>
      <c r="H167" s="45">
        <v>600</v>
      </c>
      <c r="I167" s="37">
        <v>695</v>
      </c>
      <c r="J167" s="37">
        <v>0</v>
      </c>
      <c r="K167" s="38"/>
      <c r="L167" s="38"/>
      <c r="M167" s="38"/>
      <c r="N167" s="38"/>
      <c r="O167" s="38"/>
      <c r="P167" s="38"/>
      <c r="Q167" s="38"/>
      <c r="R167" s="38"/>
      <c r="S167" s="38"/>
      <c r="T167" s="38"/>
    </row>
    <row r="168" spans="1:20" ht="15.75">
      <c r="A168" s="13">
        <v>46235</v>
      </c>
      <c r="B168" s="46">
        <v>31</v>
      </c>
      <c r="C168" s="37">
        <v>194.20500000000001</v>
      </c>
      <c r="D168" s="37">
        <v>267.46600000000001</v>
      </c>
      <c r="E168" s="43">
        <v>812.32899999999995</v>
      </c>
      <c r="F168" s="37">
        <v>1274</v>
      </c>
      <c r="G168" s="37">
        <v>50</v>
      </c>
      <c r="H168" s="45">
        <v>600</v>
      </c>
      <c r="I168" s="37">
        <v>695</v>
      </c>
      <c r="J168" s="37">
        <v>0</v>
      </c>
      <c r="K168" s="38"/>
      <c r="L168" s="38"/>
      <c r="M168" s="38"/>
      <c r="N168" s="38"/>
      <c r="O168" s="38"/>
      <c r="P168" s="38"/>
      <c r="Q168" s="38"/>
      <c r="R168" s="38"/>
      <c r="S168" s="38"/>
      <c r="T168" s="38"/>
    </row>
    <row r="169" spans="1:20" ht="15.75">
      <c r="A169" s="13">
        <v>46266</v>
      </c>
      <c r="B169" s="46">
        <v>30</v>
      </c>
      <c r="C169" s="37">
        <v>194.20500000000001</v>
      </c>
      <c r="D169" s="37">
        <v>267.46600000000001</v>
      </c>
      <c r="E169" s="43">
        <v>812.32899999999995</v>
      </c>
      <c r="F169" s="37">
        <v>1274</v>
      </c>
      <c r="G169" s="37">
        <v>50</v>
      </c>
      <c r="H169" s="45">
        <v>600</v>
      </c>
      <c r="I169" s="37">
        <v>695</v>
      </c>
      <c r="J169" s="37">
        <v>0</v>
      </c>
      <c r="K169" s="38"/>
      <c r="L169" s="38"/>
      <c r="M169" s="38"/>
      <c r="N169" s="38"/>
      <c r="O169" s="38"/>
      <c r="P169" s="38"/>
      <c r="Q169" s="38"/>
      <c r="R169" s="38"/>
      <c r="S169" s="38"/>
      <c r="T169" s="38"/>
    </row>
    <row r="170" spans="1:20" ht="15.75">
      <c r="A170" s="13">
        <v>46296</v>
      </c>
      <c r="B170" s="46">
        <v>31</v>
      </c>
      <c r="C170" s="37">
        <v>131.881</v>
      </c>
      <c r="D170" s="37">
        <v>277.16699999999997</v>
      </c>
      <c r="E170" s="43">
        <v>829.952</v>
      </c>
      <c r="F170" s="37">
        <v>1239</v>
      </c>
      <c r="G170" s="37">
        <v>75</v>
      </c>
      <c r="H170" s="45">
        <v>600</v>
      </c>
      <c r="I170" s="37">
        <v>695</v>
      </c>
      <c r="J170" s="37">
        <v>0</v>
      </c>
      <c r="K170" s="38"/>
      <c r="L170" s="38"/>
      <c r="M170" s="38"/>
      <c r="N170" s="38"/>
      <c r="O170" s="38"/>
      <c r="P170" s="38"/>
      <c r="Q170" s="38"/>
      <c r="R170" s="38"/>
      <c r="S170" s="38"/>
      <c r="T170" s="38"/>
    </row>
    <row r="171" spans="1:20" ht="15.75">
      <c r="A171" s="13">
        <v>46327</v>
      </c>
      <c r="B171" s="46">
        <v>30</v>
      </c>
      <c r="C171" s="37">
        <v>122.58</v>
      </c>
      <c r="D171" s="37">
        <v>297.94099999999997</v>
      </c>
      <c r="E171" s="43">
        <v>729.47900000000004</v>
      </c>
      <c r="F171" s="37">
        <v>1150</v>
      </c>
      <c r="G171" s="37">
        <v>100</v>
      </c>
      <c r="H171" s="45">
        <v>600</v>
      </c>
      <c r="I171" s="37">
        <v>695</v>
      </c>
      <c r="J171" s="37">
        <v>50</v>
      </c>
      <c r="K171" s="38"/>
      <c r="L171" s="38"/>
      <c r="M171" s="38"/>
      <c r="N171" s="38"/>
      <c r="O171" s="38"/>
      <c r="P171" s="38"/>
      <c r="Q171" s="38"/>
      <c r="R171" s="38"/>
      <c r="S171" s="38"/>
      <c r="T171" s="38"/>
    </row>
    <row r="172" spans="1:20" ht="15.75">
      <c r="A172" s="13">
        <v>46357</v>
      </c>
      <c r="B172" s="46">
        <v>31</v>
      </c>
      <c r="C172" s="37">
        <v>122.58</v>
      </c>
      <c r="D172" s="37">
        <v>297.94099999999997</v>
      </c>
      <c r="E172" s="43">
        <v>729.47900000000004</v>
      </c>
      <c r="F172" s="37">
        <v>1150</v>
      </c>
      <c r="G172" s="37">
        <v>100</v>
      </c>
      <c r="H172" s="45">
        <v>600</v>
      </c>
      <c r="I172" s="37">
        <v>695</v>
      </c>
      <c r="J172" s="37">
        <v>50</v>
      </c>
      <c r="K172" s="38"/>
      <c r="L172" s="38"/>
      <c r="M172" s="38"/>
      <c r="N172" s="38"/>
      <c r="O172" s="38"/>
      <c r="P172" s="38"/>
      <c r="Q172" s="38"/>
      <c r="R172" s="38"/>
      <c r="S172" s="38"/>
      <c r="T172" s="38"/>
    </row>
    <row r="173" spans="1:20" ht="15.75">
      <c r="A173" s="13">
        <v>46388</v>
      </c>
      <c r="B173" s="46">
        <v>31</v>
      </c>
      <c r="C173" s="37">
        <v>122.58</v>
      </c>
      <c r="D173" s="37">
        <v>297.94099999999997</v>
      </c>
      <c r="E173" s="43">
        <v>729.47900000000004</v>
      </c>
      <c r="F173" s="37">
        <v>1150</v>
      </c>
      <c r="G173" s="37">
        <v>100</v>
      </c>
      <c r="H173" s="45">
        <v>600</v>
      </c>
      <c r="I173" s="37">
        <v>695</v>
      </c>
      <c r="J173" s="37">
        <v>50</v>
      </c>
      <c r="K173" s="38"/>
      <c r="L173" s="38"/>
      <c r="M173" s="38"/>
      <c r="N173" s="38"/>
      <c r="O173" s="38"/>
      <c r="P173" s="38"/>
      <c r="Q173" s="38"/>
      <c r="R173" s="38"/>
      <c r="S173" s="38"/>
      <c r="T173" s="38"/>
    </row>
    <row r="174" spans="1:20" ht="15.75">
      <c r="A174" s="13">
        <v>46419</v>
      </c>
      <c r="B174" s="46">
        <v>28</v>
      </c>
      <c r="C174" s="37">
        <v>122.58</v>
      </c>
      <c r="D174" s="37">
        <v>297.94099999999997</v>
      </c>
      <c r="E174" s="43">
        <v>729.47900000000004</v>
      </c>
      <c r="F174" s="37">
        <v>1150</v>
      </c>
      <c r="G174" s="37">
        <v>100</v>
      </c>
      <c r="H174" s="45">
        <v>600</v>
      </c>
      <c r="I174" s="37">
        <v>695</v>
      </c>
      <c r="J174" s="37">
        <v>50</v>
      </c>
      <c r="K174" s="38"/>
      <c r="L174" s="38"/>
      <c r="M174" s="38"/>
      <c r="N174" s="38"/>
      <c r="O174" s="38"/>
      <c r="P174" s="38"/>
      <c r="Q174" s="38"/>
      <c r="R174" s="38"/>
      <c r="S174" s="38"/>
      <c r="T174" s="38"/>
    </row>
    <row r="175" spans="1:20" ht="15.75">
      <c r="A175" s="13">
        <v>46447</v>
      </c>
      <c r="B175" s="46">
        <v>31</v>
      </c>
      <c r="C175" s="37">
        <v>122.58</v>
      </c>
      <c r="D175" s="37">
        <v>297.94099999999997</v>
      </c>
      <c r="E175" s="43">
        <v>729.47900000000004</v>
      </c>
      <c r="F175" s="37">
        <v>1150</v>
      </c>
      <c r="G175" s="37">
        <v>100</v>
      </c>
      <c r="H175" s="45">
        <v>600</v>
      </c>
      <c r="I175" s="37">
        <v>695</v>
      </c>
      <c r="J175" s="37">
        <v>50</v>
      </c>
      <c r="K175" s="38"/>
      <c r="L175" s="38"/>
      <c r="M175" s="38"/>
      <c r="N175" s="38"/>
      <c r="O175" s="38"/>
      <c r="P175" s="38"/>
      <c r="Q175" s="38"/>
      <c r="R175" s="38"/>
      <c r="S175" s="38"/>
      <c r="T175" s="38"/>
    </row>
    <row r="176" spans="1:20" ht="15.75">
      <c r="A176" s="13">
        <v>46478</v>
      </c>
      <c r="B176" s="46">
        <v>30</v>
      </c>
      <c r="C176" s="37">
        <v>141.29300000000001</v>
      </c>
      <c r="D176" s="37">
        <v>267.99299999999999</v>
      </c>
      <c r="E176" s="43">
        <v>829.71400000000006</v>
      </c>
      <c r="F176" s="37">
        <v>1239</v>
      </c>
      <c r="G176" s="37">
        <v>100</v>
      </c>
      <c r="H176" s="45">
        <v>600</v>
      </c>
      <c r="I176" s="37">
        <v>695</v>
      </c>
      <c r="J176" s="37">
        <v>50</v>
      </c>
      <c r="K176" s="38"/>
      <c r="L176" s="38"/>
      <c r="M176" s="38"/>
      <c r="N176" s="38"/>
      <c r="O176" s="38"/>
      <c r="P176" s="38"/>
      <c r="Q176" s="38"/>
      <c r="R176" s="38"/>
      <c r="S176" s="38"/>
      <c r="T176" s="38"/>
    </row>
    <row r="177" spans="1:20" ht="15.75">
      <c r="A177" s="13">
        <v>46508</v>
      </c>
      <c r="B177" s="46">
        <v>31</v>
      </c>
      <c r="C177" s="37">
        <v>194.20500000000001</v>
      </c>
      <c r="D177" s="37">
        <v>267.46600000000001</v>
      </c>
      <c r="E177" s="43">
        <v>812.32899999999995</v>
      </c>
      <c r="F177" s="37">
        <v>1274</v>
      </c>
      <c r="G177" s="37">
        <v>75</v>
      </c>
      <c r="H177" s="45">
        <v>600</v>
      </c>
      <c r="I177" s="37">
        <v>695</v>
      </c>
      <c r="J177" s="37">
        <v>50</v>
      </c>
      <c r="K177" s="38"/>
      <c r="L177" s="38"/>
      <c r="M177" s="38"/>
      <c r="N177" s="38"/>
      <c r="O177" s="38"/>
      <c r="P177" s="38"/>
      <c r="Q177" s="38"/>
      <c r="R177" s="38"/>
      <c r="S177" s="38"/>
      <c r="T177" s="38"/>
    </row>
    <row r="178" spans="1:20" ht="15.75">
      <c r="A178" s="13">
        <v>46539</v>
      </c>
      <c r="B178" s="46">
        <v>30</v>
      </c>
      <c r="C178" s="37">
        <v>194.20500000000001</v>
      </c>
      <c r="D178" s="37">
        <v>267.46600000000001</v>
      </c>
      <c r="E178" s="43">
        <v>812.32899999999995</v>
      </c>
      <c r="F178" s="37">
        <v>1274</v>
      </c>
      <c r="G178" s="37">
        <v>50</v>
      </c>
      <c r="H178" s="45">
        <v>600</v>
      </c>
      <c r="I178" s="37">
        <v>695</v>
      </c>
      <c r="J178" s="37">
        <v>50</v>
      </c>
      <c r="K178" s="38"/>
      <c r="L178" s="38"/>
      <c r="M178" s="38"/>
      <c r="N178" s="38"/>
      <c r="O178" s="38"/>
      <c r="P178" s="38"/>
      <c r="Q178" s="38"/>
      <c r="R178" s="38"/>
      <c r="S178" s="38"/>
      <c r="T178" s="38"/>
    </row>
    <row r="179" spans="1:20" ht="15.75">
      <c r="A179" s="13">
        <v>46569</v>
      </c>
      <c r="B179" s="46">
        <v>31</v>
      </c>
      <c r="C179" s="37">
        <v>194.20500000000001</v>
      </c>
      <c r="D179" s="37">
        <v>267.46600000000001</v>
      </c>
      <c r="E179" s="43">
        <v>812.32899999999995</v>
      </c>
      <c r="F179" s="37">
        <v>1274</v>
      </c>
      <c r="G179" s="37">
        <v>50</v>
      </c>
      <c r="H179" s="45">
        <v>600</v>
      </c>
      <c r="I179" s="37">
        <v>695</v>
      </c>
      <c r="J179" s="37">
        <v>0</v>
      </c>
      <c r="K179" s="38"/>
      <c r="L179" s="38"/>
      <c r="M179" s="38"/>
      <c r="N179" s="38"/>
      <c r="O179" s="38"/>
      <c r="P179" s="38"/>
      <c r="Q179" s="38"/>
      <c r="R179" s="38"/>
      <c r="S179" s="38"/>
      <c r="T179" s="38"/>
    </row>
    <row r="180" spans="1:20" ht="15.75">
      <c r="A180" s="13">
        <v>46600</v>
      </c>
      <c r="B180" s="46">
        <v>31</v>
      </c>
      <c r="C180" s="37">
        <v>194.20500000000001</v>
      </c>
      <c r="D180" s="37">
        <v>267.46600000000001</v>
      </c>
      <c r="E180" s="43">
        <v>812.32899999999995</v>
      </c>
      <c r="F180" s="37">
        <v>1274</v>
      </c>
      <c r="G180" s="37">
        <v>50</v>
      </c>
      <c r="H180" s="45">
        <v>600</v>
      </c>
      <c r="I180" s="37">
        <v>695</v>
      </c>
      <c r="J180" s="37">
        <v>0</v>
      </c>
      <c r="K180" s="38"/>
      <c r="L180" s="38"/>
      <c r="M180" s="38"/>
      <c r="N180" s="38"/>
      <c r="O180" s="38"/>
      <c r="P180" s="38"/>
      <c r="Q180" s="38"/>
      <c r="R180" s="38"/>
      <c r="S180" s="38"/>
      <c r="T180" s="38"/>
    </row>
    <row r="181" spans="1:20" ht="15.75">
      <c r="A181" s="13">
        <v>46631</v>
      </c>
      <c r="B181" s="46">
        <v>30</v>
      </c>
      <c r="C181" s="37">
        <v>194.20500000000001</v>
      </c>
      <c r="D181" s="37">
        <v>267.46600000000001</v>
      </c>
      <c r="E181" s="43">
        <v>812.32899999999995</v>
      </c>
      <c r="F181" s="37">
        <v>1274</v>
      </c>
      <c r="G181" s="37">
        <v>50</v>
      </c>
      <c r="H181" s="45">
        <v>600</v>
      </c>
      <c r="I181" s="37">
        <v>695</v>
      </c>
      <c r="J181" s="37">
        <v>0</v>
      </c>
      <c r="K181" s="38"/>
      <c r="L181" s="38"/>
      <c r="M181" s="38"/>
      <c r="N181" s="38"/>
      <c r="O181" s="38"/>
      <c r="P181" s="38"/>
      <c r="Q181" s="38"/>
      <c r="R181" s="38"/>
      <c r="S181" s="38"/>
      <c r="T181" s="38"/>
    </row>
    <row r="182" spans="1:20" ht="15.75">
      <c r="A182" s="13">
        <v>46661</v>
      </c>
      <c r="B182" s="46">
        <v>31</v>
      </c>
      <c r="C182" s="37">
        <v>131.881</v>
      </c>
      <c r="D182" s="37">
        <v>277.16699999999997</v>
      </c>
      <c r="E182" s="43">
        <v>829.952</v>
      </c>
      <c r="F182" s="37">
        <v>1239</v>
      </c>
      <c r="G182" s="37">
        <v>75</v>
      </c>
      <c r="H182" s="45">
        <v>600</v>
      </c>
      <c r="I182" s="37">
        <v>695</v>
      </c>
      <c r="J182" s="37">
        <v>0</v>
      </c>
      <c r="K182" s="38"/>
      <c r="L182" s="38"/>
      <c r="M182" s="38"/>
      <c r="N182" s="38"/>
      <c r="O182" s="38"/>
      <c r="P182" s="38"/>
      <c r="Q182" s="38"/>
      <c r="R182" s="38"/>
      <c r="S182" s="38"/>
      <c r="T182" s="38"/>
    </row>
    <row r="183" spans="1:20" ht="15.75">
      <c r="A183" s="13">
        <v>46692</v>
      </c>
      <c r="B183" s="46">
        <v>30</v>
      </c>
      <c r="C183" s="37">
        <v>122.58</v>
      </c>
      <c r="D183" s="37">
        <v>297.94099999999997</v>
      </c>
      <c r="E183" s="43">
        <v>729.47900000000004</v>
      </c>
      <c r="F183" s="37">
        <v>1150</v>
      </c>
      <c r="G183" s="37">
        <v>100</v>
      </c>
      <c r="H183" s="45">
        <v>600</v>
      </c>
      <c r="I183" s="37">
        <v>695</v>
      </c>
      <c r="J183" s="37">
        <v>50</v>
      </c>
      <c r="K183" s="38"/>
      <c r="L183" s="38"/>
      <c r="M183" s="38"/>
      <c r="N183" s="38"/>
      <c r="O183" s="38"/>
      <c r="P183" s="38"/>
      <c r="Q183" s="38"/>
      <c r="R183" s="38"/>
      <c r="S183" s="38"/>
      <c r="T183" s="38"/>
    </row>
    <row r="184" spans="1:20" ht="15.75">
      <c r="A184" s="13">
        <v>46722</v>
      </c>
      <c r="B184" s="46">
        <v>31</v>
      </c>
      <c r="C184" s="37">
        <v>122.58</v>
      </c>
      <c r="D184" s="37">
        <v>297.94099999999997</v>
      </c>
      <c r="E184" s="43">
        <v>729.47900000000004</v>
      </c>
      <c r="F184" s="37">
        <v>1150</v>
      </c>
      <c r="G184" s="37">
        <v>100</v>
      </c>
      <c r="H184" s="45">
        <v>600</v>
      </c>
      <c r="I184" s="37">
        <v>695</v>
      </c>
      <c r="J184" s="37">
        <v>50</v>
      </c>
      <c r="K184" s="38"/>
      <c r="L184" s="38"/>
      <c r="M184" s="38"/>
      <c r="N184" s="38"/>
      <c r="O184" s="38"/>
      <c r="P184" s="38"/>
      <c r="Q184" s="38"/>
      <c r="R184" s="38"/>
      <c r="S184" s="38"/>
      <c r="T184" s="38"/>
    </row>
    <row r="185" spans="1:20" ht="15.75">
      <c r="A185" s="13">
        <v>46753</v>
      </c>
      <c r="B185" s="46">
        <v>31</v>
      </c>
      <c r="C185" s="37">
        <v>122.58</v>
      </c>
      <c r="D185" s="37">
        <v>297.94099999999997</v>
      </c>
      <c r="E185" s="43">
        <v>729.47900000000004</v>
      </c>
      <c r="F185" s="37">
        <v>1150</v>
      </c>
      <c r="G185" s="37">
        <v>100</v>
      </c>
      <c r="H185" s="45">
        <v>600</v>
      </c>
      <c r="I185" s="37">
        <v>695</v>
      </c>
      <c r="J185" s="37">
        <v>50</v>
      </c>
      <c r="K185" s="38"/>
      <c r="L185" s="38"/>
      <c r="M185" s="38"/>
      <c r="N185" s="38"/>
      <c r="O185" s="38"/>
      <c r="P185" s="38"/>
      <c r="Q185" s="38"/>
      <c r="R185" s="38"/>
      <c r="S185" s="38"/>
      <c r="T185" s="38"/>
    </row>
    <row r="186" spans="1:20" ht="15.75">
      <c r="A186" s="13">
        <v>46784</v>
      </c>
      <c r="B186" s="46">
        <v>29</v>
      </c>
      <c r="C186" s="37">
        <v>122.58</v>
      </c>
      <c r="D186" s="37">
        <v>297.94099999999997</v>
      </c>
      <c r="E186" s="43">
        <v>729.47900000000004</v>
      </c>
      <c r="F186" s="37">
        <v>1150</v>
      </c>
      <c r="G186" s="37">
        <v>100</v>
      </c>
      <c r="H186" s="45">
        <v>600</v>
      </c>
      <c r="I186" s="37">
        <v>695</v>
      </c>
      <c r="J186" s="37">
        <v>50</v>
      </c>
      <c r="K186" s="38"/>
      <c r="L186" s="38"/>
      <c r="M186" s="38"/>
      <c r="N186" s="38"/>
      <c r="O186" s="38"/>
      <c r="P186" s="38"/>
      <c r="Q186" s="38"/>
      <c r="R186" s="38"/>
      <c r="S186" s="38"/>
      <c r="T186" s="38"/>
    </row>
    <row r="187" spans="1:20" ht="15.75">
      <c r="A187" s="13">
        <v>46813</v>
      </c>
      <c r="B187" s="46">
        <v>31</v>
      </c>
      <c r="C187" s="37">
        <v>122.58</v>
      </c>
      <c r="D187" s="37">
        <v>297.94099999999997</v>
      </c>
      <c r="E187" s="43">
        <v>729.47900000000004</v>
      </c>
      <c r="F187" s="37">
        <v>1150</v>
      </c>
      <c r="G187" s="37">
        <v>100</v>
      </c>
      <c r="H187" s="45">
        <v>600</v>
      </c>
      <c r="I187" s="37">
        <v>695</v>
      </c>
      <c r="J187" s="37">
        <v>50</v>
      </c>
      <c r="K187" s="38"/>
      <c r="L187" s="38"/>
      <c r="M187" s="38"/>
      <c r="N187" s="38"/>
      <c r="O187" s="38"/>
      <c r="P187" s="38"/>
      <c r="Q187" s="38"/>
      <c r="R187" s="38"/>
      <c r="S187" s="38"/>
      <c r="T187" s="38"/>
    </row>
    <row r="188" spans="1:20" ht="15.75">
      <c r="A188" s="13">
        <v>46844</v>
      </c>
      <c r="B188" s="46">
        <v>30</v>
      </c>
      <c r="C188" s="37">
        <v>141.29300000000001</v>
      </c>
      <c r="D188" s="37">
        <v>267.99299999999999</v>
      </c>
      <c r="E188" s="43">
        <v>829.71400000000006</v>
      </c>
      <c r="F188" s="37">
        <v>1239</v>
      </c>
      <c r="G188" s="37">
        <v>100</v>
      </c>
      <c r="H188" s="45">
        <v>600</v>
      </c>
      <c r="I188" s="37">
        <v>695</v>
      </c>
      <c r="J188" s="37">
        <v>50</v>
      </c>
      <c r="K188" s="38"/>
      <c r="L188" s="38"/>
      <c r="M188" s="38"/>
      <c r="N188" s="38"/>
      <c r="O188" s="38"/>
      <c r="P188" s="38"/>
      <c r="Q188" s="38"/>
      <c r="R188" s="38"/>
      <c r="S188" s="38"/>
      <c r="T188" s="38"/>
    </row>
    <row r="189" spans="1:20" ht="15.75">
      <c r="A189" s="13">
        <v>46874</v>
      </c>
      <c r="B189" s="46">
        <v>31</v>
      </c>
      <c r="C189" s="37">
        <v>194.20500000000001</v>
      </c>
      <c r="D189" s="37">
        <v>267.46600000000001</v>
      </c>
      <c r="E189" s="43">
        <v>812.32899999999995</v>
      </c>
      <c r="F189" s="37">
        <v>1274</v>
      </c>
      <c r="G189" s="37">
        <v>75</v>
      </c>
      <c r="H189" s="45">
        <v>600</v>
      </c>
      <c r="I189" s="37">
        <v>695</v>
      </c>
      <c r="J189" s="37">
        <v>50</v>
      </c>
      <c r="K189" s="38"/>
      <c r="L189" s="38"/>
      <c r="M189" s="38"/>
      <c r="N189" s="38"/>
      <c r="O189" s="38"/>
      <c r="P189" s="38"/>
      <c r="Q189" s="38"/>
      <c r="R189" s="38"/>
      <c r="S189" s="38"/>
      <c r="T189" s="38"/>
    </row>
    <row r="190" spans="1:20" ht="15.75">
      <c r="A190" s="13">
        <v>46905</v>
      </c>
      <c r="B190" s="46">
        <v>30</v>
      </c>
      <c r="C190" s="37">
        <v>194.20500000000001</v>
      </c>
      <c r="D190" s="37">
        <v>267.46600000000001</v>
      </c>
      <c r="E190" s="43">
        <v>812.32899999999995</v>
      </c>
      <c r="F190" s="37">
        <v>1274</v>
      </c>
      <c r="G190" s="37">
        <v>50</v>
      </c>
      <c r="H190" s="45">
        <v>600</v>
      </c>
      <c r="I190" s="37">
        <v>695</v>
      </c>
      <c r="J190" s="37">
        <v>50</v>
      </c>
      <c r="K190" s="38"/>
      <c r="L190" s="38"/>
      <c r="M190" s="38"/>
      <c r="N190" s="38"/>
      <c r="O190" s="38"/>
      <c r="P190" s="38"/>
      <c r="Q190" s="38"/>
      <c r="R190" s="38"/>
      <c r="S190" s="38"/>
      <c r="T190" s="38"/>
    </row>
    <row r="191" spans="1:20" ht="15.75">
      <c r="A191" s="13">
        <v>46935</v>
      </c>
      <c r="B191" s="46">
        <v>31</v>
      </c>
      <c r="C191" s="37">
        <v>194.20500000000001</v>
      </c>
      <c r="D191" s="37">
        <v>267.46600000000001</v>
      </c>
      <c r="E191" s="43">
        <v>812.32899999999995</v>
      </c>
      <c r="F191" s="37">
        <v>1274</v>
      </c>
      <c r="G191" s="37">
        <v>50</v>
      </c>
      <c r="H191" s="45">
        <v>600</v>
      </c>
      <c r="I191" s="37">
        <v>695</v>
      </c>
      <c r="J191" s="37">
        <v>0</v>
      </c>
      <c r="K191" s="38"/>
      <c r="L191" s="38"/>
      <c r="M191" s="38"/>
      <c r="N191" s="38"/>
      <c r="O191" s="38"/>
      <c r="P191" s="38"/>
      <c r="Q191" s="38"/>
      <c r="R191" s="38"/>
      <c r="S191" s="38"/>
      <c r="T191" s="38"/>
    </row>
    <row r="192" spans="1:20" ht="15.75">
      <c r="A192" s="13">
        <v>46966</v>
      </c>
      <c r="B192" s="46">
        <v>31</v>
      </c>
      <c r="C192" s="37">
        <v>194.20500000000001</v>
      </c>
      <c r="D192" s="37">
        <v>267.46600000000001</v>
      </c>
      <c r="E192" s="43">
        <v>812.32899999999995</v>
      </c>
      <c r="F192" s="37">
        <v>1274</v>
      </c>
      <c r="G192" s="37">
        <v>50</v>
      </c>
      <c r="H192" s="45">
        <v>600</v>
      </c>
      <c r="I192" s="37">
        <v>695</v>
      </c>
      <c r="J192" s="37">
        <v>0</v>
      </c>
      <c r="K192" s="38"/>
      <c r="L192" s="38"/>
      <c r="M192" s="38"/>
      <c r="N192" s="38"/>
      <c r="O192" s="38"/>
      <c r="P192" s="38"/>
      <c r="Q192" s="38"/>
      <c r="R192" s="38"/>
      <c r="S192" s="38"/>
      <c r="T192" s="38"/>
    </row>
    <row r="193" spans="1:20" ht="15.75">
      <c r="A193" s="13">
        <v>46997</v>
      </c>
      <c r="B193" s="46">
        <v>30</v>
      </c>
      <c r="C193" s="37">
        <v>194.20500000000001</v>
      </c>
      <c r="D193" s="37">
        <v>267.46600000000001</v>
      </c>
      <c r="E193" s="43">
        <v>812.32899999999995</v>
      </c>
      <c r="F193" s="37">
        <v>1274</v>
      </c>
      <c r="G193" s="37">
        <v>50</v>
      </c>
      <c r="H193" s="45">
        <v>600</v>
      </c>
      <c r="I193" s="37">
        <v>695</v>
      </c>
      <c r="J193" s="37">
        <v>0</v>
      </c>
      <c r="K193" s="38"/>
      <c r="L193" s="38"/>
      <c r="M193" s="38"/>
      <c r="N193" s="38"/>
      <c r="O193" s="38"/>
      <c r="P193" s="38"/>
      <c r="Q193" s="38"/>
      <c r="R193" s="38"/>
      <c r="S193" s="38"/>
      <c r="T193" s="38"/>
    </row>
    <row r="194" spans="1:20" ht="15.75">
      <c r="A194" s="13">
        <v>47027</v>
      </c>
      <c r="B194" s="46">
        <v>31</v>
      </c>
      <c r="C194" s="37">
        <v>131.881</v>
      </c>
      <c r="D194" s="37">
        <v>277.16699999999997</v>
      </c>
      <c r="E194" s="43">
        <v>829.952</v>
      </c>
      <c r="F194" s="37">
        <v>1239</v>
      </c>
      <c r="G194" s="37">
        <v>75</v>
      </c>
      <c r="H194" s="45">
        <v>600</v>
      </c>
      <c r="I194" s="37">
        <v>695</v>
      </c>
      <c r="J194" s="37">
        <v>0</v>
      </c>
      <c r="K194" s="38"/>
      <c r="L194" s="38"/>
      <c r="M194" s="38"/>
      <c r="N194" s="38"/>
      <c r="O194" s="38"/>
      <c r="P194" s="38"/>
      <c r="Q194" s="38"/>
      <c r="R194" s="38"/>
      <c r="S194" s="38"/>
      <c r="T194" s="38"/>
    </row>
    <row r="195" spans="1:20" ht="15.75">
      <c r="A195" s="13">
        <v>47058</v>
      </c>
      <c r="B195" s="46">
        <v>30</v>
      </c>
      <c r="C195" s="37">
        <v>122.58</v>
      </c>
      <c r="D195" s="37">
        <v>297.94099999999997</v>
      </c>
      <c r="E195" s="43">
        <v>729.47900000000004</v>
      </c>
      <c r="F195" s="37">
        <v>1150</v>
      </c>
      <c r="G195" s="37">
        <v>100</v>
      </c>
      <c r="H195" s="45">
        <v>600</v>
      </c>
      <c r="I195" s="37">
        <v>695</v>
      </c>
      <c r="J195" s="37">
        <v>50</v>
      </c>
      <c r="K195" s="38"/>
      <c r="L195" s="38"/>
      <c r="M195" s="38"/>
      <c r="N195" s="38"/>
      <c r="O195" s="38"/>
      <c r="P195" s="38"/>
      <c r="Q195" s="38"/>
      <c r="R195" s="38"/>
      <c r="S195" s="38"/>
      <c r="T195" s="38"/>
    </row>
    <row r="196" spans="1:20" ht="15.75">
      <c r="A196" s="13">
        <v>47088</v>
      </c>
      <c r="B196" s="46">
        <v>31</v>
      </c>
      <c r="C196" s="37">
        <v>122.58</v>
      </c>
      <c r="D196" s="37">
        <v>297.94099999999997</v>
      </c>
      <c r="E196" s="43">
        <v>729.47900000000004</v>
      </c>
      <c r="F196" s="37">
        <v>1150</v>
      </c>
      <c r="G196" s="37">
        <v>100</v>
      </c>
      <c r="H196" s="45">
        <v>600</v>
      </c>
      <c r="I196" s="37">
        <v>695</v>
      </c>
      <c r="J196" s="37">
        <v>50</v>
      </c>
      <c r="K196" s="38"/>
      <c r="L196" s="38"/>
      <c r="M196" s="38"/>
      <c r="N196" s="38"/>
      <c r="O196" s="38"/>
      <c r="P196" s="38"/>
      <c r="Q196" s="38"/>
      <c r="R196" s="38"/>
      <c r="S196" s="38"/>
      <c r="T196" s="38"/>
    </row>
    <row r="197" spans="1:20" ht="15.75">
      <c r="A197" s="13">
        <v>47119</v>
      </c>
      <c r="B197" s="46">
        <v>31</v>
      </c>
      <c r="C197" s="37">
        <v>122.58</v>
      </c>
      <c r="D197" s="37">
        <v>297.94099999999997</v>
      </c>
      <c r="E197" s="43">
        <v>729.47900000000004</v>
      </c>
      <c r="F197" s="37">
        <v>1150</v>
      </c>
      <c r="G197" s="37">
        <v>100</v>
      </c>
      <c r="H197" s="45">
        <v>600</v>
      </c>
      <c r="I197" s="37">
        <v>695</v>
      </c>
      <c r="J197" s="37">
        <v>50</v>
      </c>
      <c r="K197" s="38"/>
      <c r="L197" s="38"/>
      <c r="M197" s="38"/>
      <c r="N197" s="38"/>
      <c r="O197" s="38"/>
      <c r="P197" s="38"/>
      <c r="Q197" s="38"/>
      <c r="R197" s="38"/>
      <c r="S197" s="38"/>
      <c r="T197" s="38"/>
    </row>
    <row r="198" spans="1:20" ht="15.75">
      <c r="A198" s="13">
        <v>47150</v>
      </c>
      <c r="B198" s="46">
        <v>28</v>
      </c>
      <c r="C198" s="37">
        <v>122.58</v>
      </c>
      <c r="D198" s="37">
        <v>297.94099999999997</v>
      </c>
      <c r="E198" s="43">
        <v>729.47900000000004</v>
      </c>
      <c r="F198" s="37">
        <v>1150</v>
      </c>
      <c r="G198" s="37">
        <v>100</v>
      </c>
      <c r="H198" s="45">
        <v>600</v>
      </c>
      <c r="I198" s="37">
        <v>695</v>
      </c>
      <c r="J198" s="37">
        <v>50</v>
      </c>
      <c r="K198" s="38"/>
      <c r="L198" s="38"/>
      <c r="M198" s="38"/>
      <c r="N198" s="38"/>
      <c r="O198" s="38"/>
      <c r="P198" s="38"/>
      <c r="Q198" s="38"/>
      <c r="R198" s="38"/>
      <c r="S198" s="38"/>
      <c r="T198" s="38"/>
    </row>
    <row r="199" spans="1:20" ht="15.75">
      <c r="A199" s="13">
        <v>47178</v>
      </c>
      <c r="B199" s="46">
        <v>31</v>
      </c>
      <c r="C199" s="37">
        <v>122.58</v>
      </c>
      <c r="D199" s="37">
        <v>297.94099999999997</v>
      </c>
      <c r="E199" s="43">
        <v>729.47900000000004</v>
      </c>
      <c r="F199" s="37">
        <v>1150</v>
      </c>
      <c r="G199" s="37">
        <v>100</v>
      </c>
      <c r="H199" s="45">
        <v>600</v>
      </c>
      <c r="I199" s="37">
        <v>695</v>
      </c>
      <c r="J199" s="37">
        <v>50</v>
      </c>
      <c r="K199" s="38"/>
      <c r="L199" s="38"/>
      <c r="M199" s="38"/>
      <c r="N199" s="38"/>
      <c r="O199" s="38"/>
      <c r="P199" s="38"/>
      <c r="Q199" s="38"/>
      <c r="R199" s="38"/>
      <c r="S199" s="38"/>
      <c r="T199" s="38"/>
    </row>
    <row r="200" spans="1:20" ht="15.75">
      <c r="A200" s="13">
        <v>47209</v>
      </c>
      <c r="B200" s="46">
        <v>30</v>
      </c>
      <c r="C200" s="37">
        <v>141.29300000000001</v>
      </c>
      <c r="D200" s="37">
        <v>267.99299999999999</v>
      </c>
      <c r="E200" s="43">
        <v>829.71400000000006</v>
      </c>
      <c r="F200" s="37">
        <v>1239</v>
      </c>
      <c r="G200" s="37">
        <v>100</v>
      </c>
      <c r="H200" s="45">
        <v>600</v>
      </c>
      <c r="I200" s="37">
        <v>695</v>
      </c>
      <c r="J200" s="37">
        <v>50</v>
      </c>
      <c r="K200" s="38"/>
      <c r="L200" s="38"/>
      <c r="M200" s="38"/>
      <c r="N200" s="38"/>
      <c r="O200" s="38"/>
      <c r="P200" s="38"/>
      <c r="Q200" s="38"/>
      <c r="R200" s="38"/>
      <c r="S200" s="38"/>
      <c r="T200" s="38"/>
    </row>
    <row r="201" spans="1:20" ht="15.75">
      <c r="A201" s="13">
        <v>47239</v>
      </c>
      <c r="B201" s="46">
        <v>31</v>
      </c>
      <c r="C201" s="37">
        <v>194.20500000000001</v>
      </c>
      <c r="D201" s="37">
        <v>267.46600000000001</v>
      </c>
      <c r="E201" s="43">
        <v>812.32899999999995</v>
      </c>
      <c r="F201" s="37">
        <v>1274</v>
      </c>
      <c r="G201" s="37">
        <v>75</v>
      </c>
      <c r="H201" s="45">
        <v>600</v>
      </c>
      <c r="I201" s="37">
        <v>695</v>
      </c>
      <c r="J201" s="37">
        <v>50</v>
      </c>
      <c r="K201" s="38"/>
      <c r="L201" s="38"/>
      <c r="M201" s="38"/>
      <c r="N201" s="38"/>
      <c r="O201" s="38"/>
      <c r="P201" s="38"/>
      <c r="Q201" s="38"/>
      <c r="R201" s="38"/>
      <c r="S201" s="38"/>
      <c r="T201" s="38"/>
    </row>
    <row r="202" spans="1:20" ht="15.75">
      <c r="A202" s="13">
        <v>47270</v>
      </c>
      <c r="B202" s="46">
        <v>30</v>
      </c>
      <c r="C202" s="37">
        <v>194.20500000000001</v>
      </c>
      <c r="D202" s="37">
        <v>267.46600000000001</v>
      </c>
      <c r="E202" s="43">
        <v>812.32899999999995</v>
      </c>
      <c r="F202" s="37">
        <v>1274</v>
      </c>
      <c r="G202" s="37">
        <v>50</v>
      </c>
      <c r="H202" s="45">
        <v>600</v>
      </c>
      <c r="I202" s="37">
        <v>695</v>
      </c>
      <c r="J202" s="37">
        <v>50</v>
      </c>
      <c r="K202" s="38"/>
      <c r="L202" s="38"/>
      <c r="M202" s="38"/>
      <c r="N202" s="38"/>
      <c r="O202" s="38"/>
      <c r="P202" s="38"/>
      <c r="Q202" s="38"/>
      <c r="R202" s="38"/>
      <c r="S202" s="38"/>
      <c r="T202" s="38"/>
    </row>
    <row r="203" spans="1:20" ht="15.75">
      <c r="A203" s="13">
        <v>47300</v>
      </c>
      <c r="B203" s="46">
        <v>31</v>
      </c>
      <c r="C203" s="37">
        <v>194.20500000000001</v>
      </c>
      <c r="D203" s="37">
        <v>267.46600000000001</v>
      </c>
      <c r="E203" s="43">
        <v>812.32899999999995</v>
      </c>
      <c r="F203" s="37">
        <v>1274</v>
      </c>
      <c r="G203" s="37">
        <v>50</v>
      </c>
      <c r="H203" s="45">
        <v>600</v>
      </c>
      <c r="I203" s="37">
        <v>695</v>
      </c>
      <c r="J203" s="37">
        <v>0</v>
      </c>
      <c r="K203" s="38"/>
      <c r="L203" s="38"/>
      <c r="M203" s="38"/>
      <c r="N203" s="38"/>
      <c r="O203" s="38"/>
      <c r="P203" s="38"/>
      <c r="Q203" s="38"/>
      <c r="R203" s="38"/>
      <c r="S203" s="38"/>
      <c r="T203" s="38"/>
    </row>
    <row r="204" spans="1:20" ht="15.75">
      <c r="A204" s="13">
        <v>47331</v>
      </c>
      <c r="B204" s="46">
        <v>31</v>
      </c>
      <c r="C204" s="37">
        <v>194.20500000000001</v>
      </c>
      <c r="D204" s="37">
        <v>267.46600000000001</v>
      </c>
      <c r="E204" s="43">
        <v>812.32899999999995</v>
      </c>
      <c r="F204" s="37">
        <v>1274</v>
      </c>
      <c r="G204" s="37">
        <v>50</v>
      </c>
      <c r="H204" s="45">
        <v>600</v>
      </c>
      <c r="I204" s="37">
        <v>695</v>
      </c>
      <c r="J204" s="37">
        <v>0</v>
      </c>
      <c r="K204" s="38"/>
      <c r="L204" s="38"/>
      <c r="M204" s="38"/>
      <c r="N204" s="38"/>
      <c r="O204" s="38"/>
      <c r="P204" s="38"/>
      <c r="Q204" s="38"/>
      <c r="R204" s="38"/>
      <c r="S204" s="38"/>
      <c r="T204" s="38"/>
    </row>
    <row r="205" spans="1:20" ht="15.75">
      <c r="A205" s="13">
        <v>47362</v>
      </c>
      <c r="B205" s="46">
        <v>30</v>
      </c>
      <c r="C205" s="37">
        <v>194.20500000000001</v>
      </c>
      <c r="D205" s="37">
        <v>267.46600000000001</v>
      </c>
      <c r="E205" s="43">
        <v>812.32899999999995</v>
      </c>
      <c r="F205" s="37">
        <v>1274</v>
      </c>
      <c r="G205" s="37">
        <v>50</v>
      </c>
      <c r="H205" s="45">
        <v>600</v>
      </c>
      <c r="I205" s="37">
        <v>695</v>
      </c>
      <c r="J205" s="37">
        <v>0</v>
      </c>
      <c r="K205" s="38"/>
      <c r="L205" s="38"/>
      <c r="M205" s="38"/>
      <c r="N205" s="38"/>
      <c r="O205" s="38"/>
      <c r="P205" s="38"/>
      <c r="Q205" s="38"/>
      <c r="R205" s="38"/>
      <c r="S205" s="38"/>
      <c r="T205" s="38"/>
    </row>
    <row r="206" spans="1:20" ht="15.75">
      <c r="A206" s="13">
        <v>47392</v>
      </c>
      <c r="B206" s="46">
        <v>31</v>
      </c>
      <c r="C206" s="37">
        <v>131.881</v>
      </c>
      <c r="D206" s="37">
        <v>277.16699999999997</v>
      </c>
      <c r="E206" s="43">
        <v>829.952</v>
      </c>
      <c r="F206" s="37">
        <v>1239</v>
      </c>
      <c r="G206" s="37">
        <v>75</v>
      </c>
      <c r="H206" s="45">
        <v>600</v>
      </c>
      <c r="I206" s="37">
        <v>695</v>
      </c>
      <c r="J206" s="37">
        <v>0</v>
      </c>
      <c r="K206" s="38"/>
      <c r="L206" s="38"/>
      <c r="M206" s="38"/>
      <c r="N206" s="38"/>
      <c r="O206" s="38"/>
      <c r="P206" s="38"/>
      <c r="Q206" s="38"/>
      <c r="R206" s="38"/>
      <c r="S206" s="38"/>
      <c r="T206" s="38"/>
    </row>
    <row r="207" spans="1:20" ht="15.75">
      <c r="A207" s="13">
        <v>47423</v>
      </c>
      <c r="B207" s="46">
        <v>30</v>
      </c>
      <c r="C207" s="37">
        <v>122.58</v>
      </c>
      <c r="D207" s="37">
        <v>297.94099999999997</v>
      </c>
      <c r="E207" s="43">
        <v>729.47900000000004</v>
      </c>
      <c r="F207" s="37">
        <v>1150</v>
      </c>
      <c r="G207" s="37">
        <v>100</v>
      </c>
      <c r="H207" s="45">
        <v>600</v>
      </c>
      <c r="I207" s="37">
        <v>695</v>
      </c>
      <c r="J207" s="37">
        <v>50</v>
      </c>
      <c r="K207" s="38"/>
      <c r="L207" s="38"/>
      <c r="M207" s="38"/>
      <c r="N207" s="38"/>
      <c r="O207" s="38"/>
      <c r="P207" s="38"/>
      <c r="Q207" s="38"/>
      <c r="R207" s="38"/>
      <c r="S207" s="38"/>
      <c r="T207" s="38"/>
    </row>
    <row r="208" spans="1:20" ht="15.75">
      <c r="A208" s="13">
        <v>47453</v>
      </c>
      <c r="B208" s="46">
        <v>31</v>
      </c>
      <c r="C208" s="37">
        <v>122.58</v>
      </c>
      <c r="D208" s="37">
        <v>297.94099999999997</v>
      </c>
      <c r="E208" s="43">
        <v>729.47900000000004</v>
      </c>
      <c r="F208" s="37">
        <v>1150</v>
      </c>
      <c r="G208" s="37">
        <v>100</v>
      </c>
      <c r="H208" s="45">
        <v>600</v>
      </c>
      <c r="I208" s="37">
        <v>695</v>
      </c>
      <c r="J208" s="37">
        <v>50</v>
      </c>
      <c r="K208" s="38"/>
      <c r="L208" s="38"/>
      <c r="M208" s="38"/>
      <c r="N208" s="38"/>
      <c r="O208" s="38"/>
      <c r="P208" s="38"/>
      <c r="Q208" s="38"/>
      <c r="R208" s="38"/>
      <c r="S208" s="38"/>
      <c r="T208" s="38"/>
    </row>
    <row r="209" spans="1:20" ht="15.75">
      <c r="A209" s="13">
        <v>47484</v>
      </c>
      <c r="B209" s="46">
        <v>31</v>
      </c>
      <c r="C209" s="37">
        <v>122.58</v>
      </c>
      <c r="D209" s="37">
        <v>297.94099999999997</v>
      </c>
      <c r="E209" s="43">
        <v>729.47900000000004</v>
      </c>
      <c r="F209" s="37">
        <v>1150</v>
      </c>
      <c r="G209" s="37">
        <v>100</v>
      </c>
      <c r="H209" s="45">
        <v>600</v>
      </c>
      <c r="I209" s="37">
        <v>695</v>
      </c>
      <c r="J209" s="37">
        <v>50</v>
      </c>
      <c r="K209" s="38"/>
      <c r="L209" s="38"/>
      <c r="M209" s="38"/>
      <c r="N209" s="38"/>
      <c r="O209" s="38"/>
      <c r="P209" s="38"/>
      <c r="Q209" s="38"/>
      <c r="R209" s="38"/>
      <c r="S209" s="38"/>
      <c r="T209" s="38"/>
    </row>
    <row r="210" spans="1:20" ht="15.75">
      <c r="A210" s="13">
        <v>47515</v>
      </c>
      <c r="B210" s="46">
        <v>28</v>
      </c>
      <c r="C210" s="37">
        <v>122.58</v>
      </c>
      <c r="D210" s="37">
        <v>297.94099999999997</v>
      </c>
      <c r="E210" s="43">
        <v>729.47900000000004</v>
      </c>
      <c r="F210" s="37">
        <v>1150</v>
      </c>
      <c r="G210" s="37">
        <v>100</v>
      </c>
      <c r="H210" s="45">
        <v>600</v>
      </c>
      <c r="I210" s="37">
        <v>695</v>
      </c>
      <c r="J210" s="37">
        <v>50</v>
      </c>
      <c r="K210" s="38"/>
      <c r="L210" s="38"/>
      <c r="M210" s="38"/>
      <c r="N210" s="38"/>
      <c r="O210" s="38"/>
      <c r="P210" s="38"/>
      <c r="Q210" s="38"/>
      <c r="R210" s="38"/>
      <c r="S210" s="38"/>
      <c r="T210" s="38"/>
    </row>
    <row r="211" spans="1:20" ht="15.75">
      <c r="A211" s="13">
        <v>47543</v>
      </c>
      <c r="B211" s="46">
        <v>31</v>
      </c>
      <c r="C211" s="37">
        <v>122.58</v>
      </c>
      <c r="D211" s="37">
        <v>297.94099999999997</v>
      </c>
      <c r="E211" s="43">
        <v>729.47900000000004</v>
      </c>
      <c r="F211" s="37">
        <v>1150</v>
      </c>
      <c r="G211" s="37">
        <v>100</v>
      </c>
      <c r="H211" s="45">
        <v>600</v>
      </c>
      <c r="I211" s="37">
        <v>695</v>
      </c>
      <c r="J211" s="37">
        <v>50</v>
      </c>
      <c r="K211" s="38"/>
      <c r="L211" s="38"/>
      <c r="M211" s="38"/>
      <c r="N211" s="38"/>
      <c r="O211" s="38"/>
      <c r="P211" s="38"/>
      <c r="Q211" s="38"/>
      <c r="R211" s="38"/>
      <c r="S211" s="38"/>
      <c r="T211" s="38"/>
    </row>
    <row r="212" spans="1:20" ht="15.75">
      <c r="A212" s="13">
        <v>47574</v>
      </c>
      <c r="B212" s="46">
        <v>30</v>
      </c>
      <c r="C212" s="37">
        <v>141.29300000000001</v>
      </c>
      <c r="D212" s="37">
        <v>267.99299999999999</v>
      </c>
      <c r="E212" s="43">
        <v>829.71400000000006</v>
      </c>
      <c r="F212" s="37">
        <v>1239</v>
      </c>
      <c r="G212" s="37">
        <v>100</v>
      </c>
      <c r="H212" s="45">
        <v>600</v>
      </c>
      <c r="I212" s="37">
        <v>695</v>
      </c>
      <c r="J212" s="37">
        <v>50</v>
      </c>
      <c r="K212" s="38"/>
      <c r="L212" s="38"/>
      <c r="M212" s="38"/>
      <c r="N212" s="38"/>
      <c r="O212" s="38"/>
      <c r="P212" s="38"/>
      <c r="Q212" s="38"/>
      <c r="R212" s="38"/>
      <c r="S212" s="38"/>
      <c r="T212" s="38"/>
    </row>
    <row r="213" spans="1:20" ht="15.75">
      <c r="A213" s="13">
        <v>47604</v>
      </c>
      <c r="B213" s="46">
        <v>31</v>
      </c>
      <c r="C213" s="37">
        <v>194.20500000000001</v>
      </c>
      <c r="D213" s="37">
        <v>267.46600000000001</v>
      </c>
      <c r="E213" s="43">
        <v>812.32899999999995</v>
      </c>
      <c r="F213" s="37">
        <v>1274</v>
      </c>
      <c r="G213" s="37">
        <v>75</v>
      </c>
      <c r="H213" s="45">
        <v>600</v>
      </c>
      <c r="I213" s="37">
        <v>695</v>
      </c>
      <c r="J213" s="37">
        <v>50</v>
      </c>
      <c r="K213" s="38"/>
      <c r="L213" s="38"/>
      <c r="M213" s="38"/>
      <c r="N213" s="38"/>
      <c r="O213" s="38"/>
      <c r="P213" s="38"/>
      <c r="Q213" s="38"/>
      <c r="R213" s="38"/>
      <c r="S213" s="38"/>
      <c r="T213" s="38"/>
    </row>
    <row r="214" spans="1:20" ht="15.75">
      <c r="A214" s="13">
        <v>47635</v>
      </c>
      <c r="B214" s="46">
        <v>30</v>
      </c>
      <c r="C214" s="37">
        <v>194.20500000000001</v>
      </c>
      <c r="D214" s="37">
        <v>267.46600000000001</v>
      </c>
      <c r="E214" s="43">
        <v>812.32899999999995</v>
      </c>
      <c r="F214" s="37">
        <v>1274</v>
      </c>
      <c r="G214" s="37">
        <v>50</v>
      </c>
      <c r="H214" s="45">
        <v>600</v>
      </c>
      <c r="I214" s="37">
        <v>695</v>
      </c>
      <c r="J214" s="37">
        <v>50</v>
      </c>
      <c r="K214" s="38"/>
      <c r="L214" s="38"/>
      <c r="M214" s="38"/>
      <c r="N214" s="38"/>
      <c r="O214" s="38"/>
      <c r="P214" s="38"/>
      <c r="Q214" s="38"/>
      <c r="R214" s="38"/>
      <c r="S214" s="38"/>
      <c r="T214" s="38"/>
    </row>
    <row r="215" spans="1:20" ht="15.75">
      <c r="A215" s="13">
        <v>47665</v>
      </c>
      <c r="B215" s="46">
        <v>31</v>
      </c>
      <c r="C215" s="37">
        <v>194.20500000000001</v>
      </c>
      <c r="D215" s="37">
        <v>267.46600000000001</v>
      </c>
      <c r="E215" s="43">
        <v>812.32899999999995</v>
      </c>
      <c r="F215" s="37">
        <v>1274</v>
      </c>
      <c r="G215" s="37">
        <v>50</v>
      </c>
      <c r="H215" s="45">
        <v>600</v>
      </c>
      <c r="I215" s="37">
        <v>695</v>
      </c>
      <c r="J215" s="37">
        <v>0</v>
      </c>
      <c r="K215" s="38"/>
      <c r="L215" s="38"/>
      <c r="M215" s="38"/>
      <c r="N215" s="38"/>
      <c r="O215" s="38"/>
      <c r="P215" s="38"/>
      <c r="Q215" s="38"/>
      <c r="R215" s="38"/>
      <c r="S215" s="38"/>
      <c r="T215" s="38"/>
    </row>
    <row r="216" spans="1:20" ht="15.75">
      <c r="A216" s="13">
        <v>47696</v>
      </c>
      <c r="B216" s="46">
        <v>31</v>
      </c>
      <c r="C216" s="37">
        <v>194.20500000000001</v>
      </c>
      <c r="D216" s="37">
        <v>267.46600000000001</v>
      </c>
      <c r="E216" s="43">
        <v>812.32899999999995</v>
      </c>
      <c r="F216" s="37">
        <v>1274</v>
      </c>
      <c r="G216" s="37">
        <v>50</v>
      </c>
      <c r="H216" s="45">
        <v>600</v>
      </c>
      <c r="I216" s="37">
        <v>695</v>
      </c>
      <c r="J216" s="37">
        <v>0</v>
      </c>
      <c r="K216" s="38"/>
      <c r="L216" s="38"/>
      <c r="M216" s="38"/>
      <c r="N216" s="38"/>
      <c r="O216" s="38"/>
      <c r="P216" s="38"/>
      <c r="Q216" s="38"/>
      <c r="R216" s="38"/>
      <c r="S216" s="38"/>
      <c r="T216" s="38"/>
    </row>
    <row r="217" spans="1:20" ht="15.75">
      <c r="A217" s="13">
        <v>47727</v>
      </c>
      <c r="B217" s="46">
        <v>30</v>
      </c>
      <c r="C217" s="37">
        <v>194.20500000000001</v>
      </c>
      <c r="D217" s="37">
        <v>267.46600000000001</v>
      </c>
      <c r="E217" s="43">
        <v>812.32899999999995</v>
      </c>
      <c r="F217" s="37">
        <v>1274</v>
      </c>
      <c r="G217" s="37">
        <v>50</v>
      </c>
      <c r="H217" s="45">
        <v>600</v>
      </c>
      <c r="I217" s="37">
        <v>695</v>
      </c>
      <c r="J217" s="37">
        <v>0</v>
      </c>
      <c r="K217" s="38"/>
      <c r="L217" s="38"/>
      <c r="M217" s="38"/>
      <c r="N217" s="38"/>
      <c r="O217" s="38"/>
      <c r="P217" s="38"/>
      <c r="Q217" s="38"/>
      <c r="R217" s="38"/>
      <c r="S217" s="38"/>
      <c r="T217" s="38"/>
    </row>
    <row r="218" spans="1:20" ht="15.75">
      <c r="A218" s="13">
        <v>47757</v>
      </c>
      <c r="B218" s="46">
        <v>31</v>
      </c>
      <c r="C218" s="37">
        <v>131.881</v>
      </c>
      <c r="D218" s="37">
        <v>277.16699999999997</v>
      </c>
      <c r="E218" s="43">
        <v>829.952</v>
      </c>
      <c r="F218" s="37">
        <v>1239</v>
      </c>
      <c r="G218" s="37">
        <v>75</v>
      </c>
      <c r="H218" s="45">
        <v>600</v>
      </c>
      <c r="I218" s="37">
        <v>695</v>
      </c>
      <c r="J218" s="37">
        <v>0</v>
      </c>
      <c r="K218" s="38"/>
      <c r="L218" s="38"/>
      <c r="M218" s="38"/>
      <c r="N218" s="38"/>
      <c r="O218" s="38"/>
      <c r="P218" s="38"/>
      <c r="Q218" s="38"/>
      <c r="R218" s="38"/>
      <c r="S218" s="38"/>
      <c r="T218" s="38"/>
    </row>
    <row r="219" spans="1:20" ht="15.75">
      <c r="A219" s="13">
        <v>47788</v>
      </c>
      <c r="B219" s="46">
        <v>30</v>
      </c>
      <c r="C219" s="37">
        <v>122.58</v>
      </c>
      <c r="D219" s="37">
        <v>297.94099999999997</v>
      </c>
      <c r="E219" s="43">
        <v>729.47900000000004</v>
      </c>
      <c r="F219" s="37">
        <v>1150</v>
      </c>
      <c r="G219" s="37">
        <v>100</v>
      </c>
      <c r="H219" s="45">
        <v>600</v>
      </c>
      <c r="I219" s="37">
        <v>695</v>
      </c>
      <c r="J219" s="37">
        <v>50</v>
      </c>
      <c r="K219" s="38"/>
      <c r="L219" s="38"/>
      <c r="M219" s="38"/>
      <c r="N219" s="38"/>
      <c r="O219" s="38"/>
      <c r="P219" s="38"/>
      <c r="Q219" s="38"/>
      <c r="R219" s="38"/>
      <c r="S219" s="38"/>
      <c r="T219" s="38"/>
    </row>
    <row r="220" spans="1:20" ht="15.75">
      <c r="A220" s="13">
        <v>47818</v>
      </c>
      <c r="B220" s="46">
        <v>31</v>
      </c>
      <c r="C220" s="37">
        <v>122.58</v>
      </c>
      <c r="D220" s="37">
        <v>297.94099999999997</v>
      </c>
      <c r="E220" s="43">
        <v>729.47900000000004</v>
      </c>
      <c r="F220" s="37">
        <v>1150</v>
      </c>
      <c r="G220" s="37">
        <v>100</v>
      </c>
      <c r="H220" s="45">
        <v>600</v>
      </c>
      <c r="I220" s="37">
        <v>695</v>
      </c>
      <c r="J220" s="37">
        <v>50</v>
      </c>
      <c r="K220" s="38"/>
      <c r="L220" s="38"/>
      <c r="M220" s="38"/>
      <c r="N220" s="38"/>
      <c r="O220" s="38"/>
      <c r="P220" s="38"/>
      <c r="Q220" s="38"/>
      <c r="R220" s="38"/>
      <c r="S220" s="38"/>
      <c r="T220" s="38"/>
    </row>
    <row r="221" spans="1:20" ht="15.75">
      <c r="A221" s="13">
        <v>47849</v>
      </c>
      <c r="B221" s="46">
        <v>31</v>
      </c>
      <c r="C221" s="37">
        <v>122.58</v>
      </c>
      <c r="D221" s="37">
        <v>297.94099999999997</v>
      </c>
      <c r="E221" s="43">
        <v>729.47900000000004</v>
      </c>
      <c r="F221" s="37">
        <v>1150</v>
      </c>
      <c r="G221" s="37">
        <v>100</v>
      </c>
      <c r="H221" s="45">
        <v>600</v>
      </c>
      <c r="I221" s="37">
        <v>695</v>
      </c>
      <c r="J221" s="37">
        <v>50</v>
      </c>
      <c r="K221" s="38"/>
      <c r="L221" s="38"/>
      <c r="M221" s="38"/>
      <c r="N221" s="38"/>
      <c r="O221" s="38"/>
      <c r="P221" s="38"/>
      <c r="Q221" s="38"/>
      <c r="R221" s="38"/>
      <c r="S221" s="38"/>
      <c r="T221" s="38"/>
    </row>
    <row r="222" spans="1:20" ht="15.75">
      <c r="A222" s="13">
        <v>47880</v>
      </c>
      <c r="B222" s="46">
        <v>28</v>
      </c>
      <c r="C222" s="37">
        <v>122.58</v>
      </c>
      <c r="D222" s="37">
        <v>297.94099999999997</v>
      </c>
      <c r="E222" s="43">
        <v>729.47900000000004</v>
      </c>
      <c r="F222" s="37">
        <v>1150</v>
      </c>
      <c r="G222" s="37">
        <v>100</v>
      </c>
      <c r="H222" s="45">
        <v>600</v>
      </c>
      <c r="I222" s="37">
        <v>695</v>
      </c>
      <c r="J222" s="37">
        <v>50</v>
      </c>
      <c r="K222" s="38"/>
      <c r="L222" s="38"/>
      <c r="M222" s="38"/>
      <c r="N222" s="38"/>
      <c r="O222" s="38"/>
      <c r="P222" s="38"/>
      <c r="Q222" s="38"/>
      <c r="R222" s="38"/>
      <c r="S222" s="38"/>
      <c r="T222" s="38"/>
    </row>
    <row r="223" spans="1:20" ht="15.75">
      <c r="A223" s="13">
        <v>47908</v>
      </c>
      <c r="B223" s="46">
        <v>31</v>
      </c>
      <c r="C223" s="37">
        <v>122.58</v>
      </c>
      <c r="D223" s="37">
        <v>297.94099999999997</v>
      </c>
      <c r="E223" s="43">
        <v>729.47900000000004</v>
      </c>
      <c r="F223" s="37">
        <v>1150</v>
      </c>
      <c r="G223" s="37">
        <v>100</v>
      </c>
      <c r="H223" s="45">
        <v>600</v>
      </c>
      <c r="I223" s="37">
        <v>695</v>
      </c>
      <c r="J223" s="37">
        <v>50</v>
      </c>
      <c r="K223" s="38"/>
      <c r="L223" s="38"/>
      <c r="M223" s="38"/>
      <c r="N223" s="38"/>
      <c r="O223" s="38"/>
      <c r="P223" s="38"/>
      <c r="Q223" s="38"/>
      <c r="R223" s="38"/>
      <c r="S223" s="38"/>
      <c r="T223" s="38"/>
    </row>
    <row r="224" spans="1:20" ht="15.75">
      <c r="A224" s="13">
        <v>47939</v>
      </c>
      <c r="B224" s="46">
        <v>30</v>
      </c>
      <c r="C224" s="37">
        <v>141.29300000000001</v>
      </c>
      <c r="D224" s="37">
        <v>267.99299999999999</v>
      </c>
      <c r="E224" s="43">
        <v>829.71400000000006</v>
      </c>
      <c r="F224" s="37">
        <v>1239</v>
      </c>
      <c r="G224" s="37">
        <v>100</v>
      </c>
      <c r="H224" s="45">
        <v>600</v>
      </c>
      <c r="I224" s="37">
        <v>695</v>
      </c>
      <c r="J224" s="37">
        <v>50</v>
      </c>
      <c r="K224" s="38"/>
      <c r="L224" s="38"/>
      <c r="M224" s="38"/>
      <c r="N224" s="38"/>
      <c r="O224" s="38"/>
      <c r="P224" s="38"/>
      <c r="Q224" s="38"/>
      <c r="R224" s="38"/>
      <c r="S224" s="38"/>
      <c r="T224" s="38"/>
    </row>
    <row r="225" spans="1:20" ht="15.75">
      <c r="A225" s="13">
        <v>47969</v>
      </c>
      <c r="B225" s="46">
        <v>31</v>
      </c>
      <c r="C225" s="37">
        <v>194.20500000000001</v>
      </c>
      <c r="D225" s="37">
        <v>267.46600000000001</v>
      </c>
      <c r="E225" s="43">
        <v>812.32899999999995</v>
      </c>
      <c r="F225" s="37">
        <v>1274</v>
      </c>
      <c r="G225" s="37">
        <v>75</v>
      </c>
      <c r="H225" s="45">
        <v>600</v>
      </c>
      <c r="I225" s="37">
        <v>695</v>
      </c>
      <c r="J225" s="37">
        <v>50</v>
      </c>
      <c r="K225" s="38"/>
      <c r="L225" s="38"/>
      <c r="M225" s="38"/>
      <c r="N225" s="38"/>
      <c r="O225" s="38"/>
      <c r="P225" s="38"/>
      <c r="Q225" s="38"/>
      <c r="R225" s="38"/>
      <c r="S225" s="38"/>
      <c r="T225" s="38"/>
    </row>
    <row r="226" spans="1:20" ht="15.75">
      <c r="A226" s="13">
        <v>48000</v>
      </c>
      <c r="B226" s="46">
        <v>30</v>
      </c>
      <c r="C226" s="37">
        <v>194.20500000000001</v>
      </c>
      <c r="D226" s="37">
        <v>267.46600000000001</v>
      </c>
      <c r="E226" s="43">
        <v>812.32899999999995</v>
      </c>
      <c r="F226" s="37">
        <v>1274</v>
      </c>
      <c r="G226" s="37">
        <v>50</v>
      </c>
      <c r="H226" s="45">
        <v>600</v>
      </c>
      <c r="I226" s="37">
        <v>695</v>
      </c>
      <c r="J226" s="37">
        <v>50</v>
      </c>
      <c r="K226" s="38"/>
      <c r="L226" s="38"/>
      <c r="M226" s="38"/>
      <c r="N226" s="38"/>
      <c r="O226" s="38"/>
      <c r="P226" s="38"/>
      <c r="Q226" s="38"/>
      <c r="R226" s="38"/>
      <c r="S226" s="38"/>
      <c r="T226" s="38"/>
    </row>
    <row r="227" spans="1:20" ht="15.75">
      <c r="A227" s="13">
        <v>48030</v>
      </c>
      <c r="B227" s="46">
        <v>31</v>
      </c>
      <c r="C227" s="37">
        <v>194.20500000000001</v>
      </c>
      <c r="D227" s="37">
        <v>267.46600000000001</v>
      </c>
      <c r="E227" s="43">
        <v>812.32899999999995</v>
      </c>
      <c r="F227" s="37">
        <v>1274</v>
      </c>
      <c r="G227" s="37">
        <v>50</v>
      </c>
      <c r="H227" s="45">
        <v>600</v>
      </c>
      <c r="I227" s="37">
        <v>695</v>
      </c>
      <c r="J227" s="37">
        <v>0</v>
      </c>
      <c r="K227" s="38"/>
      <c r="L227" s="38"/>
      <c r="M227" s="38"/>
      <c r="N227" s="38"/>
      <c r="O227" s="38"/>
      <c r="P227" s="38"/>
      <c r="Q227" s="38"/>
      <c r="R227" s="38"/>
      <c r="S227" s="38"/>
      <c r="T227" s="38"/>
    </row>
    <row r="228" spans="1:20" ht="15.75">
      <c r="A228" s="13">
        <v>48061</v>
      </c>
      <c r="B228" s="46">
        <v>31</v>
      </c>
      <c r="C228" s="37">
        <v>194.20500000000001</v>
      </c>
      <c r="D228" s="37">
        <v>267.46600000000001</v>
      </c>
      <c r="E228" s="43">
        <v>812.32899999999995</v>
      </c>
      <c r="F228" s="37">
        <v>1274</v>
      </c>
      <c r="G228" s="37">
        <v>50</v>
      </c>
      <c r="H228" s="45">
        <v>600</v>
      </c>
      <c r="I228" s="37">
        <v>695</v>
      </c>
      <c r="J228" s="37">
        <v>0</v>
      </c>
      <c r="K228" s="38"/>
      <c r="L228" s="38"/>
      <c r="M228" s="38"/>
      <c r="N228" s="38"/>
      <c r="O228" s="38"/>
      <c r="P228" s="38"/>
      <c r="Q228" s="38"/>
      <c r="R228" s="38"/>
      <c r="S228" s="38"/>
      <c r="T228" s="38"/>
    </row>
    <row r="229" spans="1:20" ht="15.75">
      <c r="A229" s="13">
        <v>48092</v>
      </c>
      <c r="B229" s="46">
        <v>30</v>
      </c>
      <c r="C229" s="37">
        <v>194.20500000000001</v>
      </c>
      <c r="D229" s="37">
        <v>267.46600000000001</v>
      </c>
      <c r="E229" s="43">
        <v>812.32899999999995</v>
      </c>
      <c r="F229" s="37">
        <v>1274</v>
      </c>
      <c r="G229" s="37">
        <v>50</v>
      </c>
      <c r="H229" s="45">
        <v>600</v>
      </c>
      <c r="I229" s="37">
        <v>695</v>
      </c>
      <c r="J229" s="37">
        <v>0</v>
      </c>
      <c r="K229" s="38"/>
      <c r="L229" s="38"/>
      <c r="M229" s="38"/>
      <c r="N229" s="38"/>
      <c r="O229" s="38"/>
      <c r="P229" s="38"/>
      <c r="Q229" s="38"/>
      <c r="R229" s="38"/>
      <c r="S229" s="38"/>
      <c r="T229" s="38"/>
    </row>
    <row r="230" spans="1:20" ht="15.75">
      <c r="A230" s="13">
        <v>48122</v>
      </c>
      <c r="B230" s="46">
        <v>31</v>
      </c>
      <c r="C230" s="37">
        <v>131.881</v>
      </c>
      <c r="D230" s="37">
        <v>277.16699999999997</v>
      </c>
      <c r="E230" s="43">
        <v>829.952</v>
      </c>
      <c r="F230" s="37">
        <v>1239</v>
      </c>
      <c r="G230" s="37">
        <v>75</v>
      </c>
      <c r="H230" s="45">
        <v>600</v>
      </c>
      <c r="I230" s="37">
        <v>695</v>
      </c>
      <c r="J230" s="37">
        <v>0</v>
      </c>
      <c r="K230" s="38"/>
      <c r="L230" s="38"/>
      <c r="M230" s="38"/>
      <c r="N230" s="38"/>
      <c r="O230" s="38"/>
      <c r="P230" s="38"/>
      <c r="Q230" s="38"/>
      <c r="R230" s="38"/>
      <c r="S230" s="38"/>
      <c r="T230" s="38"/>
    </row>
    <row r="231" spans="1:20" ht="15.75">
      <c r="A231" s="13">
        <v>48153</v>
      </c>
      <c r="B231" s="46">
        <v>30</v>
      </c>
      <c r="C231" s="37">
        <v>122.58</v>
      </c>
      <c r="D231" s="37">
        <v>297.94099999999997</v>
      </c>
      <c r="E231" s="43">
        <v>729.47900000000004</v>
      </c>
      <c r="F231" s="37">
        <v>1150</v>
      </c>
      <c r="G231" s="37">
        <v>100</v>
      </c>
      <c r="H231" s="45">
        <v>600</v>
      </c>
      <c r="I231" s="37">
        <v>695</v>
      </c>
      <c r="J231" s="37">
        <v>50</v>
      </c>
      <c r="K231" s="38"/>
      <c r="L231" s="38"/>
      <c r="M231" s="38"/>
      <c r="N231" s="38"/>
      <c r="O231" s="38"/>
      <c r="P231" s="38"/>
      <c r="Q231" s="38"/>
      <c r="R231" s="38"/>
      <c r="S231" s="38"/>
      <c r="T231" s="38"/>
    </row>
    <row r="232" spans="1:20" ht="15.75">
      <c r="A232" s="13">
        <v>48183</v>
      </c>
      <c r="B232" s="46">
        <v>31</v>
      </c>
      <c r="C232" s="37">
        <v>122.58</v>
      </c>
      <c r="D232" s="37">
        <v>297.94099999999997</v>
      </c>
      <c r="E232" s="43">
        <v>729.47900000000004</v>
      </c>
      <c r="F232" s="37">
        <v>1150</v>
      </c>
      <c r="G232" s="37">
        <v>100</v>
      </c>
      <c r="H232" s="45">
        <v>600</v>
      </c>
      <c r="I232" s="37">
        <v>695</v>
      </c>
      <c r="J232" s="37">
        <v>50</v>
      </c>
      <c r="K232" s="38"/>
      <c r="L232" s="38"/>
      <c r="M232" s="38"/>
      <c r="N232" s="38"/>
      <c r="O232" s="38"/>
      <c r="P232" s="38"/>
      <c r="Q232" s="38"/>
      <c r="R232" s="38"/>
      <c r="S232" s="38"/>
      <c r="T232" s="38"/>
    </row>
    <row r="233" spans="1:20" ht="15.75">
      <c r="A233" s="13">
        <v>48214</v>
      </c>
      <c r="B233" s="46">
        <v>31</v>
      </c>
      <c r="C233" s="37">
        <v>122.58</v>
      </c>
      <c r="D233" s="37">
        <v>297.94099999999997</v>
      </c>
      <c r="E233" s="43">
        <v>729.47900000000004</v>
      </c>
      <c r="F233" s="37">
        <v>1150</v>
      </c>
      <c r="G233" s="37">
        <v>100</v>
      </c>
      <c r="H233" s="45">
        <v>600</v>
      </c>
      <c r="I233" s="37">
        <v>695</v>
      </c>
      <c r="J233" s="37">
        <v>50</v>
      </c>
      <c r="K233" s="38"/>
      <c r="L233" s="38"/>
      <c r="M233" s="38"/>
      <c r="N233" s="38"/>
      <c r="O233" s="38"/>
      <c r="P233" s="38"/>
      <c r="Q233" s="38"/>
      <c r="R233" s="38"/>
      <c r="S233" s="38"/>
      <c r="T233" s="38"/>
    </row>
    <row r="234" spans="1:20" ht="15.75">
      <c r="A234" s="13">
        <v>48245</v>
      </c>
      <c r="B234" s="46">
        <v>29</v>
      </c>
      <c r="C234" s="37">
        <v>122.58</v>
      </c>
      <c r="D234" s="37">
        <v>297.94099999999997</v>
      </c>
      <c r="E234" s="43">
        <v>729.47900000000004</v>
      </c>
      <c r="F234" s="37">
        <v>1150</v>
      </c>
      <c r="G234" s="37">
        <v>100</v>
      </c>
      <c r="H234" s="45">
        <v>600</v>
      </c>
      <c r="I234" s="37">
        <v>695</v>
      </c>
      <c r="J234" s="37">
        <v>50</v>
      </c>
      <c r="K234" s="38"/>
      <c r="L234" s="38"/>
      <c r="M234" s="38"/>
      <c r="N234" s="38"/>
      <c r="O234" s="38"/>
      <c r="P234" s="38"/>
      <c r="Q234" s="38"/>
      <c r="R234" s="38"/>
      <c r="S234" s="38"/>
      <c r="T234" s="38"/>
    </row>
    <row r="235" spans="1:20" ht="15.75">
      <c r="A235" s="13">
        <v>48274</v>
      </c>
      <c r="B235" s="46">
        <v>31</v>
      </c>
      <c r="C235" s="37">
        <v>122.58</v>
      </c>
      <c r="D235" s="37">
        <v>297.94099999999997</v>
      </c>
      <c r="E235" s="43">
        <v>729.47900000000004</v>
      </c>
      <c r="F235" s="37">
        <v>1150</v>
      </c>
      <c r="G235" s="37">
        <v>100</v>
      </c>
      <c r="H235" s="45">
        <v>600</v>
      </c>
      <c r="I235" s="37">
        <v>695</v>
      </c>
      <c r="J235" s="37">
        <v>50</v>
      </c>
      <c r="K235" s="38"/>
      <c r="L235" s="38"/>
      <c r="M235" s="38"/>
      <c r="N235" s="38"/>
      <c r="O235" s="38"/>
      <c r="P235" s="38"/>
      <c r="Q235" s="38"/>
      <c r="R235" s="38"/>
      <c r="S235" s="38"/>
      <c r="T235" s="38"/>
    </row>
    <row r="236" spans="1:20" ht="15.75">
      <c r="A236" s="13">
        <v>48305</v>
      </c>
      <c r="B236" s="46">
        <v>30</v>
      </c>
      <c r="C236" s="37">
        <v>141.29300000000001</v>
      </c>
      <c r="D236" s="37">
        <v>267.99299999999999</v>
      </c>
      <c r="E236" s="43">
        <v>829.71400000000006</v>
      </c>
      <c r="F236" s="37">
        <v>1239</v>
      </c>
      <c r="G236" s="37">
        <v>100</v>
      </c>
      <c r="H236" s="45">
        <v>600</v>
      </c>
      <c r="I236" s="37">
        <v>695</v>
      </c>
      <c r="J236" s="37">
        <v>50</v>
      </c>
      <c r="K236" s="38"/>
      <c r="L236" s="38"/>
      <c r="M236" s="38"/>
      <c r="N236" s="38"/>
      <c r="O236" s="38"/>
      <c r="P236" s="38"/>
      <c r="Q236" s="38"/>
      <c r="R236" s="38"/>
      <c r="S236" s="38"/>
      <c r="T236" s="38"/>
    </row>
    <row r="237" spans="1:20" ht="15.75">
      <c r="A237" s="13">
        <v>48335</v>
      </c>
      <c r="B237" s="46">
        <v>31</v>
      </c>
      <c r="C237" s="37">
        <v>194.20500000000001</v>
      </c>
      <c r="D237" s="37">
        <v>267.46600000000001</v>
      </c>
      <c r="E237" s="43">
        <v>812.32899999999995</v>
      </c>
      <c r="F237" s="37">
        <v>1274</v>
      </c>
      <c r="G237" s="37">
        <v>75</v>
      </c>
      <c r="H237" s="45">
        <v>600</v>
      </c>
      <c r="I237" s="37">
        <v>695</v>
      </c>
      <c r="J237" s="37">
        <v>50</v>
      </c>
      <c r="K237" s="38"/>
      <c r="L237" s="38"/>
      <c r="M237" s="38"/>
      <c r="N237" s="38"/>
      <c r="O237" s="38"/>
      <c r="P237" s="38"/>
      <c r="Q237" s="38"/>
      <c r="R237" s="38"/>
      <c r="S237" s="38"/>
      <c r="T237" s="38"/>
    </row>
    <row r="238" spans="1:20" ht="15.75">
      <c r="A238" s="13">
        <v>48366</v>
      </c>
      <c r="B238" s="46">
        <v>30</v>
      </c>
      <c r="C238" s="37">
        <v>194.20500000000001</v>
      </c>
      <c r="D238" s="37">
        <v>267.46600000000001</v>
      </c>
      <c r="E238" s="43">
        <v>812.32899999999995</v>
      </c>
      <c r="F238" s="37">
        <v>1274</v>
      </c>
      <c r="G238" s="37">
        <v>50</v>
      </c>
      <c r="H238" s="45">
        <v>600</v>
      </c>
      <c r="I238" s="37">
        <v>695</v>
      </c>
      <c r="J238" s="37">
        <v>50</v>
      </c>
      <c r="K238" s="38"/>
      <c r="L238" s="38"/>
      <c r="M238" s="38"/>
      <c r="N238" s="38"/>
      <c r="O238" s="38"/>
      <c r="P238" s="38"/>
      <c r="Q238" s="38"/>
      <c r="R238" s="38"/>
      <c r="S238" s="38"/>
      <c r="T238" s="38"/>
    </row>
    <row r="239" spans="1:20" ht="15.75">
      <c r="A239" s="13">
        <v>48396</v>
      </c>
      <c r="B239" s="46">
        <v>31</v>
      </c>
      <c r="C239" s="37">
        <v>194.20500000000001</v>
      </c>
      <c r="D239" s="37">
        <v>267.46600000000001</v>
      </c>
      <c r="E239" s="43">
        <v>812.32899999999995</v>
      </c>
      <c r="F239" s="37">
        <v>1274</v>
      </c>
      <c r="G239" s="37">
        <v>50</v>
      </c>
      <c r="H239" s="45">
        <v>600</v>
      </c>
      <c r="I239" s="37">
        <v>695</v>
      </c>
      <c r="J239" s="37">
        <v>0</v>
      </c>
      <c r="K239" s="38"/>
      <c r="L239" s="38"/>
      <c r="M239" s="38"/>
      <c r="N239" s="38"/>
      <c r="O239" s="38"/>
      <c r="P239" s="38"/>
      <c r="Q239" s="38"/>
      <c r="R239" s="38"/>
      <c r="S239" s="38"/>
      <c r="T239" s="38"/>
    </row>
    <row r="240" spans="1:20" ht="15.75">
      <c r="A240" s="13">
        <v>48427</v>
      </c>
      <c r="B240" s="46">
        <v>31</v>
      </c>
      <c r="C240" s="37">
        <v>194.20500000000001</v>
      </c>
      <c r="D240" s="37">
        <v>267.46600000000001</v>
      </c>
      <c r="E240" s="43">
        <v>812.32899999999995</v>
      </c>
      <c r="F240" s="37">
        <v>1274</v>
      </c>
      <c r="G240" s="37">
        <v>50</v>
      </c>
      <c r="H240" s="45">
        <v>600</v>
      </c>
      <c r="I240" s="37">
        <v>695</v>
      </c>
      <c r="J240" s="37">
        <v>0</v>
      </c>
      <c r="K240" s="38"/>
      <c r="L240" s="38"/>
      <c r="M240" s="38"/>
      <c r="N240" s="38"/>
      <c r="O240" s="38"/>
      <c r="P240" s="38"/>
      <c r="Q240" s="38"/>
      <c r="R240" s="38"/>
      <c r="S240" s="38"/>
      <c r="T240" s="38"/>
    </row>
    <row r="241" spans="1:20" ht="15.75">
      <c r="A241" s="13">
        <v>48458</v>
      </c>
      <c r="B241" s="46">
        <v>30</v>
      </c>
      <c r="C241" s="37">
        <v>194.20500000000001</v>
      </c>
      <c r="D241" s="37">
        <v>267.46600000000001</v>
      </c>
      <c r="E241" s="43">
        <v>812.32899999999995</v>
      </c>
      <c r="F241" s="37">
        <v>1274</v>
      </c>
      <c r="G241" s="37">
        <v>50</v>
      </c>
      <c r="H241" s="45">
        <v>600</v>
      </c>
      <c r="I241" s="37">
        <v>695</v>
      </c>
      <c r="J241" s="37">
        <v>0</v>
      </c>
      <c r="K241" s="38"/>
      <c r="L241" s="38"/>
      <c r="M241" s="38"/>
      <c r="N241" s="38"/>
      <c r="O241" s="38"/>
      <c r="P241" s="38"/>
      <c r="Q241" s="38"/>
      <c r="R241" s="38"/>
      <c r="S241" s="38"/>
      <c r="T241" s="38"/>
    </row>
    <row r="242" spans="1:20" ht="15.75">
      <c r="A242" s="13">
        <v>48488</v>
      </c>
      <c r="B242" s="46">
        <v>31</v>
      </c>
      <c r="C242" s="37">
        <v>131.881</v>
      </c>
      <c r="D242" s="37">
        <v>277.16699999999997</v>
      </c>
      <c r="E242" s="43">
        <v>829.952</v>
      </c>
      <c r="F242" s="37">
        <v>1239</v>
      </c>
      <c r="G242" s="37">
        <v>75</v>
      </c>
      <c r="H242" s="45">
        <v>600</v>
      </c>
      <c r="I242" s="37">
        <v>695</v>
      </c>
      <c r="J242" s="37">
        <v>0</v>
      </c>
      <c r="K242" s="38"/>
      <c r="L242" s="38"/>
      <c r="M242" s="38"/>
      <c r="N242" s="38"/>
      <c r="O242" s="38"/>
      <c r="P242" s="38"/>
      <c r="Q242" s="38"/>
      <c r="R242" s="38"/>
      <c r="S242" s="38"/>
      <c r="T242" s="38"/>
    </row>
    <row r="243" spans="1:20" ht="15.75">
      <c r="A243" s="13">
        <v>48519</v>
      </c>
      <c r="B243" s="46">
        <v>30</v>
      </c>
      <c r="C243" s="37">
        <v>122.58</v>
      </c>
      <c r="D243" s="37">
        <v>297.94099999999997</v>
      </c>
      <c r="E243" s="43">
        <v>729.47900000000004</v>
      </c>
      <c r="F243" s="37">
        <v>1150</v>
      </c>
      <c r="G243" s="37">
        <v>100</v>
      </c>
      <c r="H243" s="45">
        <v>600</v>
      </c>
      <c r="I243" s="37">
        <v>695</v>
      </c>
      <c r="J243" s="37">
        <v>50</v>
      </c>
      <c r="K243" s="38"/>
      <c r="L243" s="38"/>
      <c r="M243" s="38"/>
      <c r="N243" s="38"/>
      <c r="O243" s="38"/>
      <c r="P243" s="38"/>
      <c r="Q243" s="38"/>
      <c r="R243" s="38"/>
      <c r="S243" s="38"/>
      <c r="T243" s="38"/>
    </row>
    <row r="244" spans="1:20" ht="15.75">
      <c r="A244" s="13">
        <v>48549</v>
      </c>
      <c r="B244" s="46">
        <v>31</v>
      </c>
      <c r="C244" s="37">
        <v>122.58</v>
      </c>
      <c r="D244" s="37">
        <v>297.94099999999997</v>
      </c>
      <c r="E244" s="43">
        <v>729.47900000000004</v>
      </c>
      <c r="F244" s="37">
        <v>1150</v>
      </c>
      <c r="G244" s="37">
        <v>100</v>
      </c>
      <c r="H244" s="45">
        <v>600</v>
      </c>
      <c r="I244" s="37">
        <v>695</v>
      </c>
      <c r="J244" s="37">
        <v>50</v>
      </c>
      <c r="K244" s="38"/>
      <c r="L244" s="38"/>
      <c r="M244" s="38"/>
      <c r="N244" s="38"/>
      <c r="O244" s="38"/>
      <c r="P244" s="38"/>
      <c r="Q244" s="38"/>
      <c r="R244" s="38"/>
      <c r="S244" s="38"/>
      <c r="T244" s="38"/>
    </row>
    <row r="245" spans="1:20" ht="15.75">
      <c r="A245" s="13">
        <v>48580</v>
      </c>
      <c r="B245" s="46">
        <v>31</v>
      </c>
      <c r="C245" s="37">
        <v>122.58</v>
      </c>
      <c r="D245" s="37">
        <v>297.94099999999997</v>
      </c>
      <c r="E245" s="43">
        <v>729.47900000000004</v>
      </c>
      <c r="F245" s="37">
        <v>1150</v>
      </c>
      <c r="G245" s="37">
        <v>100</v>
      </c>
      <c r="H245" s="45">
        <v>600</v>
      </c>
      <c r="I245" s="37">
        <v>695</v>
      </c>
      <c r="J245" s="37">
        <v>50</v>
      </c>
      <c r="K245" s="38"/>
      <c r="L245" s="38"/>
      <c r="M245" s="38"/>
      <c r="N245" s="38"/>
      <c r="O245" s="38"/>
      <c r="P245" s="38"/>
      <c r="Q245" s="38"/>
      <c r="R245" s="38"/>
      <c r="S245" s="38"/>
      <c r="T245" s="38"/>
    </row>
    <row r="246" spans="1:20" ht="15.75">
      <c r="A246" s="13">
        <v>48611</v>
      </c>
      <c r="B246" s="46">
        <v>28</v>
      </c>
      <c r="C246" s="37">
        <v>122.58</v>
      </c>
      <c r="D246" s="37">
        <v>297.94099999999997</v>
      </c>
      <c r="E246" s="43">
        <v>729.47900000000004</v>
      </c>
      <c r="F246" s="37">
        <v>1150</v>
      </c>
      <c r="G246" s="37">
        <v>100</v>
      </c>
      <c r="H246" s="45">
        <v>600</v>
      </c>
      <c r="I246" s="37">
        <v>695</v>
      </c>
      <c r="J246" s="37">
        <v>50</v>
      </c>
      <c r="K246" s="38"/>
      <c r="L246" s="38"/>
      <c r="M246" s="38"/>
      <c r="N246" s="38"/>
      <c r="O246" s="38"/>
      <c r="P246" s="38"/>
      <c r="Q246" s="38"/>
      <c r="R246" s="38"/>
      <c r="S246" s="38"/>
      <c r="T246" s="38"/>
    </row>
    <row r="247" spans="1:20" ht="15.75">
      <c r="A247" s="13">
        <v>48639</v>
      </c>
      <c r="B247" s="46">
        <v>31</v>
      </c>
      <c r="C247" s="37">
        <v>122.58</v>
      </c>
      <c r="D247" s="37">
        <v>297.94099999999997</v>
      </c>
      <c r="E247" s="43">
        <v>729.47900000000004</v>
      </c>
      <c r="F247" s="37">
        <v>1150</v>
      </c>
      <c r="G247" s="37">
        <v>100</v>
      </c>
      <c r="H247" s="45">
        <v>600</v>
      </c>
      <c r="I247" s="37">
        <v>695</v>
      </c>
      <c r="J247" s="37">
        <v>50</v>
      </c>
      <c r="K247" s="38"/>
      <c r="L247" s="38"/>
      <c r="M247" s="38"/>
      <c r="N247" s="38"/>
      <c r="O247" s="38"/>
      <c r="P247" s="38"/>
      <c r="Q247" s="38"/>
      <c r="R247" s="38"/>
      <c r="S247" s="38"/>
      <c r="T247" s="38"/>
    </row>
    <row r="248" spans="1:20" ht="15.75">
      <c r="A248" s="13">
        <v>48670</v>
      </c>
      <c r="B248" s="46">
        <v>30</v>
      </c>
      <c r="C248" s="37">
        <v>141.29300000000001</v>
      </c>
      <c r="D248" s="37">
        <v>267.99299999999999</v>
      </c>
      <c r="E248" s="43">
        <v>829.71400000000006</v>
      </c>
      <c r="F248" s="37">
        <v>1239</v>
      </c>
      <c r="G248" s="37">
        <v>100</v>
      </c>
      <c r="H248" s="45">
        <v>600</v>
      </c>
      <c r="I248" s="37">
        <v>695</v>
      </c>
      <c r="J248" s="37">
        <v>50</v>
      </c>
      <c r="K248" s="38"/>
      <c r="L248" s="38"/>
      <c r="M248" s="38"/>
      <c r="N248" s="38"/>
      <c r="O248" s="38"/>
      <c r="P248" s="38"/>
      <c r="Q248" s="38"/>
      <c r="R248" s="38"/>
      <c r="S248" s="38"/>
      <c r="T248" s="38"/>
    </row>
    <row r="249" spans="1:20" ht="15.75">
      <c r="A249" s="13">
        <v>48700</v>
      </c>
      <c r="B249" s="46">
        <v>31</v>
      </c>
      <c r="C249" s="37">
        <v>194.20500000000001</v>
      </c>
      <c r="D249" s="37">
        <v>267.46600000000001</v>
      </c>
      <c r="E249" s="43">
        <v>812.32899999999995</v>
      </c>
      <c r="F249" s="37">
        <v>1274</v>
      </c>
      <c r="G249" s="37">
        <v>75</v>
      </c>
      <c r="H249" s="45">
        <v>600</v>
      </c>
      <c r="I249" s="37">
        <v>695</v>
      </c>
      <c r="J249" s="37">
        <v>50</v>
      </c>
      <c r="K249" s="38"/>
      <c r="L249" s="38"/>
      <c r="M249" s="38"/>
      <c r="N249" s="38"/>
      <c r="O249" s="38"/>
      <c r="P249" s="38"/>
      <c r="Q249" s="38"/>
      <c r="R249" s="38"/>
      <c r="S249" s="38"/>
      <c r="T249" s="38"/>
    </row>
    <row r="250" spans="1:20" ht="15.75">
      <c r="A250" s="13">
        <v>48731</v>
      </c>
      <c r="B250" s="46">
        <v>30</v>
      </c>
      <c r="C250" s="37">
        <v>194.20500000000001</v>
      </c>
      <c r="D250" s="37">
        <v>267.46600000000001</v>
      </c>
      <c r="E250" s="43">
        <v>812.32899999999995</v>
      </c>
      <c r="F250" s="37">
        <v>1274</v>
      </c>
      <c r="G250" s="37">
        <v>50</v>
      </c>
      <c r="H250" s="45">
        <v>600</v>
      </c>
      <c r="I250" s="37">
        <v>695</v>
      </c>
      <c r="J250" s="37">
        <v>50</v>
      </c>
      <c r="K250" s="38"/>
      <c r="L250" s="38"/>
      <c r="M250" s="38"/>
      <c r="N250" s="38"/>
      <c r="O250" s="38"/>
      <c r="P250" s="38"/>
      <c r="Q250" s="38"/>
      <c r="R250" s="38"/>
      <c r="S250" s="38"/>
      <c r="T250" s="38"/>
    </row>
    <row r="251" spans="1:20" ht="15.75">
      <c r="A251" s="13">
        <v>48761</v>
      </c>
      <c r="B251" s="46">
        <v>31</v>
      </c>
      <c r="C251" s="37">
        <v>194.20500000000001</v>
      </c>
      <c r="D251" s="37">
        <v>267.46600000000001</v>
      </c>
      <c r="E251" s="43">
        <v>812.32899999999995</v>
      </c>
      <c r="F251" s="37">
        <v>1274</v>
      </c>
      <c r="G251" s="37">
        <v>50</v>
      </c>
      <c r="H251" s="45">
        <v>600</v>
      </c>
      <c r="I251" s="37">
        <v>695</v>
      </c>
      <c r="J251" s="37">
        <v>0</v>
      </c>
      <c r="K251" s="38"/>
      <c r="L251" s="38"/>
      <c r="M251" s="38"/>
      <c r="N251" s="38"/>
      <c r="O251" s="38"/>
      <c r="P251" s="38"/>
      <c r="Q251" s="38"/>
      <c r="R251" s="38"/>
      <c r="S251" s="38"/>
      <c r="T251" s="38"/>
    </row>
    <row r="252" spans="1:20" ht="15.75">
      <c r="A252" s="13">
        <v>48792</v>
      </c>
      <c r="B252" s="46">
        <v>31</v>
      </c>
      <c r="C252" s="37">
        <v>194.20500000000001</v>
      </c>
      <c r="D252" s="37">
        <v>267.46600000000001</v>
      </c>
      <c r="E252" s="43">
        <v>812.32899999999995</v>
      </c>
      <c r="F252" s="37">
        <v>1274</v>
      </c>
      <c r="G252" s="37">
        <v>50</v>
      </c>
      <c r="H252" s="45">
        <v>600</v>
      </c>
      <c r="I252" s="37">
        <v>695</v>
      </c>
      <c r="J252" s="37">
        <v>0</v>
      </c>
      <c r="K252" s="38"/>
      <c r="L252" s="38"/>
      <c r="M252" s="38"/>
      <c r="N252" s="38"/>
      <c r="O252" s="38"/>
      <c r="P252" s="38"/>
      <c r="Q252" s="38"/>
      <c r="R252" s="38"/>
      <c r="S252" s="38"/>
      <c r="T252" s="38"/>
    </row>
    <row r="253" spans="1:20" ht="15.75">
      <c r="A253" s="13">
        <v>48823</v>
      </c>
      <c r="B253" s="46">
        <v>30</v>
      </c>
      <c r="C253" s="37">
        <v>194.20500000000001</v>
      </c>
      <c r="D253" s="37">
        <v>267.46600000000001</v>
      </c>
      <c r="E253" s="43">
        <v>812.32899999999995</v>
      </c>
      <c r="F253" s="37">
        <v>1274</v>
      </c>
      <c r="G253" s="37">
        <v>50</v>
      </c>
      <c r="H253" s="45">
        <v>600</v>
      </c>
      <c r="I253" s="37">
        <v>695</v>
      </c>
      <c r="J253" s="37">
        <v>0</v>
      </c>
      <c r="K253" s="38"/>
      <c r="L253" s="38"/>
      <c r="M253" s="38"/>
      <c r="N253" s="38"/>
      <c r="O253" s="38"/>
      <c r="P253" s="38"/>
      <c r="Q253" s="38"/>
      <c r="R253" s="38"/>
      <c r="S253" s="38"/>
      <c r="T253" s="38"/>
    </row>
    <row r="254" spans="1:20" ht="15.75">
      <c r="A254" s="13">
        <v>48853</v>
      </c>
      <c r="B254" s="46">
        <v>31</v>
      </c>
      <c r="C254" s="37">
        <v>131.881</v>
      </c>
      <c r="D254" s="37">
        <v>277.16699999999997</v>
      </c>
      <c r="E254" s="43">
        <v>829.952</v>
      </c>
      <c r="F254" s="37">
        <v>1239</v>
      </c>
      <c r="G254" s="37">
        <v>75</v>
      </c>
      <c r="H254" s="45">
        <v>600</v>
      </c>
      <c r="I254" s="37">
        <v>695</v>
      </c>
      <c r="J254" s="37">
        <v>0</v>
      </c>
      <c r="K254" s="38"/>
      <c r="L254" s="38"/>
      <c r="M254" s="38"/>
      <c r="N254" s="38"/>
      <c r="O254" s="38"/>
      <c r="P254" s="38"/>
      <c r="Q254" s="38"/>
      <c r="R254" s="38"/>
      <c r="S254" s="38"/>
      <c r="T254" s="38"/>
    </row>
    <row r="255" spans="1:20" ht="15.75">
      <c r="A255" s="13">
        <v>48884</v>
      </c>
      <c r="B255" s="46">
        <v>30</v>
      </c>
      <c r="C255" s="37">
        <v>122.58</v>
      </c>
      <c r="D255" s="37">
        <v>297.94099999999997</v>
      </c>
      <c r="E255" s="43">
        <v>729.47900000000004</v>
      </c>
      <c r="F255" s="37">
        <v>1150</v>
      </c>
      <c r="G255" s="37">
        <v>100</v>
      </c>
      <c r="H255" s="45">
        <v>600</v>
      </c>
      <c r="I255" s="37">
        <v>695</v>
      </c>
      <c r="J255" s="37">
        <v>50</v>
      </c>
      <c r="K255" s="38"/>
      <c r="L255" s="38"/>
      <c r="M255" s="38"/>
      <c r="N255" s="38"/>
      <c r="O255" s="38"/>
      <c r="P255" s="38"/>
      <c r="Q255" s="38"/>
      <c r="R255" s="38"/>
      <c r="S255" s="38"/>
      <c r="T255" s="38"/>
    </row>
    <row r="256" spans="1:20" ht="15.75">
      <c r="A256" s="13">
        <v>48914</v>
      </c>
      <c r="B256" s="46">
        <v>31</v>
      </c>
      <c r="C256" s="37">
        <v>122.58</v>
      </c>
      <c r="D256" s="37">
        <v>297.94099999999997</v>
      </c>
      <c r="E256" s="43">
        <v>729.47900000000004</v>
      </c>
      <c r="F256" s="37">
        <v>1150</v>
      </c>
      <c r="G256" s="37">
        <v>100</v>
      </c>
      <c r="H256" s="45">
        <v>600</v>
      </c>
      <c r="I256" s="37">
        <v>695</v>
      </c>
      <c r="J256" s="37">
        <v>50</v>
      </c>
      <c r="K256" s="38"/>
      <c r="L256" s="38"/>
      <c r="M256" s="38"/>
      <c r="N256" s="38"/>
      <c r="O256" s="38"/>
      <c r="P256" s="38"/>
      <c r="Q256" s="38"/>
      <c r="R256" s="38"/>
      <c r="S256" s="38"/>
      <c r="T256" s="38"/>
    </row>
    <row r="257" spans="1:20" ht="15.75">
      <c r="A257" s="13">
        <v>48945</v>
      </c>
      <c r="B257" s="46">
        <v>31</v>
      </c>
      <c r="C257" s="37">
        <v>122.58</v>
      </c>
      <c r="D257" s="37">
        <v>297.94099999999997</v>
      </c>
      <c r="E257" s="43">
        <v>729.47900000000004</v>
      </c>
      <c r="F257" s="37">
        <v>1150</v>
      </c>
      <c r="G257" s="37">
        <v>100</v>
      </c>
      <c r="H257" s="45">
        <v>600</v>
      </c>
      <c r="I257" s="37">
        <v>695</v>
      </c>
      <c r="J257" s="37">
        <v>50</v>
      </c>
      <c r="K257" s="38"/>
      <c r="L257" s="38"/>
      <c r="M257" s="38"/>
      <c r="N257" s="38"/>
      <c r="O257" s="38"/>
      <c r="P257" s="38"/>
      <c r="Q257" s="38"/>
      <c r="R257" s="38"/>
      <c r="S257" s="38"/>
      <c r="T257" s="38"/>
    </row>
    <row r="258" spans="1:20" ht="15.75">
      <c r="A258" s="13">
        <v>48976</v>
      </c>
      <c r="B258" s="46">
        <v>28</v>
      </c>
      <c r="C258" s="37">
        <v>122.58</v>
      </c>
      <c r="D258" s="37">
        <v>297.94099999999997</v>
      </c>
      <c r="E258" s="43">
        <v>729.47900000000004</v>
      </c>
      <c r="F258" s="37">
        <v>1150</v>
      </c>
      <c r="G258" s="37">
        <v>100</v>
      </c>
      <c r="H258" s="45">
        <v>600</v>
      </c>
      <c r="I258" s="37">
        <v>695</v>
      </c>
      <c r="J258" s="37">
        <v>50</v>
      </c>
      <c r="K258" s="38"/>
      <c r="L258" s="38"/>
      <c r="M258" s="38"/>
      <c r="N258" s="38"/>
      <c r="O258" s="38"/>
      <c r="P258" s="38"/>
      <c r="Q258" s="38"/>
      <c r="R258" s="38"/>
      <c r="S258" s="38"/>
      <c r="T258" s="38"/>
    </row>
    <row r="259" spans="1:20" ht="15.75">
      <c r="A259" s="13">
        <v>49004</v>
      </c>
      <c r="B259" s="46">
        <v>31</v>
      </c>
      <c r="C259" s="37">
        <v>122.58</v>
      </c>
      <c r="D259" s="37">
        <v>297.94099999999997</v>
      </c>
      <c r="E259" s="43">
        <v>729.47900000000004</v>
      </c>
      <c r="F259" s="37">
        <v>1150</v>
      </c>
      <c r="G259" s="37">
        <v>100</v>
      </c>
      <c r="H259" s="45">
        <v>600</v>
      </c>
      <c r="I259" s="37">
        <v>695</v>
      </c>
      <c r="J259" s="37">
        <v>50</v>
      </c>
      <c r="K259" s="38"/>
      <c r="L259" s="38"/>
      <c r="M259" s="38"/>
      <c r="N259" s="38"/>
      <c r="O259" s="38"/>
      <c r="P259" s="38"/>
      <c r="Q259" s="38"/>
      <c r="R259" s="38"/>
      <c r="S259" s="38"/>
      <c r="T259" s="38"/>
    </row>
    <row r="260" spans="1:20" ht="15.75">
      <c r="A260" s="13">
        <v>49035</v>
      </c>
      <c r="B260" s="46">
        <v>30</v>
      </c>
      <c r="C260" s="37">
        <v>141.29300000000001</v>
      </c>
      <c r="D260" s="37">
        <v>267.99299999999999</v>
      </c>
      <c r="E260" s="43">
        <v>829.71400000000006</v>
      </c>
      <c r="F260" s="37">
        <v>1239</v>
      </c>
      <c r="G260" s="37">
        <v>100</v>
      </c>
      <c r="H260" s="45">
        <v>600</v>
      </c>
      <c r="I260" s="37">
        <v>695</v>
      </c>
      <c r="J260" s="37">
        <v>50</v>
      </c>
      <c r="K260" s="38"/>
      <c r="L260" s="38"/>
      <c r="M260" s="38"/>
      <c r="N260" s="38"/>
      <c r="O260" s="38"/>
      <c r="P260" s="38"/>
      <c r="Q260" s="38"/>
      <c r="R260" s="38"/>
      <c r="S260" s="38"/>
      <c r="T260" s="38"/>
    </row>
    <row r="261" spans="1:20" ht="15.75">
      <c r="A261" s="13">
        <v>49065</v>
      </c>
      <c r="B261" s="46">
        <v>31</v>
      </c>
      <c r="C261" s="37">
        <v>194.20500000000001</v>
      </c>
      <c r="D261" s="37">
        <v>267.46600000000001</v>
      </c>
      <c r="E261" s="43">
        <v>812.32899999999995</v>
      </c>
      <c r="F261" s="37">
        <v>1274</v>
      </c>
      <c r="G261" s="37">
        <v>75</v>
      </c>
      <c r="H261" s="45">
        <v>600</v>
      </c>
      <c r="I261" s="37">
        <v>695</v>
      </c>
      <c r="J261" s="37">
        <v>50</v>
      </c>
      <c r="K261" s="38"/>
      <c r="L261" s="38"/>
      <c r="M261" s="38"/>
      <c r="N261" s="38"/>
      <c r="O261" s="38"/>
      <c r="P261" s="38"/>
      <c r="Q261" s="38"/>
      <c r="R261" s="38"/>
      <c r="S261" s="38"/>
      <c r="T261" s="38"/>
    </row>
    <row r="262" spans="1:20" ht="15.75">
      <c r="A262" s="13">
        <v>49096</v>
      </c>
      <c r="B262" s="46">
        <v>30</v>
      </c>
      <c r="C262" s="37">
        <v>194.20500000000001</v>
      </c>
      <c r="D262" s="37">
        <v>267.46600000000001</v>
      </c>
      <c r="E262" s="43">
        <v>812.32899999999995</v>
      </c>
      <c r="F262" s="37">
        <v>1274</v>
      </c>
      <c r="G262" s="37">
        <v>50</v>
      </c>
      <c r="H262" s="45">
        <v>600</v>
      </c>
      <c r="I262" s="37">
        <v>695</v>
      </c>
      <c r="J262" s="37">
        <v>50</v>
      </c>
      <c r="K262" s="38"/>
      <c r="L262" s="38"/>
      <c r="M262" s="38"/>
      <c r="N262" s="38"/>
      <c r="O262" s="38"/>
      <c r="P262" s="38"/>
      <c r="Q262" s="38"/>
      <c r="R262" s="38"/>
      <c r="S262" s="38"/>
      <c r="T262" s="38"/>
    </row>
    <row r="263" spans="1:20" ht="15.75">
      <c r="A263" s="13">
        <v>49126</v>
      </c>
      <c r="B263" s="46">
        <v>31</v>
      </c>
      <c r="C263" s="37">
        <v>194.20500000000001</v>
      </c>
      <c r="D263" s="37">
        <v>267.46600000000001</v>
      </c>
      <c r="E263" s="43">
        <v>812.32899999999995</v>
      </c>
      <c r="F263" s="37">
        <v>1274</v>
      </c>
      <c r="G263" s="37">
        <v>50</v>
      </c>
      <c r="H263" s="45">
        <v>600</v>
      </c>
      <c r="I263" s="37">
        <v>695</v>
      </c>
      <c r="J263" s="37">
        <v>0</v>
      </c>
      <c r="K263" s="38"/>
      <c r="L263" s="38"/>
      <c r="M263" s="38"/>
      <c r="N263" s="38"/>
      <c r="O263" s="38"/>
      <c r="P263" s="38"/>
      <c r="Q263" s="38"/>
      <c r="R263" s="38"/>
      <c r="S263" s="38"/>
      <c r="T263" s="38"/>
    </row>
    <row r="264" spans="1:20" ht="15.75">
      <c r="A264" s="13">
        <v>49157</v>
      </c>
      <c r="B264" s="46">
        <v>31</v>
      </c>
      <c r="C264" s="37">
        <v>194.20500000000001</v>
      </c>
      <c r="D264" s="37">
        <v>267.46600000000001</v>
      </c>
      <c r="E264" s="43">
        <v>812.32899999999995</v>
      </c>
      <c r="F264" s="37">
        <v>1274</v>
      </c>
      <c r="G264" s="37">
        <v>50</v>
      </c>
      <c r="H264" s="45">
        <v>600</v>
      </c>
      <c r="I264" s="37">
        <v>695</v>
      </c>
      <c r="J264" s="37">
        <v>0</v>
      </c>
      <c r="K264" s="38"/>
      <c r="L264" s="38"/>
      <c r="M264" s="38"/>
      <c r="N264" s="38"/>
      <c r="O264" s="38"/>
      <c r="P264" s="38"/>
      <c r="Q264" s="38"/>
      <c r="R264" s="38"/>
      <c r="S264" s="38"/>
      <c r="T264" s="38"/>
    </row>
    <row r="265" spans="1:20" ht="15.75">
      <c r="A265" s="13">
        <v>49188</v>
      </c>
      <c r="B265" s="46">
        <v>30</v>
      </c>
      <c r="C265" s="37">
        <v>194.20500000000001</v>
      </c>
      <c r="D265" s="37">
        <v>267.46600000000001</v>
      </c>
      <c r="E265" s="43">
        <v>812.32899999999995</v>
      </c>
      <c r="F265" s="37">
        <v>1274</v>
      </c>
      <c r="G265" s="37">
        <v>50</v>
      </c>
      <c r="H265" s="45">
        <v>600</v>
      </c>
      <c r="I265" s="37">
        <v>695</v>
      </c>
      <c r="J265" s="37">
        <v>0</v>
      </c>
      <c r="K265" s="38"/>
      <c r="L265" s="38"/>
      <c r="M265" s="38"/>
      <c r="N265" s="38"/>
      <c r="O265" s="38"/>
      <c r="P265" s="38"/>
      <c r="Q265" s="38"/>
      <c r="R265" s="38"/>
      <c r="S265" s="38"/>
      <c r="T265" s="38"/>
    </row>
    <row r="266" spans="1:20" ht="15.75">
      <c r="A266" s="13">
        <v>49218</v>
      </c>
      <c r="B266" s="46">
        <v>31</v>
      </c>
      <c r="C266" s="37">
        <v>131.881</v>
      </c>
      <c r="D266" s="37">
        <v>277.16699999999997</v>
      </c>
      <c r="E266" s="43">
        <v>829.952</v>
      </c>
      <c r="F266" s="37">
        <v>1239</v>
      </c>
      <c r="G266" s="37">
        <v>75</v>
      </c>
      <c r="H266" s="45">
        <v>600</v>
      </c>
      <c r="I266" s="37">
        <v>695</v>
      </c>
      <c r="J266" s="37">
        <v>0</v>
      </c>
      <c r="K266" s="38"/>
      <c r="L266" s="38"/>
      <c r="M266" s="38"/>
      <c r="N266" s="38"/>
      <c r="O266" s="38"/>
      <c r="P266" s="38"/>
      <c r="Q266" s="38"/>
      <c r="R266" s="38"/>
      <c r="S266" s="38"/>
      <c r="T266" s="38"/>
    </row>
    <row r="267" spans="1:20" ht="15.75">
      <c r="A267" s="13">
        <v>49249</v>
      </c>
      <c r="B267" s="46">
        <v>30</v>
      </c>
      <c r="C267" s="37">
        <v>122.58</v>
      </c>
      <c r="D267" s="37">
        <v>297.94099999999997</v>
      </c>
      <c r="E267" s="43">
        <v>729.47900000000004</v>
      </c>
      <c r="F267" s="37">
        <v>1150</v>
      </c>
      <c r="G267" s="37">
        <v>100</v>
      </c>
      <c r="H267" s="45">
        <v>600</v>
      </c>
      <c r="I267" s="37">
        <v>695</v>
      </c>
      <c r="J267" s="37">
        <v>50</v>
      </c>
      <c r="K267" s="38"/>
      <c r="L267" s="38"/>
      <c r="M267" s="38"/>
      <c r="N267" s="38"/>
      <c r="O267" s="38"/>
      <c r="P267" s="38"/>
      <c r="Q267" s="38"/>
      <c r="R267" s="38"/>
      <c r="S267" s="38"/>
      <c r="T267" s="38"/>
    </row>
    <row r="268" spans="1:20" ht="15.75">
      <c r="A268" s="13">
        <v>49279</v>
      </c>
      <c r="B268" s="46">
        <v>31</v>
      </c>
      <c r="C268" s="37">
        <v>122.58</v>
      </c>
      <c r="D268" s="37">
        <v>297.94099999999997</v>
      </c>
      <c r="E268" s="43">
        <v>729.47900000000004</v>
      </c>
      <c r="F268" s="37">
        <v>1150</v>
      </c>
      <c r="G268" s="37">
        <v>100</v>
      </c>
      <c r="H268" s="45">
        <v>600</v>
      </c>
      <c r="I268" s="37">
        <v>695</v>
      </c>
      <c r="J268" s="37">
        <v>50</v>
      </c>
      <c r="K268" s="38"/>
      <c r="L268" s="38"/>
      <c r="M268" s="38"/>
      <c r="N268" s="38"/>
      <c r="O268" s="38"/>
      <c r="P268" s="38"/>
      <c r="Q268" s="38"/>
      <c r="R268" s="38"/>
      <c r="S268" s="38"/>
      <c r="T268" s="38"/>
    </row>
    <row r="269" spans="1:20" ht="15.75">
      <c r="A269" s="13">
        <v>49310</v>
      </c>
      <c r="B269" s="46">
        <v>31</v>
      </c>
      <c r="C269" s="37">
        <v>122.58</v>
      </c>
      <c r="D269" s="37">
        <v>297.94099999999997</v>
      </c>
      <c r="E269" s="43">
        <v>729.47900000000004</v>
      </c>
      <c r="F269" s="37">
        <v>1150</v>
      </c>
      <c r="G269" s="37">
        <v>100</v>
      </c>
      <c r="H269" s="45">
        <v>600</v>
      </c>
      <c r="I269" s="37">
        <v>695</v>
      </c>
      <c r="J269" s="37">
        <v>50</v>
      </c>
      <c r="K269" s="38"/>
      <c r="L269" s="38"/>
      <c r="M269" s="38"/>
      <c r="N269" s="38"/>
      <c r="O269" s="38"/>
      <c r="P269" s="38"/>
      <c r="Q269" s="38"/>
      <c r="R269" s="38"/>
      <c r="S269" s="38"/>
      <c r="T269" s="38"/>
    </row>
    <row r="270" spans="1:20" ht="15.75">
      <c r="A270" s="13">
        <v>49341</v>
      </c>
      <c r="B270" s="46">
        <v>28</v>
      </c>
      <c r="C270" s="37">
        <v>122.58</v>
      </c>
      <c r="D270" s="37">
        <v>297.94099999999997</v>
      </c>
      <c r="E270" s="43">
        <v>729.47900000000004</v>
      </c>
      <c r="F270" s="37">
        <v>1150</v>
      </c>
      <c r="G270" s="37">
        <v>100</v>
      </c>
      <c r="H270" s="45">
        <v>600</v>
      </c>
      <c r="I270" s="37">
        <v>695</v>
      </c>
      <c r="J270" s="37">
        <v>50</v>
      </c>
      <c r="K270" s="38"/>
      <c r="L270" s="38"/>
      <c r="M270" s="38"/>
      <c r="N270" s="38"/>
      <c r="O270" s="38"/>
      <c r="P270" s="38"/>
      <c r="Q270" s="38"/>
      <c r="R270" s="38"/>
      <c r="S270" s="38"/>
      <c r="T270" s="38"/>
    </row>
    <row r="271" spans="1:20" ht="15.75">
      <c r="A271" s="13">
        <v>49369</v>
      </c>
      <c r="B271" s="46">
        <v>31</v>
      </c>
      <c r="C271" s="37">
        <v>122.58</v>
      </c>
      <c r="D271" s="37">
        <v>297.94099999999997</v>
      </c>
      <c r="E271" s="43">
        <v>729.47900000000004</v>
      </c>
      <c r="F271" s="37">
        <v>1150</v>
      </c>
      <c r="G271" s="37">
        <v>100</v>
      </c>
      <c r="H271" s="45">
        <v>600</v>
      </c>
      <c r="I271" s="37">
        <v>695</v>
      </c>
      <c r="J271" s="37">
        <v>50</v>
      </c>
      <c r="K271" s="38"/>
      <c r="L271" s="38"/>
      <c r="M271" s="38"/>
      <c r="N271" s="38"/>
      <c r="O271" s="38"/>
      <c r="P271" s="38"/>
      <c r="Q271" s="38"/>
      <c r="R271" s="38"/>
      <c r="S271" s="38"/>
      <c r="T271" s="38"/>
    </row>
    <row r="272" spans="1:20" ht="15.75">
      <c r="A272" s="13">
        <v>49400</v>
      </c>
      <c r="B272" s="46">
        <v>30</v>
      </c>
      <c r="C272" s="37">
        <v>141.29300000000001</v>
      </c>
      <c r="D272" s="37">
        <v>267.99299999999999</v>
      </c>
      <c r="E272" s="43">
        <v>829.71400000000006</v>
      </c>
      <c r="F272" s="37">
        <v>1239</v>
      </c>
      <c r="G272" s="37">
        <v>100</v>
      </c>
      <c r="H272" s="45">
        <v>600</v>
      </c>
      <c r="I272" s="37">
        <v>695</v>
      </c>
      <c r="J272" s="37">
        <v>50</v>
      </c>
      <c r="K272" s="38"/>
      <c r="L272" s="38"/>
      <c r="M272" s="38"/>
      <c r="N272" s="38"/>
      <c r="O272" s="38"/>
      <c r="P272" s="38"/>
      <c r="Q272" s="38"/>
      <c r="R272" s="38"/>
      <c r="S272" s="38"/>
      <c r="T272" s="38"/>
    </row>
    <row r="273" spans="1:20" ht="15.75">
      <c r="A273" s="13">
        <v>49430</v>
      </c>
      <c r="B273" s="46">
        <v>31</v>
      </c>
      <c r="C273" s="37">
        <v>194.20500000000001</v>
      </c>
      <c r="D273" s="37">
        <v>267.46600000000001</v>
      </c>
      <c r="E273" s="43">
        <v>812.32899999999995</v>
      </c>
      <c r="F273" s="37">
        <v>1274</v>
      </c>
      <c r="G273" s="37">
        <v>75</v>
      </c>
      <c r="H273" s="45">
        <v>600</v>
      </c>
      <c r="I273" s="37">
        <v>695</v>
      </c>
      <c r="J273" s="37">
        <v>50</v>
      </c>
      <c r="K273" s="38"/>
      <c r="L273" s="38"/>
      <c r="M273" s="38"/>
      <c r="N273" s="38"/>
      <c r="O273" s="38"/>
      <c r="P273" s="38"/>
      <c r="Q273" s="38"/>
      <c r="R273" s="38"/>
      <c r="S273" s="38"/>
      <c r="T273" s="38"/>
    </row>
    <row r="274" spans="1:20" ht="15.75">
      <c r="A274" s="14">
        <v>49461</v>
      </c>
      <c r="B274" s="46">
        <v>30</v>
      </c>
      <c r="C274" s="37">
        <v>194.20500000000001</v>
      </c>
      <c r="D274" s="37">
        <v>267.46600000000001</v>
      </c>
      <c r="E274" s="43">
        <v>812.32899999999995</v>
      </c>
      <c r="F274" s="37">
        <v>1274</v>
      </c>
      <c r="G274" s="37">
        <v>50</v>
      </c>
      <c r="H274" s="45">
        <v>600</v>
      </c>
      <c r="I274" s="37">
        <v>695</v>
      </c>
      <c r="J274" s="37">
        <v>50</v>
      </c>
      <c r="K274" s="38"/>
      <c r="L274" s="38"/>
      <c r="M274" s="38"/>
      <c r="N274" s="38"/>
      <c r="O274" s="38"/>
      <c r="P274" s="38"/>
      <c r="Q274" s="38"/>
      <c r="R274" s="38"/>
      <c r="S274" s="38"/>
      <c r="T274" s="38"/>
    </row>
    <row r="275" spans="1:20" ht="15.75">
      <c r="A275" s="14">
        <v>49491</v>
      </c>
      <c r="B275" s="46">
        <v>31</v>
      </c>
      <c r="C275" s="37">
        <v>194.20500000000001</v>
      </c>
      <c r="D275" s="37">
        <v>267.46600000000001</v>
      </c>
      <c r="E275" s="43">
        <v>812.32899999999995</v>
      </c>
      <c r="F275" s="37">
        <v>1274</v>
      </c>
      <c r="G275" s="37">
        <v>50</v>
      </c>
      <c r="H275" s="45">
        <v>600</v>
      </c>
      <c r="I275" s="37">
        <v>695</v>
      </c>
      <c r="J275" s="37">
        <v>0</v>
      </c>
      <c r="K275" s="38"/>
      <c r="L275" s="38"/>
      <c r="M275" s="38"/>
      <c r="N275" s="38"/>
      <c r="O275" s="38"/>
      <c r="P275" s="38"/>
      <c r="Q275" s="38"/>
      <c r="R275" s="38"/>
      <c r="S275" s="38"/>
      <c r="T275" s="38"/>
    </row>
    <row r="276" spans="1:20" ht="15.75">
      <c r="A276" s="14">
        <v>49522</v>
      </c>
      <c r="B276" s="46">
        <v>31</v>
      </c>
      <c r="C276" s="37">
        <v>194.20500000000001</v>
      </c>
      <c r="D276" s="37">
        <v>267.46600000000001</v>
      </c>
      <c r="E276" s="43">
        <v>812.32899999999995</v>
      </c>
      <c r="F276" s="37">
        <v>1274</v>
      </c>
      <c r="G276" s="37">
        <v>50</v>
      </c>
      <c r="H276" s="45">
        <v>600</v>
      </c>
      <c r="I276" s="37">
        <v>695</v>
      </c>
      <c r="J276" s="37">
        <v>0</v>
      </c>
      <c r="K276" s="38"/>
      <c r="L276" s="38"/>
      <c r="M276" s="38"/>
      <c r="N276" s="38"/>
      <c r="O276" s="38"/>
      <c r="P276" s="38"/>
      <c r="Q276" s="38"/>
      <c r="R276" s="38"/>
      <c r="S276" s="38"/>
      <c r="T276" s="38"/>
    </row>
    <row r="277" spans="1:20" ht="15.75">
      <c r="A277" s="14">
        <v>49553</v>
      </c>
      <c r="B277" s="46">
        <v>30</v>
      </c>
      <c r="C277" s="37">
        <v>194.20500000000001</v>
      </c>
      <c r="D277" s="37">
        <v>267.46600000000001</v>
      </c>
      <c r="E277" s="43">
        <v>812.32899999999995</v>
      </c>
      <c r="F277" s="37">
        <v>1274</v>
      </c>
      <c r="G277" s="37">
        <v>50</v>
      </c>
      <c r="H277" s="45">
        <v>600</v>
      </c>
      <c r="I277" s="37">
        <v>695</v>
      </c>
      <c r="J277" s="37">
        <v>0</v>
      </c>
      <c r="K277" s="38"/>
      <c r="L277" s="38"/>
      <c r="M277" s="38"/>
      <c r="N277" s="38"/>
      <c r="O277" s="38"/>
      <c r="P277" s="38"/>
      <c r="Q277" s="38"/>
      <c r="R277" s="38"/>
      <c r="S277" s="38"/>
      <c r="T277" s="38"/>
    </row>
    <row r="278" spans="1:20" ht="15.75">
      <c r="A278" s="14">
        <v>49583</v>
      </c>
      <c r="B278" s="46">
        <v>31</v>
      </c>
      <c r="C278" s="37">
        <v>131.881</v>
      </c>
      <c r="D278" s="37">
        <v>277.16699999999997</v>
      </c>
      <c r="E278" s="43">
        <v>829.952</v>
      </c>
      <c r="F278" s="37">
        <v>1239</v>
      </c>
      <c r="G278" s="37">
        <v>75</v>
      </c>
      <c r="H278" s="45">
        <v>600</v>
      </c>
      <c r="I278" s="37">
        <v>695</v>
      </c>
      <c r="J278" s="37">
        <v>0</v>
      </c>
      <c r="K278" s="38"/>
      <c r="L278" s="38"/>
      <c r="M278" s="38"/>
      <c r="N278" s="38"/>
      <c r="O278" s="38"/>
      <c r="P278" s="38"/>
      <c r="Q278" s="38"/>
      <c r="R278" s="38"/>
      <c r="S278" s="38"/>
      <c r="T278" s="38"/>
    </row>
    <row r="279" spans="1:20" ht="15.75">
      <c r="A279" s="14">
        <v>49614</v>
      </c>
      <c r="B279" s="46">
        <v>30</v>
      </c>
      <c r="C279" s="37">
        <v>122.58</v>
      </c>
      <c r="D279" s="37">
        <v>297.94099999999997</v>
      </c>
      <c r="E279" s="43">
        <v>729.47900000000004</v>
      </c>
      <c r="F279" s="37">
        <v>1150</v>
      </c>
      <c r="G279" s="37">
        <v>100</v>
      </c>
      <c r="H279" s="45">
        <v>600</v>
      </c>
      <c r="I279" s="37">
        <v>695</v>
      </c>
      <c r="J279" s="37">
        <v>50</v>
      </c>
      <c r="K279" s="38"/>
      <c r="L279" s="38"/>
      <c r="M279" s="38"/>
      <c r="N279" s="38"/>
      <c r="O279" s="38"/>
      <c r="P279" s="38"/>
      <c r="Q279" s="38"/>
      <c r="R279" s="38"/>
      <c r="S279" s="38"/>
      <c r="T279" s="38"/>
    </row>
    <row r="280" spans="1:20" ht="15.75">
      <c r="A280" s="14">
        <v>49644</v>
      </c>
      <c r="B280" s="46">
        <v>31</v>
      </c>
      <c r="C280" s="37">
        <v>122.58</v>
      </c>
      <c r="D280" s="37">
        <v>297.94099999999997</v>
      </c>
      <c r="E280" s="43">
        <v>729.47900000000004</v>
      </c>
      <c r="F280" s="37">
        <v>1150</v>
      </c>
      <c r="G280" s="37">
        <v>100</v>
      </c>
      <c r="H280" s="45">
        <v>600</v>
      </c>
      <c r="I280" s="37">
        <v>695</v>
      </c>
      <c r="J280" s="37">
        <v>50</v>
      </c>
      <c r="K280" s="38"/>
      <c r="L280" s="38"/>
      <c r="M280" s="38"/>
      <c r="N280" s="38"/>
      <c r="O280" s="38"/>
      <c r="P280" s="38"/>
      <c r="Q280" s="38"/>
      <c r="R280" s="38"/>
      <c r="S280" s="38"/>
      <c r="T280" s="38"/>
    </row>
    <row r="281" spans="1:20" ht="15.75">
      <c r="A281" s="14">
        <v>49675</v>
      </c>
      <c r="B281" s="46">
        <v>31</v>
      </c>
      <c r="C281" s="37">
        <v>122.58</v>
      </c>
      <c r="D281" s="37">
        <v>297.94099999999997</v>
      </c>
      <c r="E281" s="43">
        <v>729.47900000000004</v>
      </c>
      <c r="F281" s="37">
        <v>1150</v>
      </c>
      <c r="G281" s="37">
        <v>100</v>
      </c>
      <c r="H281" s="45">
        <v>600</v>
      </c>
      <c r="I281" s="37">
        <v>695</v>
      </c>
      <c r="J281" s="37">
        <v>50</v>
      </c>
      <c r="K281" s="38"/>
      <c r="L281" s="38"/>
      <c r="M281" s="38"/>
      <c r="N281" s="38"/>
      <c r="O281" s="38"/>
      <c r="P281" s="38"/>
      <c r="Q281" s="38"/>
      <c r="R281" s="38"/>
      <c r="S281" s="38"/>
      <c r="T281" s="38"/>
    </row>
    <row r="282" spans="1:20" ht="15.75">
      <c r="A282" s="14">
        <v>49706</v>
      </c>
      <c r="B282" s="46">
        <v>29</v>
      </c>
      <c r="C282" s="37">
        <v>122.58</v>
      </c>
      <c r="D282" s="37">
        <v>297.94099999999997</v>
      </c>
      <c r="E282" s="43">
        <v>729.47900000000004</v>
      </c>
      <c r="F282" s="37">
        <v>1150</v>
      </c>
      <c r="G282" s="37">
        <v>100</v>
      </c>
      <c r="H282" s="45">
        <v>600</v>
      </c>
      <c r="I282" s="37">
        <v>695</v>
      </c>
      <c r="J282" s="37">
        <v>50</v>
      </c>
      <c r="K282" s="38"/>
      <c r="L282" s="38"/>
      <c r="M282" s="38"/>
      <c r="N282" s="38"/>
      <c r="O282" s="38"/>
      <c r="P282" s="38"/>
      <c r="Q282" s="38"/>
      <c r="R282" s="38"/>
      <c r="S282" s="38"/>
      <c r="T282" s="38"/>
    </row>
    <row r="283" spans="1:20" ht="15.75">
      <c r="A283" s="14">
        <v>49735</v>
      </c>
      <c r="B283" s="46">
        <v>31</v>
      </c>
      <c r="C283" s="37">
        <v>122.58</v>
      </c>
      <c r="D283" s="37">
        <v>297.94099999999997</v>
      </c>
      <c r="E283" s="43">
        <v>729.47900000000004</v>
      </c>
      <c r="F283" s="37">
        <v>1150</v>
      </c>
      <c r="G283" s="37">
        <v>100</v>
      </c>
      <c r="H283" s="45">
        <v>600</v>
      </c>
      <c r="I283" s="37">
        <v>695</v>
      </c>
      <c r="J283" s="37">
        <v>50</v>
      </c>
      <c r="K283" s="38"/>
      <c r="L283" s="38"/>
      <c r="M283" s="38"/>
      <c r="N283" s="38"/>
      <c r="O283" s="38"/>
      <c r="P283" s="38"/>
      <c r="Q283" s="38"/>
      <c r="R283" s="38"/>
      <c r="S283" s="38"/>
      <c r="T283" s="38"/>
    </row>
    <row r="284" spans="1:20" ht="15.75">
      <c r="A284" s="14">
        <v>49766</v>
      </c>
      <c r="B284" s="46">
        <v>30</v>
      </c>
      <c r="C284" s="37">
        <v>141.29300000000001</v>
      </c>
      <c r="D284" s="37">
        <v>267.99299999999999</v>
      </c>
      <c r="E284" s="43">
        <v>829.71400000000006</v>
      </c>
      <c r="F284" s="37">
        <v>1239</v>
      </c>
      <c r="G284" s="37">
        <v>100</v>
      </c>
      <c r="H284" s="45">
        <v>600</v>
      </c>
      <c r="I284" s="37">
        <v>695</v>
      </c>
      <c r="J284" s="37">
        <v>50</v>
      </c>
      <c r="K284" s="38"/>
      <c r="L284" s="38"/>
      <c r="M284" s="38"/>
      <c r="N284" s="38"/>
      <c r="O284" s="38"/>
      <c r="P284" s="38"/>
      <c r="Q284" s="38"/>
      <c r="R284" s="38"/>
      <c r="S284" s="38"/>
      <c r="T284" s="38"/>
    </row>
    <row r="285" spans="1:20" ht="15.75">
      <c r="A285" s="14">
        <v>49796</v>
      </c>
      <c r="B285" s="46">
        <v>31</v>
      </c>
      <c r="C285" s="37">
        <v>194.20500000000001</v>
      </c>
      <c r="D285" s="37">
        <v>267.46600000000001</v>
      </c>
      <c r="E285" s="43">
        <v>812.32899999999995</v>
      </c>
      <c r="F285" s="37">
        <v>1274</v>
      </c>
      <c r="G285" s="37">
        <v>75</v>
      </c>
      <c r="H285" s="45">
        <v>600</v>
      </c>
      <c r="I285" s="37">
        <v>695</v>
      </c>
      <c r="J285" s="37">
        <v>50</v>
      </c>
      <c r="K285" s="38"/>
      <c r="L285" s="38"/>
      <c r="M285" s="38"/>
      <c r="N285" s="38"/>
      <c r="O285" s="38"/>
      <c r="P285" s="38"/>
      <c r="Q285" s="38"/>
      <c r="R285" s="38"/>
      <c r="S285" s="38"/>
      <c r="T285" s="38"/>
    </row>
    <row r="286" spans="1:20" ht="15.75">
      <c r="A286" s="14">
        <v>49827</v>
      </c>
      <c r="B286" s="46">
        <v>30</v>
      </c>
      <c r="C286" s="37">
        <v>194.20500000000001</v>
      </c>
      <c r="D286" s="37">
        <v>267.46600000000001</v>
      </c>
      <c r="E286" s="43">
        <v>812.32899999999995</v>
      </c>
      <c r="F286" s="37">
        <v>1274</v>
      </c>
      <c r="G286" s="37">
        <v>50</v>
      </c>
      <c r="H286" s="45">
        <v>600</v>
      </c>
      <c r="I286" s="37">
        <v>695</v>
      </c>
      <c r="J286" s="37">
        <v>50</v>
      </c>
      <c r="K286" s="38"/>
      <c r="L286" s="38"/>
      <c r="M286" s="38"/>
      <c r="N286" s="38"/>
      <c r="O286" s="38"/>
      <c r="P286" s="38"/>
      <c r="Q286" s="38"/>
      <c r="R286" s="38"/>
      <c r="S286" s="38"/>
      <c r="T286" s="38"/>
    </row>
    <row r="287" spans="1:20" ht="15.75">
      <c r="A287" s="14">
        <v>49857</v>
      </c>
      <c r="B287" s="46">
        <v>31</v>
      </c>
      <c r="C287" s="37">
        <v>194.20500000000001</v>
      </c>
      <c r="D287" s="37">
        <v>267.46600000000001</v>
      </c>
      <c r="E287" s="43">
        <v>812.32899999999995</v>
      </c>
      <c r="F287" s="37">
        <v>1274</v>
      </c>
      <c r="G287" s="37">
        <v>50</v>
      </c>
      <c r="H287" s="45">
        <v>600</v>
      </c>
      <c r="I287" s="37">
        <v>695</v>
      </c>
      <c r="J287" s="37">
        <v>0</v>
      </c>
      <c r="K287" s="38"/>
      <c r="L287" s="38"/>
      <c r="M287" s="38"/>
      <c r="N287" s="38"/>
      <c r="O287" s="38"/>
      <c r="P287" s="38"/>
      <c r="Q287" s="38"/>
      <c r="R287" s="38"/>
      <c r="S287" s="38"/>
      <c r="T287" s="38"/>
    </row>
    <row r="288" spans="1:20" ht="15.75">
      <c r="A288" s="14">
        <v>49888</v>
      </c>
      <c r="B288" s="46">
        <v>31</v>
      </c>
      <c r="C288" s="37">
        <v>194.20500000000001</v>
      </c>
      <c r="D288" s="37">
        <v>267.46600000000001</v>
      </c>
      <c r="E288" s="43">
        <v>812.32899999999995</v>
      </c>
      <c r="F288" s="37">
        <v>1274</v>
      </c>
      <c r="G288" s="37">
        <v>50</v>
      </c>
      <c r="H288" s="45">
        <v>600</v>
      </c>
      <c r="I288" s="37">
        <v>695</v>
      </c>
      <c r="J288" s="37">
        <v>0</v>
      </c>
      <c r="K288" s="38"/>
      <c r="L288" s="38"/>
      <c r="M288" s="38"/>
      <c r="N288" s="38"/>
      <c r="O288" s="38"/>
      <c r="P288" s="38"/>
      <c r="Q288" s="38"/>
      <c r="R288" s="38"/>
      <c r="S288" s="38"/>
      <c r="T288" s="38"/>
    </row>
    <row r="289" spans="1:20" ht="15.75">
      <c r="A289" s="14">
        <v>49919</v>
      </c>
      <c r="B289" s="46">
        <v>30</v>
      </c>
      <c r="C289" s="37">
        <v>194.20500000000001</v>
      </c>
      <c r="D289" s="37">
        <v>267.46600000000001</v>
      </c>
      <c r="E289" s="43">
        <v>812.32899999999995</v>
      </c>
      <c r="F289" s="37">
        <v>1274</v>
      </c>
      <c r="G289" s="37">
        <v>50</v>
      </c>
      <c r="H289" s="45">
        <v>600</v>
      </c>
      <c r="I289" s="37">
        <v>695</v>
      </c>
      <c r="J289" s="37">
        <v>0</v>
      </c>
      <c r="K289" s="38"/>
      <c r="L289" s="38"/>
      <c r="M289" s="38"/>
      <c r="N289" s="38"/>
      <c r="O289" s="38"/>
      <c r="P289" s="38"/>
      <c r="Q289" s="38"/>
      <c r="R289" s="38"/>
      <c r="S289" s="38"/>
      <c r="T289" s="38"/>
    </row>
    <row r="290" spans="1:20" ht="15.75">
      <c r="A290" s="14">
        <v>49949</v>
      </c>
      <c r="B290" s="46">
        <v>31</v>
      </c>
      <c r="C290" s="37">
        <v>131.881</v>
      </c>
      <c r="D290" s="37">
        <v>277.16699999999997</v>
      </c>
      <c r="E290" s="43">
        <v>829.952</v>
      </c>
      <c r="F290" s="37">
        <v>1239</v>
      </c>
      <c r="G290" s="37">
        <v>75</v>
      </c>
      <c r="H290" s="45">
        <v>600</v>
      </c>
      <c r="I290" s="37">
        <v>695</v>
      </c>
      <c r="J290" s="37">
        <v>0</v>
      </c>
      <c r="K290" s="38"/>
      <c r="L290" s="38"/>
      <c r="M290" s="38"/>
      <c r="N290" s="38"/>
      <c r="O290" s="38"/>
      <c r="P290" s="38"/>
      <c r="Q290" s="38"/>
      <c r="R290" s="38"/>
      <c r="S290" s="38"/>
      <c r="T290" s="38"/>
    </row>
    <row r="291" spans="1:20" ht="15.75">
      <c r="A291" s="14">
        <v>49980</v>
      </c>
      <c r="B291" s="46">
        <v>30</v>
      </c>
      <c r="C291" s="37">
        <v>122.58</v>
      </c>
      <c r="D291" s="37">
        <v>297.94099999999997</v>
      </c>
      <c r="E291" s="43">
        <v>729.47900000000004</v>
      </c>
      <c r="F291" s="37">
        <v>1150</v>
      </c>
      <c r="G291" s="37">
        <v>100</v>
      </c>
      <c r="H291" s="45">
        <v>600</v>
      </c>
      <c r="I291" s="37">
        <v>695</v>
      </c>
      <c r="J291" s="37">
        <v>50</v>
      </c>
      <c r="K291" s="38"/>
      <c r="L291" s="38"/>
      <c r="M291" s="38"/>
      <c r="N291" s="38"/>
      <c r="O291" s="38"/>
      <c r="P291" s="38"/>
      <c r="Q291" s="38"/>
      <c r="R291" s="38"/>
      <c r="S291" s="38"/>
      <c r="T291" s="38"/>
    </row>
    <row r="292" spans="1:20" ht="15.75">
      <c r="A292" s="14">
        <v>50010</v>
      </c>
      <c r="B292" s="46">
        <v>31</v>
      </c>
      <c r="C292" s="37">
        <v>122.58</v>
      </c>
      <c r="D292" s="37">
        <v>297.94099999999997</v>
      </c>
      <c r="E292" s="43">
        <v>729.47900000000004</v>
      </c>
      <c r="F292" s="37">
        <v>1150</v>
      </c>
      <c r="G292" s="37">
        <v>100</v>
      </c>
      <c r="H292" s="45">
        <v>600</v>
      </c>
      <c r="I292" s="37">
        <v>695</v>
      </c>
      <c r="J292" s="37">
        <v>50</v>
      </c>
      <c r="K292" s="38"/>
      <c r="L292" s="38"/>
      <c r="M292" s="38"/>
      <c r="N292" s="38"/>
      <c r="O292" s="38"/>
      <c r="P292" s="38"/>
      <c r="Q292" s="38"/>
      <c r="R292" s="38"/>
      <c r="S292" s="38"/>
      <c r="T292" s="38"/>
    </row>
    <row r="293" spans="1:20" ht="15.75">
      <c r="A293" s="14">
        <v>50041</v>
      </c>
      <c r="B293" s="46">
        <v>31</v>
      </c>
      <c r="C293" s="37">
        <v>122.58</v>
      </c>
      <c r="D293" s="37">
        <v>297.94099999999997</v>
      </c>
      <c r="E293" s="43">
        <v>729.47900000000004</v>
      </c>
      <c r="F293" s="37">
        <v>1150</v>
      </c>
      <c r="G293" s="37">
        <v>100</v>
      </c>
      <c r="H293" s="45">
        <v>600</v>
      </c>
      <c r="I293" s="37">
        <v>695</v>
      </c>
      <c r="J293" s="37">
        <v>50</v>
      </c>
      <c r="K293" s="38"/>
      <c r="L293" s="38"/>
      <c r="M293" s="38"/>
      <c r="N293" s="38"/>
      <c r="O293" s="38"/>
      <c r="P293" s="38"/>
      <c r="Q293" s="38"/>
      <c r="R293" s="38"/>
      <c r="S293" s="38"/>
      <c r="T293" s="38"/>
    </row>
    <row r="294" spans="1:20" ht="15.75">
      <c r="A294" s="14">
        <v>50072</v>
      </c>
      <c r="B294" s="46">
        <v>28</v>
      </c>
      <c r="C294" s="37">
        <v>122.58</v>
      </c>
      <c r="D294" s="37">
        <v>297.94099999999997</v>
      </c>
      <c r="E294" s="43">
        <v>729.47900000000004</v>
      </c>
      <c r="F294" s="37">
        <v>1150</v>
      </c>
      <c r="G294" s="37">
        <v>100</v>
      </c>
      <c r="H294" s="45">
        <v>600</v>
      </c>
      <c r="I294" s="37">
        <v>695</v>
      </c>
      <c r="J294" s="37">
        <v>50</v>
      </c>
      <c r="K294" s="38"/>
      <c r="L294" s="38"/>
      <c r="M294" s="38"/>
      <c r="N294" s="38"/>
      <c r="O294" s="38"/>
      <c r="P294" s="38"/>
      <c r="Q294" s="38"/>
      <c r="R294" s="38"/>
      <c r="S294" s="38"/>
      <c r="T294" s="38"/>
    </row>
    <row r="295" spans="1:20" ht="15.75">
      <c r="A295" s="14">
        <v>50100</v>
      </c>
      <c r="B295" s="46">
        <v>31</v>
      </c>
      <c r="C295" s="37">
        <v>122.58</v>
      </c>
      <c r="D295" s="37">
        <v>297.94099999999997</v>
      </c>
      <c r="E295" s="43">
        <v>729.47900000000004</v>
      </c>
      <c r="F295" s="37">
        <v>1150</v>
      </c>
      <c r="G295" s="37">
        <v>100</v>
      </c>
      <c r="H295" s="45">
        <v>600</v>
      </c>
      <c r="I295" s="37">
        <v>695</v>
      </c>
      <c r="J295" s="37">
        <v>50</v>
      </c>
      <c r="K295" s="38"/>
      <c r="L295" s="38"/>
      <c r="M295" s="38"/>
      <c r="N295" s="38"/>
      <c r="O295" s="38"/>
      <c r="P295" s="38"/>
      <c r="Q295" s="38"/>
      <c r="R295" s="38"/>
      <c r="S295" s="38"/>
      <c r="T295" s="38"/>
    </row>
    <row r="296" spans="1:20" ht="15.75">
      <c r="A296" s="14">
        <v>50131</v>
      </c>
      <c r="B296" s="46">
        <v>30</v>
      </c>
      <c r="C296" s="37">
        <v>141.29300000000001</v>
      </c>
      <c r="D296" s="37">
        <v>267.99299999999999</v>
      </c>
      <c r="E296" s="43">
        <v>829.71400000000006</v>
      </c>
      <c r="F296" s="37">
        <v>1239</v>
      </c>
      <c r="G296" s="37">
        <v>100</v>
      </c>
      <c r="H296" s="45">
        <v>600</v>
      </c>
      <c r="I296" s="37">
        <v>695</v>
      </c>
      <c r="J296" s="37">
        <v>50</v>
      </c>
      <c r="K296" s="38"/>
      <c r="L296" s="38"/>
      <c r="M296" s="38"/>
      <c r="N296" s="38"/>
      <c r="O296" s="38"/>
      <c r="P296" s="38"/>
      <c r="Q296" s="38"/>
      <c r="R296" s="38"/>
      <c r="S296" s="38"/>
      <c r="T296" s="38"/>
    </row>
    <row r="297" spans="1:20" ht="15.75">
      <c r="A297" s="14">
        <v>50161</v>
      </c>
      <c r="B297" s="46">
        <v>31</v>
      </c>
      <c r="C297" s="37">
        <v>194.20500000000001</v>
      </c>
      <c r="D297" s="37">
        <v>267.46600000000001</v>
      </c>
      <c r="E297" s="43">
        <v>812.32899999999995</v>
      </c>
      <c r="F297" s="37">
        <v>1274</v>
      </c>
      <c r="G297" s="37">
        <v>75</v>
      </c>
      <c r="H297" s="45">
        <v>600</v>
      </c>
      <c r="I297" s="37">
        <v>695</v>
      </c>
      <c r="J297" s="37">
        <v>50</v>
      </c>
      <c r="K297" s="38"/>
      <c r="L297" s="38"/>
      <c r="M297" s="38"/>
      <c r="N297" s="38"/>
      <c r="O297" s="38"/>
      <c r="P297" s="38"/>
      <c r="Q297" s="38"/>
      <c r="R297" s="38"/>
      <c r="S297" s="38"/>
      <c r="T297" s="38"/>
    </row>
    <row r="298" spans="1:20" ht="15.75">
      <c r="A298" s="14">
        <v>50192</v>
      </c>
      <c r="B298" s="46">
        <v>30</v>
      </c>
      <c r="C298" s="37">
        <v>194.20500000000001</v>
      </c>
      <c r="D298" s="37">
        <v>267.46600000000001</v>
      </c>
      <c r="E298" s="43">
        <v>812.32899999999995</v>
      </c>
      <c r="F298" s="37">
        <v>1274</v>
      </c>
      <c r="G298" s="37">
        <v>50</v>
      </c>
      <c r="H298" s="45">
        <v>600</v>
      </c>
      <c r="I298" s="37">
        <v>695</v>
      </c>
      <c r="J298" s="37">
        <v>50</v>
      </c>
      <c r="K298" s="38"/>
      <c r="L298" s="38"/>
      <c r="M298" s="38"/>
      <c r="N298" s="38"/>
      <c r="O298" s="38"/>
      <c r="P298" s="38"/>
      <c r="Q298" s="38"/>
      <c r="R298" s="38"/>
      <c r="S298" s="38"/>
      <c r="T298" s="38"/>
    </row>
    <row r="299" spans="1:20" ht="15.75">
      <c r="A299" s="14">
        <v>50222</v>
      </c>
      <c r="B299" s="46">
        <v>31</v>
      </c>
      <c r="C299" s="37">
        <v>194.20500000000001</v>
      </c>
      <c r="D299" s="37">
        <v>267.46600000000001</v>
      </c>
      <c r="E299" s="43">
        <v>812.32899999999995</v>
      </c>
      <c r="F299" s="37">
        <v>1274</v>
      </c>
      <c r="G299" s="37">
        <v>50</v>
      </c>
      <c r="H299" s="45">
        <v>600</v>
      </c>
      <c r="I299" s="37">
        <v>695</v>
      </c>
      <c r="J299" s="37">
        <v>0</v>
      </c>
      <c r="K299" s="38"/>
      <c r="L299" s="38"/>
      <c r="M299" s="38"/>
      <c r="N299" s="38"/>
      <c r="O299" s="38"/>
      <c r="P299" s="38"/>
      <c r="Q299" s="38"/>
      <c r="R299" s="38"/>
      <c r="S299" s="38"/>
      <c r="T299" s="38"/>
    </row>
    <row r="300" spans="1:20" ht="15.75">
      <c r="A300" s="14">
        <v>50253</v>
      </c>
      <c r="B300" s="46">
        <v>31</v>
      </c>
      <c r="C300" s="37">
        <v>194.20500000000001</v>
      </c>
      <c r="D300" s="37">
        <v>267.46600000000001</v>
      </c>
      <c r="E300" s="43">
        <v>812.32899999999995</v>
      </c>
      <c r="F300" s="37">
        <v>1274</v>
      </c>
      <c r="G300" s="37">
        <v>50</v>
      </c>
      <c r="H300" s="45">
        <v>600</v>
      </c>
      <c r="I300" s="37">
        <v>695</v>
      </c>
      <c r="J300" s="37">
        <v>0</v>
      </c>
      <c r="K300" s="38"/>
      <c r="L300" s="38"/>
      <c r="M300" s="38"/>
      <c r="N300" s="38"/>
      <c r="O300" s="38"/>
      <c r="P300" s="38"/>
      <c r="Q300" s="38"/>
      <c r="R300" s="38"/>
      <c r="S300" s="38"/>
      <c r="T300" s="38"/>
    </row>
    <row r="301" spans="1:20" ht="15.75">
      <c r="A301" s="14">
        <v>50284</v>
      </c>
      <c r="B301" s="46">
        <v>30</v>
      </c>
      <c r="C301" s="37">
        <v>194.20500000000001</v>
      </c>
      <c r="D301" s="37">
        <v>267.46600000000001</v>
      </c>
      <c r="E301" s="43">
        <v>812.32899999999995</v>
      </c>
      <c r="F301" s="37">
        <v>1274</v>
      </c>
      <c r="G301" s="37">
        <v>50</v>
      </c>
      <c r="H301" s="45">
        <v>600</v>
      </c>
      <c r="I301" s="37">
        <v>695</v>
      </c>
      <c r="J301" s="37">
        <v>0</v>
      </c>
      <c r="K301" s="38"/>
      <c r="L301" s="38"/>
      <c r="M301" s="38"/>
      <c r="N301" s="38"/>
      <c r="O301" s="38"/>
      <c r="P301" s="38"/>
      <c r="Q301" s="38"/>
      <c r="R301" s="38"/>
      <c r="S301" s="38"/>
      <c r="T301" s="38"/>
    </row>
    <row r="302" spans="1:20" ht="15.75">
      <c r="A302" s="14">
        <v>50314</v>
      </c>
      <c r="B302" s="46">
        <v>31</v>
      </c>
      <c r="C302" s="37">
        <v>131.881</v>
      </c>
      <c r="D302" s="37">
        <v>277.16699999999997</v>
      </c>
      <c r="E302" s="43">
        <v>829.952</v>
      </c>
      <c r="F302" s="37">
        <v>1239</v>
      </c>
      <c r="G302" s="37">
        <v>75</v>
      </c>
      <c r="H302" s="45">
        <v>600</v>
      </c>
      <c r="I302" s="37">
        <v>695</v>
      </c>
      <c r="J302" s="37">
        <v>0</v>
      </c>
      <c r="K302" s="38"/>
      <c r="L302" s="38"/>
      <c r="M302" s="38"/>
      <c r="N302" s="38"/>
      <c r="O302" s="38"/>
      <c r="P302" s="38"/>
      <c r="Q302" s="38"/>
      <c r="R302" s="38"/>
      <c r="S302" s="38"/>
      <c r="T302" s="38"/>
    </row>
    <row r="303" spans="1:20" ht="15.75">
      <c r="A303" s="14">
        <v>50345</v>
      </c>
      <c r="B303" s="46">
        <v>30</v>
      </c>
      <c r="C303" s="37">
        <v>122.58</v>
      </c>
      <c r="D303" s="37">
        <v>297.94099999999997</v>
      </c>
      <c r="E303" s="43">
        <v>729.47900000000004</v>
      </c>
      <c r="F303" s="37">
        <v>1150</v>
      </c>
      <c r="G303" s="37">
        <v>100</v>
      </c>
      <c r="H303" s="45">
        <v>600</v>
      </c>
      <c r="I303" s="37">
        <v>695</v>
      </c>
      <c r="J303" s="37">
        <v>50</v>
      </c>
      <c r="K303" s="38"/>
      <c r="L303" s="38"/>
      <c r="M303" s="38"/>
      <c r="N303" s="38"/>
      <c r="O303" s="38"/>
      <c r="P303" s="38"/>
      <c r="Q303" s="38"/>
      <c r="R303" s="38"/>
      <c r="S303" s="38"/>
      <c r="T303" s="38"/>
    </row>
    <row r="304" spans="1:20" ht="15.75">
      <c r="A304" s="14">
        <v>50375</v>
      </c>
      <c r="B304" s="46">
        <v>31</v>
      </c>
      <c r="C304" s="37">
        <v>122.58</v>
      </c>
      <c r="D304" s="37">
        <v>297.94099999999997</v>
      </c>
      <c r="E304" s="43">
        <v>729.47900000000004</v>
      </c>
      <c r="F304" s="37">
        <v>1150</v>
      </c>
      <c r="G304" s="37">
        <v>100</v>
      </c>
      <c r="H304" s="45">
        <v>600</v>
      </c>
      <c r="I304" s="37">
        <v>695</v>
      </c>
      <c r="J304" s="37">
        <v>50</v>
      </c>
      <c r="K304" s="38"/>
      <c r="L304" s="38"/>
      <c r="M304" s="38"/>
      <c r="N304" s="38"/>
      <c r="O304" s="38"/>
      <c r="P304" s="38"/>
      <c r="Q304" s="38"/>
      <c r="R304" s="38"/>
      <c r="S304" s="38"/>
      <c r="T304" s="38"/>
    </row>
    <row r="305" spans="1:20" ht="15.75">
      <c r="A305" s="13">
        <v>50436</v>
      </c>
      <c r="B305" s="46">
        <v>31</v>
      </c>
      <c r="C305" s="37">
        <v>122.58</v>
      </c>
      <c r="D305" s="37">
        <v>297.94099999999997</v>
      </c>
      <c r="E305" s="43">
        <v>729.47900000000004</v>
      </c>
      <c r="F305" s="37">
        <v>1150</v>
      </c>
      <c r="G305" s="37">
        <v>100</v>
      </c>
      <c r="H305" s="45">
        <v>600</v>
      </c>
      <c r="I305" s="37">
        <v>695</v>
      </c>
      <c r="J305" s="37">
        <v>50</v>
      </c>
      <c r="K305" s="38"/>
      <c r="L305" s="38"/>
      <c r="M305" s="38"/>
      <c r="N305" s="38"/>
      <c r="O305" s="38"/>
      <c r="P305" s="38"/>
      <c r="Q305" s="38"/>
      <c r="R305" s="38"/>
      <c r="S305" s="38"/>
      <c r="T305" s="38"/>
    </row>
    <row r="306" spans="1:20" ht="15.75">
      <c r="A306" s="13">
        <v>50464</v>
      </c>
      <c r="B306" s="46">
        <v>28</v>
      </c>
      <c r="C306" s="37">
        <v>122.58</v>
      </c>
      <c r="D306" s="37">
        <v>297.94099999999997</v>
      </c>
      <c r="E306" s="43">
        <v>729.47900000000004</v>
      </c>
      <c r="F306" s="37">
        <v>1150</v>
      </c>
      <c r="G306" s="37">
        <v>100</v>
      </c>
      <c r="H306" s="45">
        <v>600</v>
      </c>
      <c r="I306" s="37">
        <v>695</v>
      </c>
      <c r="J306" s="37">
        <v>50</v>
      </c>
      <c r="K306" s="38"/>
      <c r="L306" s="38"/>
      <c r="M306" s="38"/>
      <c r="N306" s="38"/>
      <c r="O306" s="38"/>
      <c r="P306" s="38"/>
      <c r="Q306" s="38"/>
      <c r="R306" s="38"/>
      <c r="S306" s="38"/>
      <c r="T306" s="38"/>
    </row>
    <row r="307" spans="1:20" ht="15.75">
      <c r="A307" s="13">
        <v>50495</v>
      </c>
      <c r="B307" s="46">
        <v>31</v>
      </c>
      <c r="C307" s="37">
        <v>122.58</v>
      </c>
      <c r="D307" s="37">
        <v>297.94099999999997</v>
      </c>
      <c r="E307" s="43">
        <v>729.47900000000004</v>
      </c>
      <c r="F307" s="37">
        <v>1150</v>
      </c>
      <c r="G307" s="37">
        <v>100</v>
      </c>
      <c r="H307" s="45">
        <v>600</v>
      </c>
      <c r="I307" s="37">
        <v>695</v>
      </c>
      <c r="J307" s="37">
        <v>50</v>
      </c>
      <c r="K307" s="38"/>
      <c r="L307" s="38"/>
      <c r="M307" s="38"/>
      <c r="N307" s="38"/>
      <c r="O307" s="38"/>
      <c r="P307" s="38"/>
      <c r="Q307" s="38"/>
      <c r="R307" s="38"/>
      <c r="S307" s="38"/>
      <c r="T307" s="38"/>
    </row>
    <row r="308" spans="1:20" ht="15.75">
      <c r="A308" s="13">
        <v>50525</v>
      </c>
      <c r="B308" s="46">
        <v>30</v>
      </c>
      <c r="C308" s="37">
        <v>141.29300000000001</v>
      </c>
      <c r="D308" s="37">
        <v>267.99299999999999</v>
      </c>
      <c r="E308" s="43">
        <v>829.71400000000006</v>
      </c>
      <c r="F308" s="37">
        <v>1239</v>
      </c>
      <c r="G308" s="37">
        <v>100</v>
      </c>
      <c r="H308" s="45">
        <v>600</v>
      </c>
      <c r="I308" s="37">
        <v>695</v>
      </c>
      <c r="J308" s="37">
        <v>50</v>
      </c>
      <c r="K308" s="38"/>
      <c r="L308" s="38"/>
      <c r="M308" s="38"/>
      <c r="N308" s="38"/>
      <c r="O308" s="38"/>
      <c r="P308" s="38"/>
      <c r="Q308" s="38"/>
      <c r="R308" s="38"/>
      <c r="S308" s="38"/>
      <c r="T308" s="38"/>
    </row>
    <row r="309" spans="1:20" ht="15.75">
      <c r="A309" s="13">
        <v>50556</v>
      </c>
      <c r="B309" s="46">
        <v>31</v>
      </c>
      <c r="C309" s="37">
        <v>194.20500000000001</v>
      </c>
      <c r="D309" s="37">
        <v>267.46600000000001</v>
      </c>
      <c r="E309" s="43">
        <v>812.32899999999995</v>
      </c>
      <c r="F309" s="37">
        <v>1274</v>
      </c>
      <c r="G309" s="37">
        <v>75</v>
      </c>
      <c r="H309" s="45">
        <v>600</v>
      </c>
      <c r="I309" s="37">
        <v>695</v>
      </c>
      <c r="J309" s="37">
        <v>50</v>
      </c>
      <c r="K309" s="38"/>
      <c r="L309" s="38"/>
      <c r="M309" s="38"/>
      <c r="N309" s="38"/>
      <c r="O309" s="38"/>
      <c r="P309" s="38"/>
      <c r="Q309" s="38"/>
      <c r="R309" s="38"/>
      <c r="S309" s="38"/>
      <c r="T309" s="38"/>
    </row>
    <row r="310" spans="1:20" ht="15.75">
      <c r="A310" s="13">
        <v>50586</v>
      </c>
      <c r="B310" s="46">
        <v>30</v>
      </c>
      <c r="C310" s="37">
        <v>194.20500000000001</v>
      </c>
      <c r="D310" s="37">
        <v>267.46600000000001</v>
      </c>
      <c r="E310" s="43">
        <v>812.32899999999995</v>
      </c>
      <c r="F310" s="37">
        <v>1274</v>
      </c>
      <c r="G310" s="37">
        <v>50</v>
      </c>
      <c r="H310" s="45">
        <v>600</v>
      </c>
      <c r="I310" s="37">
        <v>695</v>
      </c>
      <c r="J310" s="37">
        <v>50</v>
      </c>
      <c r="K310" s="38"/>
      <c r="L310" s="38"/>
      <c r="M310" s="38"/>
      <c r="N310" s="38"/>
      <c r="O310" s="38"/>
      <c r="P310" s="38"/>
      <c r="Q310" s="38"/>
      <c r="R310" s="38"/>
      <c r="S310" s="38"/>
      <c r="T310" s="38"/>
    </row>
    <row r="311" spans="1:20" ht="15.75">
      <c r="A311" s="13">
        <v>50617</v>
      </c>
      <c r="B311" s="46">
        <v>31</v>
      </c>
      <c r="C311" s="37">
        <v>194.20500000000001</v>
      </c>
      <c r="D311" s="37">
        <v>267.46600000000001</v>
      </c>
      <c r="E311" s="43">
        <v>812.32899999999995</v>
      </c>
      <c r="F311" s="37">
        <v>1274</v>
      </c>
      <c r="G311" s="37">
        <v>50</v>
      </c>
      <c r="H311" s="45">
        <v>600</v>
      </c>
      <c r="I311" s="37">
        <v>695</v>
      </c>
      <c r="J311" s="37">
        <v>0</v>
      </c>
      <c r="K311" s="38"/>
      <c r="L311" s="38"/>
      <c r="M311" s="38"/>
      <c r="N311" s="38"/>
      <c r="O311" s="38"/>
      <c r="P311" s="38"/>
      <c r="Q311" s="38"/>
      <c r="R311" s="38"/>
      <c r="S311" s="38"/>
      <c r="T311" s="38"/>
    </row>
    <row r="312" spans="1:20" ht="15.75">
      <c r="A312" s="13">
        <v>50648</v>
      </c>
      <c r="B312" s="46">
        <v>31</v>
      </c>
      <c r="C312" s="37">
        <v>194.20500000000001</v>
      </c>
      <c r="D312" s="37">
        <v>267.46600000000001</v>
      </c>
      <c r="E312" s="43">
        <v>812.32899999999995</v>
      </c>
      <c r="F312" s="37">
        <v>1274</v>
      </c>
      <c r="G312" s="37">
        <v>50</v>
      </c>
      <c r="H312" s="45">
        <v>600</v>
      </c>
      <c r="I312" s="37">
        <v>695</v>
      </c>
      <c r="J312" s="37">
        <v>0</v>
      </c>
      <c r="K312" s="38"/>
      <c r="L312" s="38"/>
      <c r="M312" s="38"/>
      <c r="N312" s="38"/>
      <c r="O312" s="38"/>
      <c r="P312" s="38"/>
      <c r="Q312" s="38"/>
      <c r="R312" s="38"/>
      <c r="S312" s="38"/>
      <c r="T312" s="38"/>
    </row>
    <row r="313" spans="1:20" ht="15.75">
      <c r="A313" s="13">
        <v>50678</v>
      </c>
      <c r="B313" s="46">
        <v>30</v>
      </c>
      <c r="C313" s="37">
        <v>194.20500000000001</v>
      </c>
      <c r="D313" s="37">
        <v>267.46600000000001</v>
      </c>
      <c r="E313" s="43">
        <v>812.32899999999995</v>
      </c>
      <c r="F313" s="37">
        <v>1274</v>
      </c>
      <c r="G313" s="37">
        <v>50</v>
      </c>
      <c r="H313" s="45">
        <v>600</v>
      </c>
      <c r="I313" s="37">
        <v>695</v>
      </c>
      <c r="J313" s="37">
        <v>0</v>
      </c>
      <c r="K313" s="38"/>
      <c r="L313" s="38"/>
      <c r="M313" s="38"/>
      <c r="N313" s="38"/>
      <c r="O313" s="38"/>
      <c r="P313" s="38"/>
      <c r="Q313" s="38"/>
      <c r="R313" s="38"/>
      <c r="S313" s="38"/>
      <c r="T313" s="38"/>
    </row>
    <row r="314" spans="1:20" ht="15.75">
      <c r="A314" s="13">
        <v>50709</v>
      </c>
      <c r="B314" s="46">
        <v>31</v>
      </c>
      <c r="C314" s="37">
        <v>131.881</v>
      </c>
      <c r="D314" s="37">
        <v>277.16699999999997</v>
      </c>
      <c r="E314" s="43">
        <v>829.952</v>
      </c>
      <c r="F314" s="37">
        <v>1239</v>
      </c>
      <c r="G314" s="37">
        <v>75</v>
      </c>
      <c r="H314" s="45">
        <v>600</v>
      </c>
      <c r="I314" s="37">
        <v>695</v>
      </c>
      <c r="J314" s="37">
        <v>0</v>
      </c>
      <c r="K314" s="38"/>
      <c r="L314" s="38"/>
      <c r="M314" s="38"/>
      <c r="N314" s="38"/>
      <c r="O314" s="38"/>
      <c r="P314" s="38"/>
      <c r="Q314" s="38"/>
      <c r="R314" s="38"/>
      <c r="S314" s="38"/>
      <c r="T314" s="38"/>
    </row>
    <row r="315" spans="1:20" ht="15.75">
      <c r="A315" s="13">
        <v>50739</v>
      </c>
      <c r="B315" s="46">
        <v>30</v>
      </c>
      <c r="C315" s="37">
        <v>122.58</v>
      </c>
      <c r="D315" s="37">
        <v>297.94099999999997</v>
      </c>
      <c r="E315" s="43">
        <v>729.47900000000004</v>
      </c>
      <c r="F315" s="37">
        <v>1150</v>
      </c>
      <c r="G315" s="37">
        <v>100</v>
      </c>
      <c r="H315" s="45">
        <v>600</v>
      </c>
      <c r="I315" s="37">
        <v>695</v>
      </c>
      <c r="J315" s="37">
        <v>50</v>
      </c>
      <c r="K315" s="38"/>
      <c r="L315" s="38"/>
      <c r="M315" s="38"/>
      <c r="N315" s="38"/>
      <c r="O315" s="38"/>
      <c r="P315" s="38"/>
      <c r="Q315" s="38"/>
      <c r="R315" s="38"/>
      <c r="S315" s="38"/>
      <c r="T315" s="38"/>
    </row>
    <row r="316" spans="1:20" ht="15.75">
      <c r="A316" s="13">
        <v>50770</v>
      </c>
      <c r="B316" s="46">
        <v>31</v>
      </c>
      <c r="C316" s="37">
        <v>122.58</v>
      </c>
      <c r="D316" s="37">
        <v>297.94099999999997</v>
      </c>
      <c r="E316" s="43">
        <v>729.47900000000004</v>
      </c>
      <c r="F316" s="37">
        <v>1150</v>
      </c>
      <c r="G316" s="37">
        <v>100</v>
      </c>
      <c r="H316" s="45">
        <v>600</v>
      </c>
      <c r="I316" s="37">
        <v>695</v>
      </c>
      <c r="J316" s="37">
        <v>50</v>
      </c>
      <c r="K316" s="38"/>
      <c r="L316" s="38"/>
      <c r="M316" s="38"/>
      <c r="N316" s="38"/>
      <c r="O316" s="38"/>
      <c r="P316" s="38"/>
      <c r="Q316" s="38"/>
      <c r="R316" s="38"/>
      <c r="S316" s="38"/>
      <c r="T316" s="38"/>
    </row>
    <row r="317" spans="1:20" ht="15.75">
      <c r="A317" s="13">
        <v>50801</v>
      </c>
      <c r="B317" s="46">
        <v>31</v>
      </c>
      <c r="C317" s="37">
        <v>122.58</v>
      </c>
      <c r="D317" s="37">
        <v>297.94099999999997</v>
      </c>
      <c r="E317" s="43">
        <v>729.47900000000004</v>
      </c>
      <c r="F317" s="37">
        <v>1150</v>
      </c>
      <c r="G317" s="37">
        <v>100</v>
      </c>
      <c r="H317" s="45">
        <v>600</v>
      </c>
      <c r="I317" s="37">
        <v>695</v>
      </c>
      <c r="J317" s="37">
        <v>50</v>
      </c>
      <c r="K317" s="38"/>
      <c r="L317" s="38"/>
      <c r="M317" s="38"/>
      <c r="N317" s="38"/>
      <c r="O317" s="38"/>
      <c r="P317" s="38"/>
      <c r="Q317" s="38"/>
      <c r="R317" s="38"/>
      <c r="S317" s="38"/>
      <c r="T317" s="38"/>
    </row>
    <row r="318" spans="1:20" ht="15.75">
      <c r="A318" s="13">
        <v>50829</v>
      </c>
      <c r="B318" s="46">
        <v>28</v>
      </c>
      <c r="C318" s="37">
        <v>122.58</v>
      </c>
      <c r="D318" s="37">
        <v>297.94099999999997</v>
      </c>
      <c r="E318" s="43">
        <v>729.47900000000004</v>
      </c>
      <c r="F318" s="37">
        <v>1150</v>
      </c>
      <c r="G318" s="37">
        <v>100</v>
      </c>
      <c r="H318" s="45">
        <v>600</v>
      </c>
      <c r="I318" s="37">
        <v>695</v>
      </c>
      <c r="J318" s="37">
        <v>50</v>
      </c>
      <c r="K318" s="38"/>
      <c r="L318" s="38"/>
      <c r="M318" s="38"/>
      <c r="N318" s="38"/>
      <c r="O318" s="38"/>
      <c r="P318" s="38"/>
      <c r="Q318" s="38"/>
      <c r="R318" s="38"/>
      <c r="S318" s="38"/>
      <c r="T318" s="38"/>
    </row>
    <row r="319" spans="1:20" ht="15.75">
      <c r="A319" s="13">
        <v>50860</v>
      </c>
      <c r="B319" s="46">
        <v>31</v>
      </c>
      <c r="C319" s="37">
        <v>122.58</v>
      </c>
      <c r="D319" s="37">
        <v>297.94099999999997</v>
      </c>
      <c r="E319" s="43">
        <v>729.47900000000004</v>
      </c>
      <c r="F319" s="37">
        <v>1150</v>
      </c>
      <c r="G319" s="37">
        <v>100</v>
      </c>
      <c r="H319" s="45">
        <v>600</v>
      </c>
      <c r="I319" s="37">
        <v>695</v>
      </c>
      <c r="J319" s="37">
        <v>50</v>
      </c>
      <c r="K319" s="38"/>
      <c r="L319" s="38"/>
      <c r="M319" s="38"/>
      <c r="N319" s="38"/>
      <c r="O319" s="38"/>
      <c r="P319" s="38"/>
      <c r="Q319" s="38"/>
      <c r="R319" s="38"/>
      <c r="S319" s="38"/>
      <c r="T319" s="38"/>
    </row>
    <row r="320" spans="1:20" ht="15.75">
      <c r="A320" s="13">
        <v>50890</v>
      </c>
      <c r="B320" s="46">
        <v>30</v>
      </c>
      <c r="C320" s="37">
        <v>141.29300000000001</v>
      </c>
      <c r="D320" s="37">
        <v>267.99299999999999</v>
      </c>
      <c r="E320" s="43">
        <v>829.71400000000006</v>
      </c>
      <c r="F320" s="37">
        <v>1239</v>
      </c>
      <c r="G320" s="37">
        <v>100</v>
      </c>
      <c r="H320" s="45">
        <v>600</v>
      </c>
      <c r="I320" s="37">
        <v>695</v>
      </c>
      <c r="J320" s="37">
        <v>50</v>
      </c>
      <c r="K320" s="38"/>
      <c r="L320" s="38"/>
      <c r="M320" s="38"/>
      <c r="N320" s="38"/>
      <c r="O320" s="38"/>
      <c r="P320" s="38"/>
      <c r="Q320" s="38"/>
      <c r="R320" s="38"/>
      <c r="S320" s="38"/>
      <c r="T320" s="38"/>
    </row>
    <row r="321" spans="1:20" ht="15.75">
      <c r="A321" s="13">
        <v>50921</v>
      </c>
      <c r="B321" s="46">
        <v>31</v>
      </c>
      <c r="C321" s="37">
        <v>194.20500000000001</v>
      </c>
      <c r="D321" s="37">
        <v>267.46600000000001</v>
      </c>
      <c r="E321" s="43">
        <v>812.32899999999995</v>
      </c>
      <c r="F321" s="37">
        <v>1274</v>
      </c>
      <c r="G321" s="37">
        <v>75</v>
      </c>
      <c r="H321" s="45">
        <v>600</v>
      </c>
      <c r="I321" s="37">
        <v>695</v>
      </c>
      <c r="J321" s="37">
        <v>50</v>
      </c>
      <c r="K321" s="38"/>
      <c r="L321" s="38"/>
      <c r="M321" s="38"/>
      <c r="N321" s="38"/>
      <c r="O321" s="38"/>
      <c r="P321" s="38"/>
      <c r="Q321" s="38"/>
      <c r="R321" s="38"/>
      <c r="S321" s="38"/>
      <c r="T321" s="38"/>
    </row>
    <row r="322" spans="1:20" ht="15.75">
      <c r="A322" s="13">
        <v>50951</v>
      </c>
      <c r="B322" s="46">
        <v>30</v>
      </c>
      <c r="C322" s="37">
        <v>194.20500000000001</v>
      </c>
      <c r="D322" s="37">
        <v>267.46600000000001</v>
      </c>
      <c r="E322" s="43">
        <v>812.32899999999995</v>
      </c>
      <c r="F322" s="37">
        <v>1274</v>
      </c>
      <c r="G322" s="37">
        <v>50</v>
      </c>
      <c r="H322" s="45">
        <v>600</v>
      </c>
      <c r="I322" s="37">
        <v>695</v>
      </c>
      <c r="J322" s="37">
        <v>50</v>
      </c>
      <c r="K322" s="38"/>
      <c r="L322" s="38"/>
      <c r="M322" s="38"/>
      <c r="N322" s="38"/>
      <c r="O322" s="38"/>
      <c r="P322" s="38"/>
      <c r="Q322" s="38"/>
      <c r="R322" s="38"/>
      <c r="S322" s="38"/>
      <c r="T322" s="38"/>
    </row>
    <row r="323" spans="1:20" ht="15.75">
      <c r="A323" s="13">
        <v>50982</v>
      </c>
      <c r="B323" s="46">
        <v>31</v>
      </c>
      <c r="C323" s="37">
        <v>194.20500000000001</v>
      </c>
      <c r="D323" s="37">
        <v>267.46600000000001</v>
      </c>
      <c r="E323" s="43">
        <v>812.32899999999995</v>
      </c>
      <c r="F323" s="37">
        <v>1274</v>
      </c>
      <c r="G323" s="37">
        <v>50</v>
      </c>
      <c r="H323" s="45">
        <v>600</v>
      </c>
      <c r="I323" s="37">
        <v>695</v>
      </c>
      <c r="J323" s="37">
        <v>0</v>
      </c>
      <c r="K323" s="38"/>
      <c r="L323" s="38"/>
      <c r="M323" s="38"/>
      <c r="N323" s="38"/>
      <c r="O323" s="38"/>
      <c r="P323" s="38"/>
      <c r="Q323" s="38"/>
      <c r="R323" s="38"/>
      <c r="S323" s="38"/>
      <c r="T323" s="38"/>
    </row>
    <row r="324" spans="1:20" ht="15.75">
      <c r="A324" s="13">
        <v>51013</v>
      </c>
      <c r="B324" s="46">
        <v>31</v>
      </c>
      <c r="C324" s="37">
        <v>194.20500000000001</v>
      </c>
      <c r="D324" s="37">
        <v>267.46600000000001</v>
      </c>
      <c r="E324" s="43">
        <v>812.32899999999995</v>
      </c>
      <c r="F324" s="37">
        <v>1274</v>
      </c>
      <c r="G324" s="37">
        <v>50</v>
      </c>
      <c r="H324" s="45">
        <v>600</v>
      </c>
      <c r="I324" s="37">
        <v>695</v>
      </c>
      <c r="J324" s="37">
        <v>0</v>
      </c>
      <c r="K324" s="38"/>
      <c r="L324" s="38"/>
      <c r="M324" s="38"/>
      <c r="N324" s="38"/>
      <c r="O324" s="38"/>
      <c r="P324" s="38"/>
      <c r="Q324" s="38"/>
      <c r="R324" s="38"/>
      <c r="S324" s="38"/>
      <c r="T324" s="38"/>
    </row>
    <row r="325" spans="1:20" ht="15.75">
      <c r="A325" s="13">
        <v>51043</v>
      </c>
      <c r="B325" s="46">
        <v>30</v>
      </c>
      <c r="C325" s="37">
        <v>194.20500000000001</v>
      </c>
      <c r="D325" s="37">
        <v>267.46600000000001</v>
      </c>
      <c r="E325" s="43">
        <v>812.32899999999995</v>
      </c>
      <c r="F325" s="37">
        <v>1274</v>
      </c>
      <c r="G325" s="37">
        <v>50</v>
      </c>
      <c r="H325" s="45">
        <v>600</v>
      </c>
      <c r="I325" s="37">
        <v>695</v>
      </c>
      <c r="J325" s="37">
        <v>0</v>
      </c>
      <c r="K325" s="38"/>
      <c r="L325" s="38"/>
      <c r="M325" s="38"/>
      <c r="N325" s="38"/>
      <c r="O325" s="38"/>
      <c r="P325" s="38"/>
      <c r="Q325" s="38"/>
      <c r="R325" s="38"/>
      <c r="S325" s="38"/>
      <c r="T325" s="38"/>
    </row>
    <row r="326" spans="1:20" ht="15.75">
      <c r="A326" s="13">
        <v>51074</v>
      </c>
      <c r="B326" s="46">
        <v>31</v>
      </c>
      <c r="C326" s="37">
        <v>131.881</v>
      </c>
      <c r="D326" s="37">
        <v>277.16699999999997</v>
      </c>
      <c r="E326" s="43">
        <v>829.952</v>
      </c>
      <c r="F326" s="37">
        <v>1239</v>
      </c>
      <c r="G326" s="37">
        <v>75</v>
      </c>
      <c r="H326" s="45">
        <v>600</v>
      </c>
      <c r="I326" s="37">
        <v>695</v>
      </c>
      <c r="J326" s="37">
        <v>0</v>
      </c>
      <c r="K326" s="38"/>
      <c r="L326" s="38"/>
      <c r="M326" s="38"/>
      <c r="N326" s="38"/>
      <c r="O326" s="38"/>
      <c r="P326" s="38"/>
      <c r="Q326" s="38"/>
      <c r="R326" s="38"/>
      <c r="S326" s="38"/>
      <c r="T326" s="38"/>
    </row>
    <row r="327" spans="1:20" ht="15.75">
      <c r="A327" s="13">
        <v>51104</v>
      </c>
      <c r="B327" s="46">
        <v>30</v>
      </c>
      <c r="C327" s="37">
        <v>122.58</v>
      </c>
      <c r="D327" s="37">
        <v>297.94099999999997</v>
      </c>
      <c r="E327" s="43">
        <v>729.47900000000004</v>
      </c>
      <c r="F327" s="37">
        <v>1150</v>
      </c>
      <c r="G327" s="37">
        <v>100</v>
      </c>
      <c r="H327" s="45">
        <v>600</v>
      </c>
      <c r="I327" s="37">
        <v>695</v>
      </c>
      <c r="J327" s="37">
        <v>50</v>
      </c>
      <c r="K327" s="38"/>
      <c r="L327" s="38"/>
      <c r="M327" s="38"/>
      <c r="N327" s="38"/>
      <c r="O327" s="38"/>
      <c r="P327" s="38"/>
      <c r="Q327" s="38"/>
      <c r="R327" s="38"/>
      <c r="S327" s="38"/>
      <c r="T327" s="38"/>
    </row>
    <row r="328" spans="1:20" ht="15.75">
      <c r="A328" s="13">
        <v>51135</v>
      </c>
      <c r="B328" s="46">
        <v>31</v>
      </c>
      <c r="C328" s="37">
        <v>122.58</v>
      </c>
      <c r="D328" s="37">
        <v>297.94099999999997</v>
      </c>
      <c r="E328" s="43">
        <v>729.47900000000004</v>
      </c>
      <c r="F328" s="37">
        <v>1150</v>
      </c>
      <c r="G328" s="37">
        <v>100</v>
      </c>
      <c r="H328" s="45">
        <v>600</v>
      </c>
      <c r="I328" s="37">
        <v>695</v>
      </c>
      <c r="J328" s="37">
        <v>50</v>
      </c>
      <c r="K328" s="38"/>
      <c r="L328" s="38"/>
      <c r="M328" s="38"/>
      <c r="N328" s="38"/>
      <c r="O328" s="38"/>
      <c r="P328" s="38"/>
      <c r="Q328" s="38"/>
      <c r="R328" s="38"/>
      <c r="S328" s="38"/>
      <c r="T328" s="38"/>
    </row>
    <row r="329" spans="1:20" ht="15.75">
      <c r="A329" s="13">
        <v>51166</v>
      </c>
      <c r="B329" s="46">
        <v>31</v>
      </c>
      <c r="C329" s="37">
        <v>122.58</v>
      </c>
      <c r="D329" s="37">
        <v>297.94099999999997</v>
      </c>
      <c r="E329" s="43">
        <v>729.47900000000004</v>
      </c>
      <c r="F329" s="37">
        <v>1150</v>
      </c>
      <c r="G329" s="37">
        <v>100</v>
      </c>
      <c r="H329" s="45">
        <v>600</v>
      </c>
      <c r="I329" s="37">
        <v>695</v>
      </c>
      <c r="J329" s="37">
        <v>50</v>
      </c>
      <c r="K329" s="38"/>
      <c r="L329" s="38"/>
      <c r="M329" s="38"/>
      <c r="N329" s="38"/>
      <c r="O329" s="38"/>
      <c r="P329" s="38"/>
      <c r="Q329" s="38"/>
      <c r="R329" s="38"/>
      <c r="S329" s="38"/>
      <c r="T329" s="38"/>
    </row>
    <row r="330" spans="1:20" ht="15.75">
      <c r="A330" s="13">
        <v>51194</v>
      </c>
      <c r="B330" s="46">
        <v>29</v>
      </c>
      <c r="C330" s="37">
        <v>122.58</v>
      </c>
      <c r="D330" s="37">
        <v>297.94099999999997</v>
      </c>
      <c r="E330" s="43">
        <v>729.47900000000004</v>
      </c>
      <c r="F330" s="37">
        <v>1150</v>
      </c>
      <c r="G330" s="37">
        <v>100</v>
      </c>
      <c r="H330" s="45">
        <v>600</v>
      </c>
      <c r="I330" s="37">
        <v>695</v>
      </c>
      <c r="J330" s="37">
        <v>50</v>
      </c>
      <c r="K330" s="38"/>
      <c r="L330" s="38"/>
      <c r="M330" s="38"/>
      <c r="N330" s="38"/>
      <c r="O330" s="38"/>
      <c r="P330" s="38"/>
      <c r="Q330" s="38"/>
      <c r="R330" s="38"/>
      <c r="S330" s="38"/>
      <c r="T330" s="38"/>
    </row>
    <row r="331" spans="1:20" ht="15.75">
      <c r="A331" s="13">
        <v>51226</v>
      </c>
      <c r="B331" s="46">
        <v>31</v>
      </c>
      <c r="C331" s="37">
        <v>122.58</v>
      </c>
      <c r="D331" s="37">
        <v>297.94099999999997</v>
      </c>
      <c r="E331" s="43">
        <v>729.47900000000004</v>
      </c>
      <c r="F331" s="37">
        <v>1150</v>
      </c>
      <c r="G331" s="37">
        <v>100</v>
      </c>
      <c r="H331" s="45">
        <v>600</v>
      </c>
      <c r="I331" s="37">
        <v>695</v>
      </c>
      <c r="J331" s="37">
        <v>50</v>
      </c>
      <c r="K331" s="38"/>
      <c r="L331" s="38"/>
      <c r="M331" s="38"/>
      <c r="N331" s="38"/>
      <c r="O331" s="38"/>
      <c r="P331" s="38"/>
      <c r="Q331" s="38"/>
      <c r="R331" s="38"/>
      <c r="S331" s="38"/>
      <c r="T331" s="38"/>
    </row>
    <row r="332" spans="1:20" ht="15.75">
      <c r="A332" s="13">
        <v>51256</v>
      </c>
      <c r="B332" s="46">
        <v>30</v>
      </c>
      <c r="C332" s="37">
        <v>141.29300000000001</v>
      </c>
      <c r="D332" s="37">
        <v>267.99299999999999</v>
      </c>
      <c r="E332" s="43">
        <v>829.71400000000006</v>
      </c>
      <c r="F332" s="37">
        <v>1239</v>
      </c>
      <c r="G332" s="37">
        <v>100</v>
      </c>
      <c r="H332" s="45">
        <v>600</v>
      </c>
      <c r="I332" s="37">
        <v>695</v>
      </c>
      <c r="J332" s="37">
        <v>50</v>
      </c>
      <c r="K332" s="38"/>
      <c r="L332" s="38"/>
      <c r="M332" s="38"/>
      <c r="N332" s="38"/>
      <c r="O332" s="38"/>
      <c r="P332" s="38"/>
      <c r="Q332" s="38"/>
      <c r="R332" s="38"/>
      <c r="S332" s="38"/>
      <c r="T332" s="38"/>
    </row>
    <row r="333" spans="1:20" ht="15.75">
      <c r="A333" s="13">
        <v>51287</v>
      </c>
      <c r="B333" s="46">
        <v>31</v>
      </c>
      <c r="C333" s="37">
        <v>194.20500000000001</v>
      </c>
      <c r="D333" s="37">
        <v>267.46600000000001</v>
      </c>
      <c r="E333" s="43">
        <v>812.32899999999995</v>
      </c>
      <c r="F333" s="37">
        <v>1274</v>
      </c>
      <c r="G333" s="37">
        <v>75</v>
      </c>
      <c r="H333" s="45">
        <v>600</v>
      </c>
      <c r="I333" s="37">
        <v>695</v>
      </c>
      <c r="J333" s="37">
        <v>50</v>
      </c>
      <c r="K333" s="38"/>
      <c r="L333" s="38"/>
      <c r="M333" s="38"/>
      <c r="N333" s="38"/>
      <c r="O333" s="38"/>
      <c r="P333" s="38"/>
      <c r="Q333" s="38"/>
      <c r="R333" s="38"/>
      <c r="S333" s="38"/>
      <c r="T333" s="38"/>
    </row>
    <row r="334" spans="1:20" ht="15.75">
      <c r="A334" s="13">
        <v>51317</v>
      </c>
      <c r="B334" s="46">
        <v>30</v>
      </c>
      <c r="C334" s="37">
        <v>194.20500000000001</v>
      </c>
      <c r="D334" s="37">
        <v>267.46600000000001</v>
      </c>
      <c r="E334" s="43">
        <v>812.32899999999995</v>
      </c>
      <c r="F334" s="37">
        <v>1274</v>
      </c>
      <c r="G334" s="37">
        <v>50</v>
      </c>
      <c r="H334" s="45">
        <v>600</v>
      </c>
      <c r="I334" s="37">
        <v>695</v>
      </c>
      <c r="J334" s="37">
        <v>50</v>
      </c>
      <c r="K334" s="38"/>
      <c r="L334" s="38"/>
      <c r="M334" s="38"/>
      <c r="N334" s="38"/>
      <c r="O334" s="38"/>
      <c r="P334" s="38"/>
      <c r="Q334" s="38"/>
      <c r="R334" s="38"/>
      <c r="S334" s="38"/>
      <c r="T334" s="38"/>
    </row>
    <row r="335" spans="1:20" ht="15.75">
      <c r="A335" s="13">
        <v>51348</v>
      </c>
      <c r="B335" s="46">
        <v>31</v>
      </c>
      <c r="C335" s="37">
        <v>194.20500000000001</v>
      </c>
      <c r="D335" s="37">
        <v>267.46600000000001</v>
      </c>
      <c r="E335" s="43">
        <v>812.32899999999995</v>
      </c>
      <c r="F335" s="37">
        <v>1274</v>
      </c>
      <c r="G335" s="37">
        <v>50</v>
      </c>
      <c r="H335" s="45">
        <v>600</v>
      </c>
      <c r="I335" s="37">
        <v>695</v>
      </c>
      <c r="J335" s="37">
        <v>0</v>
      </c>
      <c r="K335" s="38"/>
      <c r="L335" s="38"/>
      <c r="M335" s="38"/>
      <c r="N335" s="38"/>
      <c r="O335" s="38"/>
      <c r="P335" s="38"/>
      <c r="Q335" s="38"/>
      <c r="R335" s="38"/>
      <c r="S335" s="38"/>
      <c r="T335" s="38"/>
    </row>
    <row r="336" spans="1:20" ht="15.75">
      <c r="A336" s="13">
        <v>51379</v>
      </c>
      <c r="B336" s="46">
        <v>31</v>
      </c>
      <c r="C336" s="37">
        <v>194.20500000000001</v>
      </c>
      <c r="D336" s="37">
        <v>267.46600000000001</v>
      </c>
      <c r="E336" s="43">
        <v>812.32899999999995</v>
      </c>
      <c r="F336" s="37">
        <v>1274</v>
      </c>
      <c r="G336" s="37">
        <v>50</v>
      </c>
      <c r="H336" s="45">
        <v>600</v>
      </c>
      <c r="I336" s="37">
        <v>695</v>
      </c>
      <c r="J336" s="37">
        <v>0</v>
      </c>
      <c r="K336" s="38"/>
      <c r="L336" s="38"/>
      <c r="M336" s="38"/>
      <c r="N336" s="38"/>
      <c r="O336" s="38"/>
      <c r="P336" s="38"/>
      <c r="Q336" s="38"/>
      <c r="R336" s="38"/>
      <c r="S336" s="38"/>
      <c r="T336" s="38"/>
    </row>
    <row r="337" spans="1:20" ht="15.75">
      <c r="A337" s="13">
        <v>51409</v>
      </c>
      <c r="B337" s="46">
        <v>30</v>
      </c>
      <c r="C337" s="37">
        <v>194.20500000000001</v>
      </c>
      <c r="D337" s="37">
        <v>267.46600000000001</v>
      </c>
      <c r="E337" s="43">
        <v>812.32899999999995</v>
      </c>
      <c r="F337" s="37">
        <v>1274</v>
      </c>
      <c r="G337" s="37">
        <v>50</v>
      </c>
      <c r="H337" s="45">
        <v>600</v>
      </c>
      <c r="I337" s="37">
        <v>695</v>
      </c>
      <c r="J337" s="37">
        <v>0</v>
      </c>
      <c r="K337" s="38"/>
      <c r="L337" s="38"/>
      <c r="M337" s="38"/>
      <c r="N337" s="38"/>
      <c r="O337" s="38"/>
      <c r="P337" s="38"/>
      <c r="Q337" s="38"/>
      <c r="R337" s="38"/>
      <c r="S337" s="38"/>
      <c r="T337" s="38"/>
    </row>
    <row r="338" spans="1:20" ht="15.75">
      <c r="A338" s="13">
        <v>51440</v>
      </c>
      <c r="B338" s="46">
        <v>31</v>
      </c>
      <c r="C338" s="37">
        <v>131.881</v>
      </c>
      <c r="D338" s="37">
        <v>277.16699999999997</v>
      </c>
      <c r="E338" s="43">
        <v>829.952</v>
      </c>
      <c r="F338" s="37">
        <v>1239</v>
      </c>
      <c r="G338" s="37">
        <v>75</v>
      </c>
      <c r="H338" s="45">
        <v>600</v>
      </c>
      <c r="I338" s="37">
        <v>695</v>
      </c>
      <c r="J338" s="37">
        <v>0</v>
      </c>
      <c r="K338" s="38"/>
      <c r="L338" s="38"/>
      <c r="M338" s="38"/>
      <c r="N338" s="38"/>
      <c r="O338" s="38"/>
      <c r="P338" s="38"/>
      <c r="Q338" s="38"/>
      <c r="R338" s="38"/>
      <c r="S338" s="38"/>
      <c r="T338" s="38"/>
    </row>
    <row r="339" spans="1:20" ht="15.75">
      <c r="A339" s="13">
        <v>51470</v>
      </c>
      <c r="B339" s="46">
        <v>30</v>
      </c>
      <c r="C339" s="37">
        <v>122.58</v>
      </c>
      <c r="D339" s="37">
        <v>297.94099999999997</v>
      </c>
      <c r="E339" s="43">
        <v>729.47900000000004</v>
      </c>
      <c r="F339" s="37">
        <v>1150</v>
      </c>
      <c r="G339" s="37">
        <v>100</v>
      </c>
      <c r="H339" s="45">
        <v>600</v>
      </c>
      <c r="I339" s="37">
        <v>695</v>
      </c>
      <c r="J339" s="37">
        <v>50</v>
      </c>
      <c r="K339" s="38"/>
      <c r="L339" s="38"/>
      <c r="M339" s="38"/>
      <c r="N339" s="38"/>
      <c r="O339" s="38"/>
      <c r="P339" s="38"/>
      <c r="Q339" s="38"/>
      <c r="R339" s="38"/>
      <c r="S339" s="38"/>
      <c r="T339" s="38"/>
    </row>
    <row r="340" spans="1:20" ht="15.75">
      <c r="A340" s="13">
        <v>51501</v>
      </c>
      <c r="B340" s="46">
        <v>31</v>
      </c>
      <c r="C340" s="37">
        <v>122.58</v>
      </c>
      <c r="D340" s="37">
        <v>297.94099999999997</v>
      </c>
      <c r="E340" s="43">
        <v>729.47900000000004</v>
      </c>
      <c r="F340" s="37">
        <v>1150</v>
      </c>
      <c r="G340" s="37">
        <v>100</v>
      </c>
      <c r="H340" s="45">
        <v>600</v>
      </c>
      <c r="I340" s="37">
        <v>695</v>
      </c>
      <c r="J340" s="37">
        <v>50</v>
      </c>
      <c r="K340" s="38"/>
      <c r="L340" s="38"/>
      <c r="M340" s="38"/>
      <c r="N340" s="38"/>
      <c r="O340" s="38"/>
      <c r="P340" s="38"/>
      <c r="Q340" s="38"/>
      <c r="R340" s="38"/>
      <c r="S340" s="38"/>
      <c r="T340" s="38"/>
    </row>
    <row r="341" spans="1:20" ht="15.75">
      <c r="A341" s="13">
        <v>51532</v>
      </c>
      <c r="B341" s="46">
        <v>31</v>
      </c>
      <c r="C341" s="37">
        <v>122.58</v>
      </c>
      <c r="D341" s="37">
        <v>297.94099999999997</v>
      </c>
      <c r="E341" s="43">
        <v>729.47900000000004</v>
      </c>
      <c r="F341" s="37">
        <v>1150</v>
      </c>
      <c r="G341" s="37">
        <v>100</v>
      </c>
      <c r="H341" s="45">
        <v>600</v>
      </c>
      <c r="I341" s="37">
        <v>695</v>
      </c>
      <c r="J341" s="37">
        <v>50</v>
      </c>
      <c r="K341" s="38"/>
      <c r="L341" s="38"/>
      <c r="M341" s="38"/>
      <c r="N341" s="38"/>
      <c r="O341" s="38"/>
      <c r="P341" s="38"/>
      <c r="Q341" s="38"/>
      <c r="R341" s="38"/>
      <c r="S341" s="38"/>
      <c r="T341" s="38"/>
    </row>
    <row r="342" spans="1:20" ht="15.75">
      <c r="A342" s="13">
        <v>51560</v>
      </c>
      <c r="B342" s="46">
        <v>28</v>
      </c>
      <c r="C342" s="37">
        <v>122.58</v>
      </c>
      <c r="D342" s="37">
        <v>297.94099999999997</v>
      </c>
      <c r="E342" s="43">
        <v>729.47900000000004</v>
      </c>
      <c r="F342" s="37">
        <v>1150</v>
      </c>
      <c r="G342" s="37">
        <v>100</v>
      </c>
      <c r="H342" s="45">
        <v>600</v>
      </c>
      <c r="I342" s="37">
        <v>695</v>
      </c>
      <c r="J342" s="37">
        <v>50</v>
      </c>
      <c r="K342" s="38"/>
      <c r="L342" s="38"/>
      <c r="M342" s="38"/>
      <c r="N342" s="38"/>
      <c r="O342" s="38"/>
      <c r="P342" s="38"/>
      <c r="Q342" s="38"/>
      <c r="R342" s="38"/>
      <c r="S342" s="38"/>
      <c r="T342" s="38"/>
    </row>
    <row r="343" spans="1:20" ht="15.75">
      <c r="A343" s="13">
        <v>51591</v>
      </c>
      <c r="B343" s="46">
        <v>31</v>
      </c>
      <c r="C343" s="37">
        <v>122.58</v>
      </c>
      <c r="D343" s="37">
        <v>297.94099999999997</v>
      </c>
      <c r="E343" s="43">
        <v>729.47900000000004</v>
      </c>
      <c r="F343" s="37">
        <v>1150</v>
      </c>
      <c r="G343" s="37">
        <v>100</v>
      </c>
      <c r="H343" s="45">
        <v>600</v>
      </c>
      <c r="I343" s="37">
        <v>695</v>
      </c>
      <c r="J343" s="37">
        <v>50</v>
      </c>
      <c r="K343" s="38"/>
      <c r="L343" s="38"/>
      <c r="M343" s="38"/>
      <c r="N343" s="38"/>
      <c r="O343" s="38"/>
      <c r="P343" s="38"/>
      <c r="Q343" s="38"/>
      <c r="R343" s="38"/>
      <c r="S343" s="38"/>
      <c r="T343" s="38"/>
    </row>
    <row r="344" spans="1:20" ht="15.75">
      <c r="A344" s="13">
        <v>51621</v>
      </c>
      <c r="B344" s="46">
        <v>30</v>
      </c>
      <c r="C344" s="37">
        <v>141.29300000000001</v>
      </c>
      <c r="D344" s="37">
        <v>267.99299999999999</v>
      </c>
      <c r="E344" s="43">
        <v>829.71400000000006</v>
      </c>
      <c r="F344" s="37">
        <v>1239</v>
      </c>
      <c r="G344" s="37">
        <v>100</v>
      </c>
      <c r="H344" s="45">
        <v>600</v>
      </c>
      <c r="I344" s="37">
        <v>695</v>
      </c>
      <c r="J344" s="37">
        <v>50</v>
      </c>
      <c r="K344" s="38"/>
      <c r="L344" s="38"/>
      <c r="M344" s="38"/>
      <c r="N344" s="38"/>
      <c r="O344" s="38"/>
      <c r="P344" s="38"/>
      <c r="Q344" s="38"/>
      <c r="R344" s="38"/>
      <c r="S344" s="38"/>
      <c r="T344" s="38"/>
    </row>
    <row r="345" spans="1:20" ht="15.75">
      <c r="A345" s="13">
        <v>51652</v>
      </c>
      <c r="B345" s="46">
        <v>31</v>
      </c>
      <c r="C345" s="37">
        <v>194.20500000000001</v>
      </c>
      <c r="D345" s="37">
        <v>267.46600000000001</v>
      </c>
      <c r="E345" s="43">
        <v>812.32899999999995</v>
      </c>
      <c r="F345" s="37">
        <v>1274</v>
      </c>
      <c r="G345" s="37">
        <v>75</v>
      </c>
      <c r="H345" s="45">
        <v>600</v>
      </c>
      <c r="I345" s="37">
        <v>695</v>
      </c>
      <c r="J345" s="37">
        <v>50</v>
      </c>
      <c r="K345" s="38"/>
      <c r="L345" s="38"/>
      <c r="M345" s="38"/>
      <c r="N345" s="38"/>
      <c r="O345" s="38"/>
      <c r="P345" s="38"/>
      <c r="Q345" s="38"/>
      <c r="R345" s="38"/>
      <c r="S345" s="38"/>
      <c r="T345" s="38"/>
    </row>
    <row r="346" spans="1:20" ht="15.75">
      <c r="A346" s="13">
        <v>51682</v>
      </c>
      <c r="B346" s="46">
        <v>30</v>
      </c>
      <c r="C346" s="37">
        <v>194.20500000000001</v>
      </c>
      <c r="D346" s="37">
        <v>267.46600000000001</v>
      </c>
      <c r="E346" s="43">
        <v>812.32899999999995</v>
      </c>
      <c r="F346" s="37">
        <v>1274</v>
      </c>
      <c r="G346" s="37">
        <v>50</v>
      </c>
      <c r="H346" s="45">
        <v>600</v>
      </c>
      <c r="I346" s="37">
        <v>695</v>
      </c>
      <c r="J346" s="37">
        <v>50</v>
      </c>
      <c r="K346" s="38"/>
      <c r="L346" s="38"/>
      <c r="M346" s="38"/>
      <c r="N346" s="38"/>
      <c r="O346" s="38"/>
      <c r="P346" s="38"/>
      <c r="Q346" s="38"/>
      <c r="R346" s="38"/>
      <c r="S346" s="38"/>
      <c r="T346" s="38"/>
    </row>
    <row r="347" spans="1:20" ht="15.75">
      <c r="A347" s="13">
        <v>51713</v>
      </c>
      <c r="B347" s="46">
        <v>31</v>
      </c>
      <c r="C347" s="37">
        <v>194.20500000000001</v>
      </c>
      <c r="D347" s="37">
        <v>267.46600000000001</v>
      </c>
      <c r="E347" s="43">
        <v>812.32899999999995</v>
      </c>
      <c r="F347" s="37">
        <v>1274</v>
      </c>
      <c r="G347" s="37">
        <v>50</v>
      </c>
      <c r="H347" s="45">
        <v>600</v>
      </c>
      <c r="I347" s="37">
        <v>695</v>
      </c>
      <c r="J347" s="37">
        <v>0</v>
      </c>
      <c r="K347" s="38"/>
      <c r="L347" s="38"/>
      <c r="M347" s="38"/>
      <c r="N347" s="38"/>
      <c r="O347" s="38"/>
      <c r="P347" s="38"/>
      <c r="Q347" s="38"/>
      <c r="R347" s="38"/>
      <c r="S347" s="38"/>
      <c r="T347" s="38"/>
    </row>
    <row r="348" spans="1:20" ht="15.75">
      <c r="A348" s="13">
        <v>51744</v>
      </c>
      <c r="B348" s="46">
        <v>31</v>
      </c>
      <c r="C348" s="37">
        <v>194.20500000000001</v>
      </c>
      <c r="D348" s="37">
        <v>267.46600000000001</v>
      </c>
      <c r="E348" s="43">
        <v>812.32899999999995</v>
      </c>
      <c r="F348" s="37">
        <v>1274</v>
      </c>
      <c r="G348" s="37">
        <v>50</v>
      </c>
      <c r="H348" s="45">
        <v>600</v>
      </c>
      <c r="I348" s="37">
        <v>695</v>
      </c>
      <c r="J348" s="37">
        <v>0</v>
      </c>
      <c r="K348" s="38"/>
      <c r="L348" s="38"/>
      <c r="M348" s="38"/>
      <c r="N348" s="38"/>
      <c r="O348" s="38"/>
      <c r="P348" s="38"/>
      <c r="Q348" s="38"/>
      <c r="R348" s="38"/>
      <c r="S348" s="38"/>
      <c r="T348" s="38"/>
    </row>
    <row r="349" spans="1:20" ht="15.75">
      <c r="A349" s="13">
        <v>51774</v>
      </c>
      <c r="B349" s="46">
        <v>30</v>
      </c>
      <c r="C349" s="37">
        <v>194.20500000000001</v>
      </c>
      <c r="D349" s="37">
        <v>267.46600000000001</v>
      </c>
      <c r="E349" s="43">
        <v>812.32899999999995</v>
      </c>
      <c r="F349" s="37">
        <v>1274</v>
      </c>
      <c r="G349" s="37">
        <v>50</v>
      </c>
      <c r="H349" s="45">
        <v>600</v>
      </c>
      <c r="I349" s="37">
        <v>695</v>
      </c>
      <c r="J349" s="37">
        <v>0</v>
      </c>
      <c r="K349" s="38"/>
      <c r="L349" s="38"/>
      <c r="M349" s="38"/>
      <c r="N349" s="38"/>
      <c r="O349" s="38"/>
      <c r="P349" s="38"/>
      <c r="Q349" s="38"/>
      <c r="R349" s="38"/>
      <c r="S349" s="38"/>
      <c r="T349" s="38"/>
    </row>
    <row r="350" spans="1:20" ht="15.75">
      <c r="A350" s="13">
        <v>51805</v>
      </c>
      <c r="B350" s="46">
        <v>31</v>
      </c>
      <c r="C350" s="37">
        <v>131.881</v>
      </c>
      <c r="D350" s="37">
        <v>277.16699999999997</v>
      </c>
      <c r="E350" s="43">
        <v>829.952</v>
      </c>
      <c r="F350" s="37">
        <v>1239</v>
      </c>
      <c r="G350" s="37">
        <v>75</v>
      </c>
      <c r="H350" s="45">
        <v>600</v>
      </c>
      <c r="I350" s="37">
        <v>695</v>
      </c>
      <c r="J350" s="37">
        <v>0</v>
      </c>
      <c r="K350" s="38"/>
      <c r="L350" s="38"/>
      <c r="M350" s="38"/>
      <c r="N350" s="38"/>
      <c r="O350" s="38"/>
      <c r="P350" s="38"/>
      <c r="Q350" s="38"/>
      <c r="R350" s="38"/>
      <c r="S350" s="38"/>
      <c r="T350" s="38"/>
    </row>
    <row r="351" spans="1:20" ht="15.75">
      <c r="A351" s="13">
        <v>51835</v>
      </c>
      <c r="B351" s="46">
        <v>30</v>
      </c>
      <c r="C351" s="37">
        <v>122.58</v>
      </c>
      <c r="D351" s="37">
        <v>297.94099999999997</v>
      </c>
      <c r="E351" s="43">
        <v>729.47900000000004</v>
      </c>
      <c r="F351" s="37">
        <v>1150</v>
      </c>
      <c r="G351" s="37">
        <v>100</v>
      </c>
      <c r="H351" s="45">
        <v>600</v>
      </c>
      <c r="I351" s="37">
        <v>695</v>
      </c>
      <c r="J351" s="37">
        <v>50</v>
      </c>
      <c r="K351" s="38"/>
      <c r="L351" s="38"/>
      <c r="M351" s="38"/>
      <c r="N351" s="38"/>
      <c r="O351" s="38"/>
      <c r="P351" s="38"/>
      <c r="Q351" s="38"/>
      <c r="R351" s="38"/>
      <c r="S351" s="38"/>
      <c r="T351" s="38"/>
    </row>
    <row r="352" spans="1:20" ht="15.75">
      <c r="A352" s="13">
        <v>51866</v>
      </c>
      <c r="B352" s="46">
        <v>31</v>
      </c>
      <c r="C352" s="37">
        <v>122.58</v>
      </c>
      <c r="D352" s="37">
        <v>297.94099999999997</v>
      </c>
      <c r="E352" s="43">
        <v>729.47900000000004</v>
      </c>
      <c r="F352" s="37">
        <v>1150</v>
      </c>
      <c r="G352" s="37">
        <v>100</v>
      </c>
      <c r="H352" s="45">
        <v>600</v>
      </c>
      <c r="I352" s="37">
        <v>695</v>
      </c>
      <c r="J352" s="37">
        <v>50</v>
      </c>
      <c r="K352" s="38"/>
      <c r="L352" s="38"/>
      <c r="M352" s="38"/>
      <c r="N352" s="38"/>
      <c r="O352" s="38"/>
      <c r="P352" s="38"/>
      <c r="Q352" s="38"/>
      <c r="R352" s="38"/>
      <c r="S352" s="38"/>
      <c r="T352" s="38"/>
    </row>
    <row r="353" spans="1:20" ht="15.75">
      <c r="A353" s="13">
        <v>51897</v>
      </c>
      <c r="B353" s="46">
        <v>31</v>
      </c>
      <c r="C353" s="37">
        <v>122.58</v>
      </c>
      <c r="D353" s="37">
        <v>297.94099999999997</v>
      </c>
      <c r="E353" s="43">
        <v>729.47900000000004</v>
      </c>
      <c r="F353" s="37">
        <v>1150</v>
      </c>
      <c r="G353" s="37">
        <v>100</v>
      </c>
      <c r="H353" s="45">
        <v>600</v>
      </c>
      <c r="I353" s="37">
        <v>695</v>
      </c>
      <c r="J353" s="37">
        <v>50</v>
      </c>
      <c r="K353" s="38"/>
      <c r="L353" s="38"/>
      <c r="M353" s="38"/>
      <c r="N353" s="38"/>
      <c r="O353" s="38"/>
      <c r="P353" s="38"/>
      <c r="Q353" s="38"/>
      <c r="R353" s="38"/>
      <c r="S353" s="38"/>
      <c r="T353" s="38"/>
    </row>
    <row r="354" spans="1:20" ht="15.75">
      <c r="A354" s="13">
        <v>51925</v>
      </c>
      <c r="B354" s="46">
        <v>28</v>
      </c>
      <c r="C354" s="37">
        <v>122.58</v>
      </c>
      <c r="D354" s="37">
        <v>297.94099999999997</v>
      </c>
      <c r="E354" s="43">
        <v>729.47900000000004</v>
      </c>
      <c r="F354" s="37">
        <v>1150</v>
      </c>
      <c r="G354" s="37">
        <v>100</v>
      </c>
      <c r="H354" s="45">
        <v>600</v>
      </c>
      <c r="I354" s="37">
        <v>695</v>
      </c>
      <c r="J354" s="37">
        <v>50</v>
      </c>
      <c r="K354" s="38"/>
      <c r="L354" s="38"/>
      <c r="M354" s="38"/>
      <c r="N354" s="38"/>
      <c r="O354" s="38"/>
      <c r="P354" s="38"/>
      <c r="Q354" s="38"/>
      <c r="R354" s="38"/>
      <c r="S354" s="38"/>
      <c r="T354" s="38"/>
    </row>
    <row r="355" spans="1:20" ht="15.75">
      <c r="A355" s="13">
        <v>51956</v>
      </c>
      <c r="B355" s="46">
        <v>31</v>
      </c>
      <c r="C355" s="37">
        <v>122.58</v>
      </c>
      <c r="D355" s="37">
        <v>297.94099999999997</v>
      </c>
      <c r="E355" s="43">
        <v>729.47900000000004</v>
      </c>
      <c r="F355" s="37">
        <v>1150</v>
      </c>
      <c r="G355" s="37">
        <v>100</v>
      </c>
      <c r="H355" s="45">
        <v>600</v>
      </c>
      <c r="I355" s="37">
        <v>695</v>
      </c>
      <c r="J355" s="37">
        <v>50</v>
      </c>
      <c r="K355" s="38"/>
      <c r="L355" s="38"/>
      <c r="M355" s="38"/>
      <c r="N355" s="38"/>
      <c r="O355" s="38"/>
      <c r="P355" s="38"/>
      <c r="Q355" s="38"/>
      <c r="R355" s="38"/>
      <c r="S355" s="38"/>
      <c r="T355" s="38"/>
    </row>
    <row r="356" spans="1:20" ht="15.75">
      <c r="A356" s="13">
        <v>51986</v>
      </c>
      <c r="B356" s="46">
        <v>30</v>
      </c>
      <c r="C356" s="37">
        <v>141.29300000000001</v>
      </c>
      <c r="D356" s="37">
        <v>267.99299999999999</v>
      </c>
      <c r="E356" s="43">
        <v>829.71400000000006</v>
      </c>
      <c r="F356" s="37">
        <v>1239</v>
      </c>
      <c r="G356" s="37">
        <v>100</v>
      </c>
      <c r="H356" s="45">
        <v>600</v>
      </c>
      <c r="I356" s="37">
        <v>695</v>
      </c>
      <c r="J356" s="37">
        <v>50</v>
      </c>
      <c r="K356" s="38"/>
      <c r="L356" s="38"/>
      <c r="M356" s="38"/>
      <c r="N356" s="38"/>
      <c r="O356" s="38"/>
      <c r="P356" s="38"/>
      <c r="Q356" s="38"/>
      <c r="R356" s="38"/>
      <c r="S356" s="38"/>
      <c r="T356" s="38"/>
    </row>
    <row r="357" spans="1:20" ht="15.75">
      <c r="A357" s="13">
        <v>52017</v>
      </c>
      <c r="B357" s="46">
        <v>31</v>
      </c>
      <c r="C357" s="37">
        <v>194.20500000000001</v>
      </c>
      <c r="D357" s="37">
        <v>267.46600000000001</v>
      </c>
      <c r="E357" s="43">
        <v>812.32899999999995</v>
      </c>
      <c r="F357" s="37">
        <v>1274</v>
      </c>
      <c r="G357" s="37">
        <v>75</v>
      </c>
      <c r="H357" s="45">
        <v>600</v>
      </c>
      <c r="I357" s="37">
        <v>695</v>
      </c>
      <c r="J357" s="37">
        <v>50</v>
      </c>
      <c r="K357" s="38"/>
      <c r="L357" s="38"/>
      <c r="M357" s="38"/>
      <c r="N357" s="38"/>
      <c r="O357" s="38"/>
      <c r="P357" s="38"/>
      <c r="Q357" s="38"/>
      <c r="R357" s="38"/>
      <c r="S357" s="38"/>
      <c r="T357" s="38"/>
    </row>
    <row r="358" spans="1:20" ht="15.75">
      <c r="A358" s="13">
        <v>52047</v>
      </c>
      <c r="B358" s="46">
        <v>30</v>
      </c>
      <c r="C358" s="37">
        <v>194.20500000000001</v>
      </c>
      <c r="D358" s="37">
        <v>267.46600000000001</v>
      </c>
      <c r="E358" s="43">
        <v>812.32899999999995</v>
      </c>
      <c r="F358" s="37">
        <v>1274</v>
      </c>
      <c r="G358" s="37">
        <v>50</v>
      </c>
      <c r="H358" s="45">
        <v>600</v>
      </c>
      <c r="I358" s="37">
        <v>695</v>
      </c>
      <c r="J358" s="37">
        <v>50</v>
      </c>
      <c r="K358" s="38"/>
      <c r="L358" s="38"/>
      <c r="M358" s="38"/>
      <c r="N358" s="38"/>
      <c r="O358" s="38"/>
      <c r="P358" s="38"/>
      <c r="Q358" s="38"/>
      <c r="R358" s="38"/>
      <c r="S358" s="38"/>
      <c r="T358" s="38"/>
    </row>
    <row r="359" spans="1:20" ht="15.75">
      <c r="A359" s="13">
        <v>52078</v>
      </c>
      <c r="B359" s="46">
        <v>31</v>
      </c>
      <c r="C359" s="37">
        <v>194.20500000000001</v>
      </c>
      <c r="D359" s="37">
        <v>267.46600000000001</v>
      </c>
      <c r="E359" s="43">
        <v>812.32899999999995</v>
      </c>
      <c r="F359" s="37">
        <v>1274</v>
      </c>
      <c r="G359" s="37">
        <v>50</v>
      </c>
      <c r="H359" s="45">
        <v>600</v>
      </c>
      <c r="I359" s="37">
        <v>695</v>
      </c>
      <c r="J359" s="37">
        <v>0</v>
      </c>
      <c r="K359" s="38"/>
      <c r="L359" s="38"/>
      <c r="M359" s="38"/>
      <c r="N359" s="38"/>
      <c r="O359" s="38"/>
      <c r="P359" s="38"/>
      <c r="Q359" s="38"/>
      <c r="R359" s="38"/>
      <c r="S359" s="38"/>
      <c r="T359" s="38"/>
    </row>
    <row r="360" spans="1:20" ht="15.75">
      <c r="A360" s="13">
        <v>52109</v>
      </c>
      <c r="B360" s="46">
        <v>31</v>
      </c>
      <c r="C360" s="37">
        <v>194.20500000000001</v>
      </c>
      <c r="D360" s="37">
        <v>267.46600000000001</v>
      </c>
      <c r="E360" s="43">
        <v>812.32899999999995</v>
      </c>
      <c r="F360" s="37">
        <v>1274</v>
      </c>
      <c r="G360" s="37">
        <v>50</v>
      </c>
      <c r="H360" s="45">
        <v>600</v>
      </c>
      <c r="I360" s="37">
        <v>695</v>
      </c>
      <c r="J360" s="37">
        <v>0</v>
      </c>
      <c r="K360" s="38"/>
      <c r="L360" s="38"/>
      <c r="M360" s="38"/>
      <c r="N360" s="38"/>
      <c r="O360" s="38"/>
      <c r="P360" s="38"/>
      <c r="Q360" s="38"/>
      <c r="R360" s="38"/>
      <c r="S360" s="38"/>
      <c r="T360" s="38"/>
    </row>
    <row r="361" spans="1:20" ht="15.75">
      <c r="A361" s="13">
        <v>52139</v>
      </c>
      <c r="B361" s="46">
        <v>30</v>
      </c>
      <c r="C361" s="37">
        <v>194.20500000000001</v>
      </c>
      <c r="D361" s="37">
        <v>267.46600000000001</v>
      </c>
      <c r="E361" s="43">
        <v>812.32899999999995</v>
      </c>
      <c r="F361" s="37">
        <v>1274</v>
      </c>
      <c r="G361" s="37">
        <v>50</v>
      </c>
      <c r="H361" s="45">
        <v>600</v>
      </c>
      <c r="I361" s="37">
        <v>695</v>
      </c>
      <c r="J361" s="37">
        <v>0</v>
      </c>
      <c r="K361" s="38"/>
      <c r="L361" s="38"/>
      <c r="M361" s="38"/>
      <c r="N361" s="38"/>
      <c r="O361" s="38"/>
      <c r="P361" s="38"/>
      <c r="Q361" s="38"/>
      <c r="R361" s="38"/>
      <c r="S361" s="38"/>
      <c r="T361" s="38"/>
    </row>
    <row r="362" spans="1:20" ht="15.75">
      <c r="A362" s="13">
        <v>52170</v>
      </c>
      <c r="B362" s="46">
        <v>31</v>
      </c>
      <c r="C362" s="37">
        <v>131.881</v>
      </c>
      <c r="D362" s="37">
        <v>277.16699999999997</v>
      </c>
      <c r="E362" s="43">
        <v>829.952</v>
      </c>
      <c r="F362" s="37">
        <v>1239</v>
      </c>
      <c r="G362" s="37">
        <v>75</v>
      </c>
      <c r="H362" s="45">
        <v>600</v>
      </c>
      <c r="I362" s="37">
        <v>695</v>
      </c>
      <c r="J362" s="37">
        <v>0</v>
      </c>
      <c r="K362" s="38"/>
      <c r="L362" s="38"/>
      <c r="M362" s="38"/>
      <c r="N362" s="38"/>
      <c r="O362" s="38"/>
      <c r="P362" s="38"/>
      <c r="Q362" s="38"/>
      <c r="R362" s="38"/>
      <c r="S362" s="38"/>
      <c r="T362" s="38"/>
    </row>
    <row r="363" spans="1:20" ht="15.75">
      <c r="A363" s="13">
        <v>52200</v>
      </c>
      <c r="B363" s="46">
        <v>30</v>
      </c>
      <c r="C363" s="37">
        <v>122.58</v>
      </c>
      <c r="D363" s="37">
        <v>297.94099999999997</v>
      </c>
      <c r="E363" s="43">
        <v>729.47900000000004</v>
      </c>
      <c r="F363" s="37">
        <v>1150</v>
      </c>
      <c r="G363" s="37">
        <v>100</v>
      </c>
      <c r="H363" s="45">
        <v>600</v>
      </c>
      <c r="I363" s="37">
        <v>695</v>
      </c>
      <c r="J363" s="37">
        <v>50</v>
      </c>
      <c r="K363" s="38"/>
      <c r="L363" s="38"/>
      <c r="M363" s="38"/>
      <c r="N363" s="38"/>
      <c r="O363" s="38"/>
      <c r="P363" s="38"/>
      <c r="Q363" s="38"/>
      <c r="R363" s="38"/>
      <c r="S363" s="38"/>
      <c r="T363" s="38"/>
    </row>
    <row r="364" spans="1:20" ht="15.75">
      <c r="A364" s="13">
        <v>52231</v>
      </c>
      <c r="B364" s="46">
        <v>31</v>
      </c>
      <c r="C364" s="37">
        <v>122.58</v>
      </c>
      <c r="D364" s="37">
        <v>297.94099999999997</v>
      </c>
      <c r="E364" s="43">
        <v>729.47900000000004</v>
      </c>
      <c r="F364" s="37">
        <v>1150</v>
      </c>
      <c r="G364" s="37">
        <v>100</v>
      </c>
      <c r="H364" s="45">
        <v>600</v>
      </c>
      <c r="I364" s="37">
        <v>695</v>
      </c>
      <c r="J364" s="37">
        <v>50</v>
      </c>
      <c r="K364" s="38"/>
      <c r="L364" s="38"/>
      <c r="M364" s="38"/>
      <c r="N364" s="38"/>
      <c r="O364" s="38"/>
      <c r="P364" s="38"/>
      <c r="Q364" s="38"/>
      <c r="R364" s="38"/>
      <c r="S364" s="38"/>
      <c r="T364" s="38"/>
    </row>
    <row r="365" spans="1:20" ht="15.75">
      <c r="A365" s="13">
        <v>52262</v>
      </c>
      <c r="B365" s="46">
        <v>31</v>
      </c>
      <c r="C365" s="37">
        <v>122.58</v>
      </c>
      <c r="D365" s="37">
        <v>297.94099999999997</v>
      </c>
      <c r="E365" s="43">
        <v>729.47900000000004</v>
      </c>
      <c r="F365" s="37">
        <v>1150</v>
      </c>
      <c r="G365" s="37">
        <v>100</v>
      </c>
      <c r="H365" s="45">
        <v>600</v>
      </c>
      <c r="I365" s="37">
        <v>695</v>
      </c>
      <c r="J365" s="37">
        <v>50</v>
      </c>
      <c r="K365" s="38"/>
      <c r="L365" s="38"/>
      <c r="M365" s="38"/>
      <c r="N365" s="38"/>
      <c r="O365" s="38"/>
      <c r="P365" s="38"/>
      <c r="Q365" s="38"/>
      <c r="R365" s="38"/>
      <c r="S365" s="38"/>
      <c r="T365" s="38"/>
    </row>
    <row r="366" spans="1:20" ht="15.75">
      <c r="A366" s="13">
        <v>52290</v>
      </c>
      <c r="B366" s="46">
        <v>28</v>
      </c>
      <c r="C366" s="37">
        <v>122.58</v>
      </c>
      <c r="D366" s="37">
        <v>297.94099999999997</v>
      </c>
      <c r="E366" s="43">
        <v>729.47900000000004</v>
      </c>
      <c r="F366" s="37">
        <v>1150</v>
      </c>
      <c r="G366" s="37">
        <v>100</v>
      </c>
      <c r="H366" s="45">
        <v>600</v>
      </c>
      <c r="I366" s="37">
        <v>695</v>
      </c>
      <c r="J366" s="37">
        <v>50</v>
      </c>
      <c r="K366" s="38"/>
      <c r="L366" s="38"/>
      <c r="M366" s="38"/>
      <c r="N366" s="38"/>
      <c r="O366" s="38"/>
      <c r="P366" s="38"/>
      <c r="Q366" s="38"/>
      <c r="R366" s="38"/>
      <c r="S366" s="38"/>
      <c r="T366" s="38"/>
    </row>
    <row r="367" spans="1:20" ht="15.75">
      <c r="A367" s="13">
        <v>52321</v>
      </c>
      <c r="B367" s="46">
        <v>31</v>
      </c>
      <c r="C367" s="37">
        <v>122.58</v>
      </c>
      <c r="D367" s="37">
        <v>297.94099999999997</v>
      </c>
      <c r="E367" s="43">
        <v>729.47900000000004</v>
      </c>
      <c r="F367" s="37">
        <v>1150</v>
      </c>
      <c r="G367" s="37">
        <v>100</v>
      </c>
      <c r="H367" s="45">
        <v>600</v>
      </c>
      <c r="I367" s="37">
        <v>695</v>
      </c>
      <c r="J367" s="37">
        <v>50</v>
      </c>
      <c r="K367" s="38"/>
      <c r="L367" s="38"/>
      <c r="M367" s="38"/>
      <c r="N367" s="38"/>
      <c r="O367" s="38"/>
      <c r="P367" s="38"/>
      <c r="Q367" s="38"/>
      <c r="R367" s="38"/>
      <c r="S367" s="38"/>
      <c r="T367" s="38"/>
    </row>
    <row r="368" spans="1:20" ht="15.75">
      <c r="A368" s="13">
        <v>52351</v>
      </c>
      <c r="B368" s="46">
        <v>30</v>
      </c>
      <c r="C368" s="37">
        <v>141.29300000000001</v>
      </c>
      <c r="D368" s="37">
        <v>267.99299999999999</v>
      </c>
      <c r="E368" s="43">
        <v>829.71400000000006</v>
      </c>
      <c r="F368" s="37">
        <v>1239</v>
      </c>
      <c r="G368" s="37">
        <v>100</v>
      </c>
      <c r="H368" s="45">
        <v>600</v>
      </c>
      <c r="I368" s="37">
        <v>695</v>
      </c>
      <c r="J368" s="37">
        <v>50</v>
      </c>
      <c r="K368" s="38"/>
      <c r="L368" s="38"/>
      <c r="M368" s="38"/>
      <c r="N368" s="38"/>
      <c r="O368" s="38"/>
      <c r="P368" s="38"/>
      <c r="Q368" s="38"/>
      <c r="R368" s="38"/>
      <c r="S368" s="38"/>
      <c r="T368" s="38"/>
    </row>
    <row r="369" spans="1:20" ht="15.75">
      <c r="A369" s="13">
        <v>52382</v>
      </c>
      <c r="B369" s="46">
        <v>31</v>
      </c>
      <c r="C369" s="37">
        <v>194.20500000000001</v>
      </c>
      <c r="D369" s="37">
        <v>267.46600000000001</v>
      </c>
      <c r="E369" s="43">
        <v>812.32899999999995</v>
      </c>
      <c r="F369" s="37">
        <v>1274</v>
      </c>
      <c r="G369" s="37">
        <v>75</v>
      </c>
      <c r="H369" s="45">
        <v>600</v>
      </c>
      <c r="I369" s="37">
        <v>695</v>
      </c>
      <c r="J369" s="37">
        <v>50</v>
      </c>
      <c r="K369" s="38"/>
      <c r="L369" s="38"/>
      <c r="M369" s="38"/>
      <c r="N369" s="38"/>
      <c r="O369" s="38"/>
      <c r="P369" s="38"/>
      <c r="Q369" s="38"/>
      <c r="R369" s="38"/>
      <c r="S369" s="38"/>
      <c r="T369" s="38"/>
    </row>
    <row r="370" spans="1:20" ht="15.75">
      <c r="A370" s="13">
        <v>52412</v>
      </c>
      <c r="B370" s="46">
        <v>30</v>
      </c>
      <c r="C370" s="37">
        <v>194.20500000000001</v>
      </c>
      <c r="D370" s="37">
        <v>267.46600000000001</v>
      </c>
      <c r="E370" s="43">
        <v>812.32899999999995</v>
      </c>
      <c r="F370" s="37">
        <v>1274</v>
      </c>
      <c r="G370" s="37">
        <v>50</v>
      </c>
      <c r="H370" s="45">
        <v>600</v>
      </c>
      <c r="I370" s="37">
        <v>695</v>
      </c>
      <c r="J370" s="37">
        <v>50</v>
      </c>
      <c r="K370" s="38"/>
      <c r="L370" s="38"/>
      <c r="M370" s="38"/>
      <c r="N370" s="38"/>
      <c r="O370" s="38"/>
      <c r="P370" s="38"/>
      <c r="Q370" s="38"/>
      <c r="R370" s="38"/>
      <c r="S370" s="38"/>
      <c r="T370" s="38"/>
    </row>
    <row r="371" spans="1:20" ht="15.75">
      <c r="A371" s="13">
        <v>52443</v>
      </c>
      <c r="B371" s="46">
        <v>31</v>
      </c>
      <c r="C371" s="37">
        <v>194.20500000000001</v>
      </c>
      <c r="D371" s="37">
        <v>267.46600000000001</v>
      </c>
      <c r="E371" s="43">
        <v>812.32899999999995</v>
      </c>
      <c r="F371" s="37">
        <v>1274</v>
      </c>
      <c r="G371" s="37">
        <v>50</v>
      </c>
      <c r="H371" s="45">
        <v>600</v>
      </c>
      <c r="I371" s="37">
        <v>695</v>
      </c>
      <c r="J371" s="37">
        <v>0</v>
      </c>
      <c r="K371" s="38"/>
      <c r="L371" s="38"/>
      <c r="M371" s="38"/>
      <c r="N371" s="38"/>
      <c r="O371" s="38"/>
      <c r="P371" s="38"/>
      <c r="Q371" s="38"/>
      <c r="R371" s="38"/>
      <c r="S371" s="38"/>
      <c r="T371" s="38"/>
    </row>
    <row r="372" spans="1:20" ht="15.75">
      <c r="A372" s="13">
        <v>52474</v>
      </c>
      <c r="B372" s="46">
        <v>31</v>
      </c>
      <c r="C372" s="37">
        <v>194.20500000000001</v>
      </c>
      <c r="D372" s="37">
        <v>267.46600000000001</v>
      </c>
      <c r="E372" s="43">
        <v>812.32899999999995</v>
      </c>
      <c r="F372" s="37">
        <v>1274</v>
      </c>
      <c r="G372" s="37">
        <v>50</v>
      </c>
      <c r="H372" s="45">
        <v>600</v>
      </c>
      <c r="I372" s="37">
        <v>695</v>
      </c>
      <c r="J372" s="37">
        <v>0</v>
      </c>
      <c r="K372" s="38"/>
      <c r="L372" s="38"/>
      <c r="M372" s="38"/>
      <c r="N372" s="38"/>
      <c r="O372" s="38"/>
      <c r="P372" s="38"/>
      <c r="Q372" s="38"/>
      <c r="R372" s="38"/>
      <c r="S372" s="38"/>
      <c r="T372" s="38"/>
    </row>
    <row r="373" spans="1:20" ht="15.75">
      <c r="A373" s="13">
        <v>52504</v>
      </c>
      <c r="B373" s="46">
        <v>30</v>
      </c>
      <c r="C373" s="37">
        <v>194.20500000000001</v>
      </c>
      <c r="D373" s="37">
        <v>267.46600000000001</v>
      </c>
      <c r="E373" s="43">
        <v>812.32899999999995</v>
      </c>
      <c r="F373" s="37">
        <v>1274</v>
      </c>
      <c r="G373" s="37">
        <v>50</v>
      </c>
      <c r="H373" s="45">
        <v>600</v>
      </c>
      <c r="I373" s="37">
        <v>695</v>
      </c>
      <c r="J373" s="37">
        <v>0</v>
      </c>
      <c r="K373" s="38"/>
      <c r="L373" s="38"/>
      <c r="M373" s="38"/>
      <c r="N373" s="38"/>
      <c r="O373" s="38"/>
      <c r="P373" s="38"/>
      <c r="Q373" s="38"/>
      <c r="R373" s="38"/>
      <c r="S373" s="38"/>
      <c r="T373" s="38"/>
    </row>
    <row r="374" spans="1:20" ht="15.75">
      <c r="A374" s="13">
        <v>52535</v>
      </c>
      <c r="B374" s="46">
        <v>31</v>
      </c>
      <c r="C374" s="37">
        <v>131.881</v>
      </c>
      <c r="D374" s="37">
        <v>277.16699999999997</v>
      </c>
      <c r="E374" s="43">
        <v>829.952</v>
      </c>
      <c r="F374" s="37">
        <v>1239</v>
      </c>
      <c r="G374" s="37">
        <v>75</v>
      </c>
      <c r="H374" s="45">
        <v>600</v>
      </c>
      <c r="I374" s="37">
        <v>695</v>
      </c>
      <c r="J374" s="37">
        <v>0</v>
      </c>
      <c r="K374" s="38"/>
      <c r="L374" s="38"/>
      <c r="M374" s="38"/>
      <c r="N374" s="38"/>
      <c r="O374" s="38"/>
      <c r="P374" s="38"/>
      <c r="Q374" s="38"/>
      <c r="R374" s="38"/>
      <c r="S374" s="38"/>
      <c r="T374" s="38"/>
    </row>
    <row r="375" spans="1:20" ht="15.75">
      <c r="A375" s="13">
        <v>52565</v>
      </c>
      <c r="B375" s="46">
        <v>30</v>
      </c>
      <c r="C375" s="37">
        <v>122.58</v>
      </c>
      <c r="D375" s="37">
        <v>297.94099999999997</v>
      </c>
      <c r="E375" s="43">
        <v>729.47900000000004</v>
      </c>
      <c r="F375" s="37">
        <v>1150</v>
      </c>
      <c r="G375" s="37">
        <v>100</v>
      </c>
      <c r="H375" s="45">
        <v>600</v>
      </c>
      <c r="I375" s="37">
        <v>695</v>
      </c>
      <c r="J375" s="37">
        <v>50</v>
      </c>
      <c r="K375" s="38"/>
      <c r="L375" s="38"/>
      <c r="M375" s="38"/>
      <c r="N375" s="38"/>
      <c r="O375" s="38"/>
      <c r="P375" s="38"/>
      <c r="Q375" s="38"/>
      <c r="R375" s="38"/>
      <c r="S375" s="38"/>
      <c r="T375" s="38"/>
    </row>
    <row r="376" spans="1:20" ht="15.75">
      <c r="A376" s="13">
        <v>52596</v>
      </c>
      <c r="B376" s="46">
        <v>31</v>
      </c>
      <c r="C376" s="37">
        <v>122.58</v>
      </c>
      <c r="D376" s="37">
        <v>297.94099999999997</v>
      </c>
      <c r="E376" s="43">
        <v>729.47900000000004</v>
      </c>
      <c r="F376" s="37">
        <v>1150</v>
      </c>
      <c r="G376" s="37">
        <v>100</v>
      </c>
      <c r="H376" s="45">
        <v>600</v>
      </c>
      <c r="I376" s="37">
        <v>695</v>
      </c>
      <c r="J376" s="37">
        <v>50</v>
      </c>
      <c r="K376" s="38"/>
      <c r="L376" s="38"/>
      <c r="M376" s="38"/>
      <c r="N376" s="38"/>
      <c r="O376" s="38"/>
      <c r="P376" s="38"/>
      <c r="Q376" s="38"/>
      <c r="R376" s="38"/>
      <c r="S376" s="38"/>
      <c r="T376" s="38"/>
    </row>
    <row r="377" spans="1:20" ht="15.75">
      <c r="A377" s="13">
        <v>52627</v>
      </c>
      <c r="B377" s="46">
        <v>31</v>
      </c>
      <c r="C377" s="37">
        <v>122.58</v>
      </c>
      <c r="D377" s="37">
        <v>297.94099999999997</v>
      </c>
      <c r="E377" s="43">
        <v>729.47900000000004</v>
      </c>
      <c r="F377" s="37">
        <v>1150</v>
      </c>
      <c r="G377" s="37">
        <v>100</v>
      </c>
      <c r="H377" s="45">
        <v>600</v>
      </c>
      <c r="I377" s="37">
        <v>695</v>
      </c>
      <c r="J377" s="37">
        <v>50</v>
      </c>
      <c r="K377" s="38"/>
      <c r="L377" s="38"/>
      <c r="M377" s="38"/>
      <c r="N377" s="38"/>
      <c r="O377" s="38"/>
      <c r="P377" s="38"/>
      <c r="Q377" s="38"/>
      <c r="R377" s="38"/>
      <c r="S377" s="38"/>
      <c r="T377" s="38"/>
    </row>
    <row r="378" spans="1:20" ht="15.75">
      <c r="A378" s="13">
        <v>52655</v>
      </c>
      <c r="B378" s="46">
        <v>29</v>
      </c>
      <c r="C378" s="37">
        <v>122.58</v>
      </c>
      <c r="D378" s="37">
        <v>297.94099999999997</v>
      </c>
      <c r="E378" s="43">
        <v>729.47900000000004</v>
      </c>
      <c r="F378" s="37">
        <v>1150</v>
      </c>
      <c r="G378" s="37">
        <v>100</v>
      </c>
      <c r="H378" s="45">
        <v>600</v>
      </c>
      <c r="I378" s="37">
        <v>695</v>
      </c>
      <c r="J378" s="37">
        <v>50</v>
      </c>
      <c r="K378" s="38"/>
      <c r="L378" s="38"/>
      <c r="M378" s="38"/>
      <c r="N378" s="38"/>
      <c r="O378" s="38"/>
      <c r="P378" s="38"/>
      <c r="Q378" s="38"/>
      <c r="R378" s="38"/>
      <c r="S378" s="38"/>
      <c r="T378" s="38"/>
    </row>
    <row r="379" spans="1:20" ht="15.75">
      <c r="A379" s="13">
        <v>52687</v>
      </c>
      <c r="B379" s="46">
        <v>31</v>
      </c>
      <c r="C379" s="37">
        <v>122.58</v>
      </c>
      <c r="D379" s="37">
        <v>297.94099999999997</v>
      </c>
      <c r="E379" s="43">
        <v>729.47900000000004</v>
      </c>
      <c r="F379" s="37">
        <v>1150</v>
      </c>
      <c r="G379" s="37">
        <v>100</v>
      </c>
      <c r="H379" s="45">
        <v>600</v>
      </c>
      <c r="I379" s="37">
        <v>695</v>
      </c>
      <c r="J379" s="37">
        <v>50</v>
      </c>
      <c r="K379" s="38"/>
      <c r="L379" s="38"/>
      <c r="M379" s="38"/>
      <c r="N379" s="38"/>
      <c r="O379" s="38"/>
      <c r="P379" s="38"/>
      <c r="Q379" s="38"/>
      <c r="R379" s="38"/>
      <c r="S379" s="38"/>
      <c r="T379" s="38"/>
    </row>
    <row r="380" spans="1:20" ht="15.75">
      <c r="A380" s="13">
        <v>52717</v>
      </c>
      <c r="B380" s="46">
        <v>30</v>
      </c>
      <c r="C380" s="37">
        <v>141.29300000000001</v>
      </c>
      <c r="D380" s="37">
        <v>267.99299999999999</v>
      </c>
      <c r="E380" s="43">
        <v>829.71400000000006</v>
      </c>
      <c r="F380" s="37">
        <v>1239</v>
      </c>
      <c r="G380" s="37">
        <v>100</v>
      </c>
      <c r="H380" s="45">
        <v>600</v>
      </c>
      <c r="I380" s="37">
        <v>695</v>
      </c>
      <c r="J380" s="37">
        <v>50</v>
      </c>
      <c r="K380" s="38"/>
      <c r="L380" s="38"/>
      <c r="M380" s="38"/>
      <c r="N380" s="38"/>
      <c r="O380" s="38"/>
      <c r="P380" s="38"/>
      <c r="Q380" s="38"/>
      <c r="R380" s="38"/>
      <c r="S380" s="38"/>
      <c r="T380" s="38"/>
    </row>
    <row r="381" spans="1:20" ht="15.75">
      <c r="A381" s="13">
        <v>52748</v>
      </c>
      <c r="B381" s="46">
        <v>31</v>
      </c>
      <c r="C381" s="37">
        <v>194.20500000000001</v>
      </c>
      <c r="D381" s="37">
        <v>267.46600000000001</v>
      </c>
      <c r="E381" s="43">
        <v>812.32899999999995</v>
      </c>
      <c r="F381" s="37">
        <v>1274</v>
      </c>
      <c r="G381" s="37">
        <v>75</v>
      </c>
      <c r="H381" s="45">
        <v>600</v>
      </c>
      <c r="I381" s="37">
        <v>695</v>
      </c>
      <c r="J381" s="37">
        <v>50</v>
      </c>
      <c r="K381" s="38"/>
      <c r="L381" s="38"/>
      <c r="M381" s="38"/>
      <c r="N381" s="38"/>
      <c r="O381" s="38"/>
      <c r="P381" s="38"/>
      <c r="Q381" s="38"/>
      <c r="R381" s="38"/>
      <c r="S381" s="38"/>
      <c r="T381" s="38"/>
    </row>
    <row r="382" spans="1:20" ht="15.75">
      <c r="A382" s="13">
        <v>52778</v>
      </c>
      <c r="B382" s="46">
        <v>30</v>
      </c>
      <c r="C382" s="37">
        <v>194.20500000000001</v>
      </c>
      <c r="D382" s="37">
        <v>267.46600000000001</v>
      </c>
      <c r="E382" s="43">
        <v>812.32899999999995</v>
      </c>
      <c r="F382" s="37">
        <v>1274</v>
      </c>
      <c r="G382" s="37">
        <v>50</v>
      </c>
      <c r="H382" s="45">
        <v>600</v>
      </c>
      <c r="I382" s="37">
        <v>695</v>
      </c>
      <c r="J382" s="37">
        <v>50</v>
      </c>
      <c r="K382" s="38"/>
      <c r="L382" s="38"/>
      <c r="M382" s="38"/>
      <c r="N382" s="38"/>
      <c r="O382" s="38"/>
      <c r="P382" s="38"/>
      <c r="Q382" s="38"/>
      <c r="R382" s="38"/>
      <c r="S382" s="38"/>
      <c r="T382" s="38"/>
    </row>
    <row r="383" spans="1:20" ht="15.75">
      <c r="A383" s="13">
        <v>52809</v>
      </c>
      <c r="B383" s="46">
        <v>31</v>
      </c>
      <c r="C383" s="37">
        <v>194.20500000000001</v>
      </c>
      <c r="D383" s="37">
        <v>267.46600000000001</v>
      </c>
      <c r="E383" s="43">
        <v>812.32899999999995</v>
      </c>
      <c r="F383" s="37">
        <v>1274</v>
      </c>
      <c r="G383" s="37">
        <v>50</v>
      </c>
      <c r="H383" s="45">
        <v>600</v>
      </c>
      <c r="I383" s="37">
        <v>695</v>
      </c>
      <c r="J383" s="37">
        <v>0</v>
      </c>
      <c r="K383" s="38"/>
      <c r="L383" s="38"/>
      <c r="M383" s="38"/>
      <c r="N383" s="38"/>
      <c r="O383" s="38"/>
      <c r="P383" s="38"/>
      <c r="Q383" s="38"/>
      <c r="R383" s="38"/>
      <c r="S383" s="38"/>
      <c r="T383" s="38"/>
    </row>
    <row r="384" spans="1:20" ht="15.75">
      <c r="A384" s="13">
        <v>52840</v>
      </c>
      <c r="B384" s="46">
        <v>31</v>
      </c>
      <c r="C384" s="37">
        <v>194.20500000000001</v>
      </c>
      <c r="D384" s="37">
        <v>267.46600000000001</v>
      </c>
      <c r="E384" s="43">
        <v>812.32899999999995</v>
      </c>
      <c r="F384" s="37">
        <v>1274</v>
      </c>
      <c r="G384" s="37">
        <v>50</v>
      </c>
      <c r="H384" s="45">
        <v>600</v>
      </c>
      <c r="I384" s="37">
        <v>695</v>
      </c>
      <c r="J384" s="37">
        <v>0</v>
      </c>
      <c r="K384" s="38"/>
      <c r="L384" s="38"/>
      <c r="M384" s="38"/>
      <c r="N384" s="38"/>
      <c r="O384" s="38"/>
      <c r="P384" s="38"/>
      <c r="Q384" s="38"/>
      <c r="R384" s="38"/>
      <c r="S384" s="38"/>
      <c r="T384" s="38"/>
    </row>
    <row r="385" spans="1:20" ht="15.75">
      <c r="A385" s="13">
        <v>52870</v>
      </c>
      <c r="B385" s="46">
        <v>30</v>
      </c>
      <c r="C385" s="37">
        <v>194.20500000000001</v>
      </c>
      <c r="D385" s="37">
        <v>267.46600000000001</v>
      </c>
      <c r="E385" s="43">
        <v>812.32899999999995</v>
      </c>
      <c r="F385" s="37">
        <v>1274</v>
      </c>
      <c r="G385" s="37">
        <v>50</v>
      </c>
      <c r="H385" s="45">
        <v>600</v>
      </c>
      <c r="I385" s="37">
        <v>695</v>
      </c>
      <c r="J385" s="37">
        <v>0</v>
      </c>
      <c r="K385" s="38"/>
      <c r="L385" s="38"/>
      <c r="M385" s="38"/>
      <c r="N385" s="38"/>
      <c r="O385" s="38"/>
      <c r="P385" s="38"/>
      <c r="Q385" s="38"/>
      <c r="R385" s="38"/>
      <c r="S385" s="38"/>
      <c r="T385" s="38"/>
    </row>
    <row r="386" spans="1:20" ht="15.75">
      <c r="A386" s="13">
        <v>52901</v>
      </c>
      <c r="B386" s="46">
        <v>31</v>
      </c>
      <c r="C386" s="37">
        <v>131.881</v>
      </c>
      <c r="D386" s="37">
        <v>277.16699999999997</v>
      </c>
      <c r="E386" s="43">
        <v>829.952</v>
      </c>
      <c r="F386" s="37">
        <v>1239</v>
      </c>
      <c r="G386" s="37">
        <v>75</v>
      </c>
      <c r="H386" s="45">
        <v>600</v>
      </c>
      <c r="I386" s="37">
        <v>695</v>
      </c>
      <c r="J386" s="37">
        <v>0</v>
      </c>
      <c r="K386" s="38"/>
      <c r="L386" s="38"/>
      <c r="M386" s="38"/>
      <c r="N386" s="38"/>
      <c r="O386" s="38"/>
      <c r="P386" s="38"/>
      <c r="Q386" s="38"/>
      <c r="R386" s="38"/>
      <c r="S386" s="38"/>
      <c r="T386" s="38"/>
    </row>
    <row r="387" spans="1:20" ht="15.75">
      <c r="A387" s="13">
        <v>52931</v>
      </c>
      <c r="B387" s="46">
        <v>30</v>
      </c>
      <c r="C387" s="37">
        <v>122.58</v>
      </c>
      <c r="D387" s="37">
        <v>297.94099999999997</v>
      </c>
      <c r="E387" s="43">
        <v>729.47900000000004</v>
      </c>
      <c r="F387" s="37">
        <v>1150</v>
      </c>
      <c r="G387" s="37">
        <v>100</v>
      </c>
      <c r="H387" s="45">
        <v>600</v>
      </c>
      <c r="I387" s="37">
        <v>695</v>
      </c>
      <c r="J387" s="37">
        <v>50</v>
      </c>
      <c r="K387" s="38"/>
      <c r="L387" s="38"/>
      <c r="M387" s="38"/>
      <c r="N387" s="38"/>
      <c r="O387" s="38"/>
      <c r="P387" s="38"/>
      <c r="Q387" s="38"/>
      <c r="R387" s="38"/>
      <c r="S387" s="38"/>
      <c r="T387" s="38"/>
    </row>
    <row r="388" spans="1:20" ht="15.75">
      <c r="A388" s="13">
        <v>52962</v>
      </c>
      <c r="B388" s="46">
        <v>31</v>
      </c>
      <c r="C388" s="37">
        <v>122.58</v>
      </c>
      <c r="D388" s="37">
        <v>297.94099999999997</v>
      </c>
      <c r="E388" s="43">
        <v>729.47900000000004</v>
      </c>
      <c r="F388" s="37">
        <v>1150</v>
      </c>
      <c r="G388" s="37">
        <v>100</v>
      </c>
      <c r="H388" s="45">
        <v>600</v>
      </c>
      <c r="I388" s="37">
        <v>695</v>
      </c>
      <c r="J388" s="37">
        <v>50</v>
      </c>
      <c r="K388" s="38"/>
      <c r="L388" s="38"/>
      <c r="M388" s="38"/>
      <c r="N388" s="38"/>
      <c r="O388" s="38"/>
      <c r="P388" s="38"/>
      <c r="Q388" s="38"/>
      <c r="R388" s="38"/>
      <c r="S388" s="38"/>
      <c r="T388" s="38"/>
    </row>
    <row r="389" spans="1:20" ht="15.75">
      <c r="A389" s="13">
        <v>52993</v>
      </c>
      <c r="B389" s="46">
        <v>31</v>
      </c>
      <c r="C389" s="37">
        <v>122.58</v>
      </c>
      <c r="D389" s="37">
        <v>297.94099999999997</v>
      </c>
      <c r="E389" s="43">
        <v>729.47900000000004</v>
      </c>
      <c r="F389" s="37">
        <v>1150</v>
      </c>
      <c r="G389" s="37">
        <v>100</v>
      </c>
      <c r="H389" s="45">
        <v>600</v>
      </c>
      <c r="I389" s="37">
        <v>695</v>
      </c>
      <c r="J389" s="37">
        <v>50</v>
      </c>
      <c r="K389" s="38"/>
      <c r="L389" s="38"/>
      <c r="M389" s="38"/>
      <c r="N389" s="38"/>
      <c r="O389" s="38"/>
      <c r="P389" s="38"/>
      <c r="Q389" s="38"/>
      <c r="R389" s="38"/>
      <c r="S389" s="38"/>
      <c r="T389" s="38"/>
    </row>
    <row r="390" spans="1:20" ht="15.75">
      <c r="A390" s="13">
        <v>53021</v>
      </c>
      <c r="B390" s="46">
        <v>28</v>
      </c>
      <c r="C390" s="37">
        <v>122.58</v>
      </c>
      <c r="D390" s="37">
        <v>297.94099999999997</v>
      </c>
      <c r="E390" s="43">
        <v>729.47900000000004</v>
      </c>
      <c r="F390" s="37">
        <v>1150</v>
      </c>
      <c r="G390" s="37">
        <v>100</v>
      </c>
      <c r="H390" s="45">
        <v>600</v>
      </c>
      <c r="I390" s="37">
        <v>695</v>
      </c>
      <c r="J390" s="37">
        <v>50</v>
      </c>
      <c r="K390" s="38"/>
      <c r="L390" s="38"/>
      <c r="M390" s="38"/>
      <c r="N390" s="38"/>
      <c r="O390" s="38"/>
      <c r="P390" s="38"/>
      <c r="Q390" s="38"/>
      <c r="R390" s="38"/>
      <c r="S390" s="38"/>
      <c r="T390" s="38"/>
    </row>
    <row r="391" spans="1:20" ht="15.75">
      <c r="A391" s="13">
        <v>53052</v>
      </c>
      <c r="B391" s="46">
        <v>31</v>
      </c>
      <c r="C391" s="37">
        <v>122.58</v>
      </c>
      <c r="D391" s="37">
        <v>297.94099999999997</v>
      </c>
      <c r="E391" s="43">
        <v>729.47900000000004</v>
      </c>
      <c r="F391" s="37">
        <v>1150</v>
      </c>
      <c r="G391" s="37">
        <v>100</v>
      </c>
      <c r="H391" s="45">
        <v>600</v>
      </c>
      <c r="I391" s="37">
        <v>695</v>
      </c>
      <c r="J391" s="37">
        <v>50</v>
      </c>
      <c r="K391" s="38"/>
      <c r="L391" s="38"/>
      <c r="M391" s="38"/>
      <c r="N391" s="38"/>
      <c r="O391" s="38"/>
      <c r="P391" s="38"/>
      <c r="Q391" s="38"/>
      <c r="R391" s="38"/>
      <c r="S391" s="38"/>
      <c r="T391" s="38"/>
    </row>
    <row r="392" spans="1:20" ht="15.75">
      <c r="A392" s="13">
        <v>53082</v>
      </c>
      <c r="B392" s="46">
        <v>30</v>
      </c>
      <c r="C392" s="37">
        <v>141.29300000000001</v>
      </c>
      <c r="D392" s="37">
        <v>267.99299999999999</v>
      </c>
      <c r="E392" s="43">
        <v>829.71400000000006</v>
      </c>
      <c r="F392" s="37">
        <v>1239</v>
      </c>
      <c r="G392" s="37">
        <v>100</v>
      </c>
      <c r="H392" s="45">
        <v>600</v>
      </c>
      <c r="I392" s="37">
        <v>695</v>
      </c>
      <c r="J392" s="37">
        <v>50</v>
      </c>
      <c r="K392" s="38"/>
      <c r="L392" s="38"/>
      <c r="M392" s="38"/>
      <c r="N392" s="38"/>
      <c r="O392" s="38"/>
      <c r="P392" s="38"/>
      <c r="Q392" s="38"/>
      <c r="R392" s="38"/>
      <c r="S392" s="38"/>
      <c r="T392" s="38"/>
    </row>
    <row r="393" spans="1:20" ht="15.75">
      <c r="A393" s="13">
        <v>53113</v>
      </c>
      <c r="B393" s="46">
        <v>31</v>
      </c>
      <c r="C393" s="37">
        <v>194.20500000000001</v>
      </c>
      <c r="D393" s="37">
        <v>267.46600000000001</v>
      </c>
      <c r="E393" s="43">
        <v>812.32899999999995</v>
      </c>
      <c r="F393" s="37">
        <v>1274</v>
      </c>
      <c r="G393" s="37">
        <v>75</v>
      </c>
      <c r="H393" s="45">
        <v>600</v>
      </c>
      <c r="I393" s="37">
        <v>695</v>
      </c>
      <c r="J393" s="37">
        <v>50</v>
      </c>
      <c r="K393" s="38"/>
      <c r="L393" s="38"/>
      <c r="M393" s="38"/>
      <c r="N393" s="38"/>
      <c r="O393" s="38"/>
      <c r="P393" s="38"/>
      <c r="Q393" s="38"/>
      <c r="R393" s="38"/>
      <c r="S393" s="38"/>
      <c r="T393" s="38"/>
    </row>
    <row r="394" spans="1:20" ht="15.75">
      <c r="A394" s="13">
        <v>53143</v>
      </c>
      <c r="B394" s="46">
        <v>30</v>
      </c>
      <c r="C394" s="37">
        <v>194.20500000000001</v>
      </c>
      <c r="D394" s="37">
        <v>267.46600000000001</v>
      </c>
      <c r="E394" s="43">
        <v>812.32899999999995</v>
      </c>
      <c r="F394" s="37">
        <v>1274</v>
      </c>
      <c r="G394" s="37">
        <v>50</v>
      </c>
      <c r="H394" s="45">
        <v>600</v>
      </c>
      <c r="I394" s="37">
        <v>695</v>
      </c>
      <c r="J394" s="37">
        <v>50</v>
      </c>
      <c r="K394" s="38"/>
      <c r="L394" s="38"/>
      <c r="M394" s="38"/>
      <c r="N394" s="38"/>
      <c r="O394" s="38"/>
      <c r="P394" s="38"/>
      <c r="Q394" s="38"/>
      <c r="R394" s="38"/>
      <c r="S394" s="38"/>
      <c r="T394" s="38"/>
    </row>
    <row r="395" spans="1:20" ht="15.75">
      <c r="A395" s="13">
        <v>53174</v>
      </c>
      <c r="B395" s="46">
        <v>31</v>
      </c>
      <c r="C395" s="37">
        <v>194.20500000000001</v>
      </c>
      <c r="D395" s="37">
        <v>267.46600000000001</v>
      </c>
      <c r="E395" s="43">
        <v>812.32899999999995</v>
      </c>
      <c r="F395" s="37">
        <v>1274</v>
      </c>
      <c r="G395" s="37">
        <v>50</v>
      </c>
      <c r="H395" s="45">
        <v>600</v>
      </c>
      <c r="I395" s="37">
        <v>695</v>
      </c>
      <c r="J395" s="37">
        <v>0</v>
      </c>
      <c r="K395" s="38"/>
      <c r="L395" s="38"/>
      <c r="M395" s="38"/>
      <c r="N395" s="38"/>
      <c r="O395" s="38"/>
      <c r="P395" s="38"/>
      <c r="Q395" s="38"/>
      <c r="R395" s="38"/>
      <c r="S395" s="38"/>
      <c r="T395" s="38"/>
    </row>
    <row r="396" spans="1:20" ht="15.75">
      <c r="A396" s="13">
        <v>53205</v>
      </c>
      <c r="B396" s="46">
        <v>31</v>
      </c>
      <c r="C396" s="37">
        <v>194.20500000000001</v>
      </c>
      <c r="D396" s="37">
        <v>267.46600000000001</v>
      </c>
      <c r="E396" s="43">
        <v>812.32899999999995</v>
      </c>
      <c r="F396" s="37">
        <v>1274</v>
      </c>
      <c r="G396" s="37">
        <v>50</v>
      </c>
      <c r="H396" s="45">
        <v>600</v>
      </c>
      <c r="I396" s="37">
        <v>695</v>
      </c>
      <c r="J396" s="37">
        <v>0</v>
      </c>
      <c r="K396" s="38"/>
      <c r="L396" s="38"/>
      <c r="M396" s="38"/>
      <c r="N396" s="38"/>
      <c r="O396" s="38"/>
      <c r="P396" s="38"/>
      <c r="Q396" s="38"/>
      <c r="R396" s="38"/>
      <c r="S396" s="38"/>
      <c r="T396" s="38"/>
    </row>
    <row r="397" spans="1:20" ht="15.75">
      <c r="A397" s="13">
        <v>53235</v>
      </c>
      <c r="B397" s="46">
        <v>30</v>
      </c>
      <c r="C397" s="37">
        <v>194.20500000000001</v>
      </c>
      <c r="D397" s="37">
        <v>267.46600000000001</v>
      </c>
      <c r="E397" s="43">
        <v>812.32899999999995</v>
      </c>
      <c r="F397" s="37">
        <v>1274</v>
      </c>
      <c r="G397" s="37">
        <v>50</v>
      </c>
      <c r="H397" s="45">
        <v>600</v>
      </c>
      <c r="I397" s="37">
        <v>695</v>
      </c>
      <c r="J397" s="37">
        <v>0</v>
      </c>
      <c r="K397" s="38"/>
      <c r="L397" s="38"/>
      <c r="M397" s="38"/>
      <c r="N397" s="38"/>
      <c r="O397" s="38"/>
      <c r="P397" s="38"/>
      <c r="Q397" s="38"/>
      <c r="R397" s="38"/>
      <c r="S397" s="38"/>
      <c r="T397" s="38"/>
    </row>
    <row r="398" spans="1:20" ht="15.75">
      <c r="A398" s="13">
        <v>53266</v>
      </c>
      <c r="B398" s="46">
        <v>31</v>
      </c>
      <c r="C398" s="37">
        <v>131.881</v>
      </c>
      <c r="D398" s="37">
        <v>277.16699999999997</v>
      </c>
      <c r="E398" s="43">
        <v>829.952</v>
      </c>
      <c r="F398" s="37">
        <v>1239</v>
      </c>
      <c r="G398" s="37">
        <v>75</v>
      </c>
      <c r="H398" s="45">
        <v>600</v>
      </c>
      <c r="I398" s="37">
        <v>695</v>
      </c>
      <c r="J398" s="37">
        <v>0</v>
      </c>
      <c r="K398" s="38"/>
      <c r="L398" s="38"/>
      <c r="M398" s="38"/>
      <c r="N398" s="38"/>
      <c r="O398" s="38"/>
      <c r="P398" s="38"/>
      <c r="Q398" s="38"/>
      <c r="R398" s="38"/>
      <c r="S398" s="38"/>
      <c r="T398" s="38"/>
    </row>
    <row r="399" spans="1:20" ht="15.75">
      <c r="A399" s="13">
        <v>53296</v>
      </c>
      <c r="B399" s="46">
        <v>30</v>
      </c>
      <c r="C399" s="37">
        <v>122.58</v>
      </c>
      <c r="D399" s="37">
        <v>297.94099999999997</v>
      </c>
      <c r="E399" s="43">
        <v>729.47900000000004</v>
      </c>
      <c r="F399" s="37">
        <v>1150</v>
      </c>
      <c r="G399" s="37">
        <v>100</v>
      </c>
      <c r="H399" s="45">
        <v>600</v>
      </c>
      <c r="I399" s="37">
        <v>695</v>
      </c>
      <c r="J399" s="37">
        <v>50</v>
      </c>
      <c r="K399" s="38"/>
      <c r="L399" s="38"/>
      <c r="M399" s="38"/>
      <c r="N399" s="38"/>
      <c r="O399" s="38"/>
      <c r="P399" s="38"/>
      <c r="Q399" s="38"/>
      <c r="R399" s="38"/>
      <c r="S399" s="38"/>
      <c r="T399" s="38"/>
    </row>
    <row r="400" spans="1:20" ht="15.75">
      <c r="A400" s="13">
        <v>53327</v>
      </c>
      <c r="B400" s="46">
        <v>31</v>
      </c>
      <c r="C400" s="37">
        <v>122.58</v>
      </c>
      <c r="D400" s="37">
        <v>297.94099999999997</v>
      </c>
      <c r="E400" s="43">
        <v>729.47900000000004</v>
      </c>
      <c r="F400" s="37">
        <v>1150</v>
      </c>
      <c r="G400" s="37">
        <v>100</v>
      </c>
      <c r="H400" s="45">
        <v>600</v>
      </c>
      <c r="I400" s="37">
        <v>695</v>
      </c>
      <c r="J400" s="37">
        <v>50</v>
      </c>
      <c r="K400" s="38"/>
      <c r="L400" s="38"/>
      <c r="M400" s="38"/>
      <c r="N400" s="38"/>
      <c r="O400" s="38"/>
      <c r="P400" s="38"/>
      <c r="Q400" s="38"/>
      <c r="R400" s="38"/>
      <c r="S400" s="38"/>
      <c r="T400" s="38"/>
    </row>
    <row r="401" spans="1:20" ht="15.75">
      <c r="A401" s="13">
        <v>53358</v>
      </c>
      <c r="B401" s="46">
        <v>31</v>
      </c>
      <c r="C401" s="37">
        <v>122.58</v>
      </c>
      <c r="D401" s="37">
        <v>297.94099999999997</v>
      </c>
      <c r="E401" s="43">
        <v>729.47900000000004</v>
      </c>
      <c r="F401" s="37">
        <v>1150</v>
      </c>
      <c r="G401" s="37">
        <v>100</v>
      </c>
      <c r="H401" s="45">
        <v>600</v>
      </c>
      <c r="I401" s="37">
        <v>695</v>
      </c>
      <c r="J401" s="37">
        <v>50</v>
      </c>
      <c r="K401" s="38"/>
      <c r="L401" s="38"/>
      <c r="M401" s="38"/>
      <c r="N401" s="38"/>
      <c r="O401" s="38"/>
      <c r="P401" s="38"/>
      <c r="Q401" s="38"/>
      <c r="R401" s="38"/>
      <c r="S401" s="38"/>
      <c r="T401" s="38"/>
    </row>
    <row r="402" spans="1:20" ht="15.75">
      <c r="A402" s="13">
        <v>53386</v>
      </c>
      <c r="B402" s="46">
        <v>28</v>
      </c>
      <c r="C402" s="37">
        <v>122.58</v>
      </c>
      <c r="D402" s="37">
        <v>297.94099999999997</v>
      </c>
      <c r="E402" s="43">
        <v>729.47900000000004</v>
      </c>
      <c r="F402" s="37">
        <v>1150</v>
      </c>
      <c r="G402" s="37">
        <v>100</v>
      </c>
      <c r="H402" s="45">
        <v>600</v>
      </c>
      <c r="I402" s="37">
        <v>695</v>
      </c>
      <c r="J402" s="37">
        <v>50</v>
      </c>
      <c r="K402" s="38"/>
      <c r="L402" s="38"/>
      <c r="M402" s="38"/>
      <c r="N402" s="38"/>
      <c r="O402" s="38"/>
      <c r="P402" s="38"/>
      <c r="Q402" s="38"/>
      <c r="R402" s="38"/>
      <c r="S402" s="38"/>
      <c r="T402" s="38"/>
    </row>
    <row r="403" spans="1:20" ht="15.75">
      <c r="A403" s="13">
        <v>53417</v>
      </c>
      <c r="B403" s="46">
        <v>31</v>
      </c>
      <c r="C403" s="37">
        <v>122.58</v>
      </c>
      <c r="D403" s="37">
        <v>297.94099999999997</v>
      </c>
      <c r="E403" s="43">
        <v>729.47900000000004</v>
      </c>
      <c r="F403" s="37">
        <v>1150</v>
      </c>
      <c r="G403" s="37">
        <v>100</v>
      </c>
      <c r="H403" s="45">
        <v>600</v>
      </c>
      <c r="I403" s="37">
        <v>695</v>
      </c>
      <c r="J403" s="37">
        <v>50</v>
      </c>
      <c r="K403" s="38"/>
      <c r="L403" s="38"/>
      <c r="M403" s="38"/>
      <c r="N403" s="38"/>
      <c r="O403" s="38"/>
      <c r="P403" s="38"/>
      <c r="Q403" s="38"/>
      <c r="R403" s="38"/>
      <c r="S403" s="38"/>
      <c r="T403" s="38"/>
    </row>
    <row r="404" spans="1:20" ht="15.75">
      <c r="A404" s="13">
        <v>53447</v>
      </c>
      <c r="B404" s="46">
        <v>30</v>
      </c>
      <c r="C404" s="37">
        <v>141.29300000000001</v>
      </c>
      <c r="D404" s="37">
        <v>267.99299999999999</v>
      </c>
      <c r="E404" s="43">
        <v>829.71400000000006</v>
      </c>
      <c r="F404" s="37">
        <v>1239</v>
      </c>
      <c r="G404" s="37">
        <v>100</v>
      </c>
      <c r="H404" s="45">
        <v>600</v>
      </c>
      <c r="I404" s="37">
        <v>695</v>
      </c>
      <c r="J404" s="37">
        <v>50</v>
      </c>
      <c r="K404" s="38"/>
      <c r="L404" s="38"/>
      <c r="M404" s="38"/>
      <c r="N404" s="38"/>
      <c r="O404" s="38"/>
      <c r="P404" s="38"/>
      <c r="Q404" s="38"/>
      <c r="R404" s="38"/>
      <c r="S404" s="38"/>
      <c r="T404" s="38"/>
    </row>
    <row r="405" spans="1:20" ht="15.75">
      <c r="A405" s="13">
        <v>53478</v>
      </c>
      <c r="B405" s="46">
        <v>31</v>
      </c>
      <c r="C405" s="37">
        <v>194.20500000000001</v>
      </c>
      <c r="D405" s="37">
        <v>267.46600000000001</v>
      </c>
      <c r="E405" s="43">
        <v>812.32899999999995</v>
      </c>
      <c r="F405" s="37">
        <v>1274</v>
      </c>
      <c r="G405" s="37">
        <v>75</v>
      </c>
      <c r="H405" s="45">
        <v>600</v>
      </c>
      <c r="I405" s="37">
        <v>695</v>
      </c>
      <c r="J405" s="37">
        <v>50</v>
      </c>
      <c r="K405" s="38"/>
      <c r="L405" s="38"/>
      <c r="M405" s="38"/>
      <c r="N405" s="38"/>
      <c r="O405" s="38"/>
      <c r="P405" s="38"/>
      <c r="Q405" s="38"/>
      <c r="R405" s="38"/>
      <c r="S405" s="38"/>
      <c r="T405" s="38"/>
    </row>
    <row r="406" spans="1:20" ht="15.75">
      <c r="A406" s="13">
        <v>53508</v>
      </c>
      <c r="B406" s="46">
        <v>30</v>
      </c>
      <c r="C406" s="37">
        <v>194.20500000000001</v>
      </c>
      <c r="D406" s="37">
        <v>267.46600000000001</v>
      </c>
      <c r="E406" s="43">
        <v>812.32899999999995</v>
      </c>
      <c r="F406" s="37">
        <v>1274</v>
      </c>
      <c r="G406" s="37">
        <v>50</v>
      </c>
      <c r="H406" s="45">
        <v>600</v>
      </c>
      <c r="I406" s="37">
        <v>695</v>
      </c>
      <c r="J406" s="37">
        <v>50</v>
      </c>
      <c r="K406" s="38"/>
      <c r="L406" s="38"/>
      <c r="M406" s="38"/>
      <c r="N406" s="38"/>
      <c r="O406" s="38"/>
      <c r="P406" s="38"/>
      <c r="Q406" s="38"/>
      <c r="R406" s="38"/>
      <c r="S406" s="38"/>
      <c r="T406" s="38"/>
    </row>
    <row r="407" spans="1:20" ht="15.75">
      <c r="A407" s="13">
        <v>53539</v>
      </c>
      <c r="B407" s="46">
        <v>31</v>
      </c>
      <c r="C407" s="37">
        <v>194.20500000000001</v>
      </c>
      <c r="D407" s="37">
        <v>267.46600000000001</v>
      </c>
      <c r="E407" s="43">
        <v>812.32899999999995</v>
      </c>
      <c r="F407" s="37">
        <v>1274</v>
      </c>
      <c r="G407" s="37">
        <v>50</v>
      </c>
      <c r="H407" s="45">
        <v>600</v>
      </c>
      <c r="I407" s="37">
        <v>695</v>
      </c>
      <c r="J407" s="37">
        <v>0</v>
      </c>
      <c r="K407" s="38"/>
      <c r="L407" s="38"/>
      <c r="M407" s="38"/>
      <c r="N407" s="38"/>
      <c r="O407" s="38"/>
      <c r="P407" s="38"/>
      <c r="Q407" s="38"/>
      <c r="R407" s="38"/>
      <c r="S407" s="38"/>
      <c r="T407" s="38"/>
    </row>
    <row r="408" spans="1:20" ht="15.75">
      <c r="A408" s="13">
        <v>53570</v>
      </c>
      <c r="B408" s="46">
        <v>31</v>
      </c>
      <c r="C408" s="37">
        <v>194.20500000000001</v>
      </c>
      <c r="D408" s="37">
        <v>267.46600000000001</v>
      </c>
      <c r="E408" s="43">
        <v>812.32899999999995</v>
      </c>
      <c r="F408" s="37">
        <v>1274</v>
      </c>
      <c r="G408" s="37">
        <v>50</v>
      </c>
      <c r="H408" s="45">
        <v>600</v>
      </c>
      <c r="I408" s="37">
        <v>695</v>
      </c>
      <c r="J408" s="37">
        <v>0</v>
      </c>
      <c r="K408" s="38"/>
      <c r="L408" s="38"/>
      <c r="M408" s="38"/>
      <c r="N408" s="38"/>
      <c r="O408" s="38"/>
      <c r="P408" s="38"/>
      <c r="Q408" s="38"/>
      <c r="R408" s="38"/>
      <c r="S408" s="38"/>
      <c r="T408" s="38"/>
    </row>
    <row r="409" spans="1:20" ht="15.75">
      <c r="A409" s="13">
        <v>53600</v>
      </c>
      <c r="B409" s="46">
        <v>30</v>
      </c>
      <c r="C409" s="37">
        <v>194.20500000000001</v>
      </c>
      <c r="D409" s="37">
        <v>267.46600000000001</v>
      </c>
      <c r="E409" s="43">
        <v>812.32899999999995</v>
      </c>
      <c r="F409" s="37">
        <v>1274</v>
      </c>
      <c r="G409" s="37">
        <v>50</v>
      </c>
      <c r="H409" s="45">
        <v>600</v>
      </c>
      <c r="I409" s="37">
        <v>695</v>
      </c>
      <c r="J409" s="37">
        <v>0</v>
      </c>
      <c r="K409" s="38"/>
      <c r="L409" s="38"/>
      <c r="M409" s="38"/>
      <c r="N409" s="38"/>
      <c r="O409" s="38"/>
      <c r="P409" s="38"/>
      <c r="Q409" s="38"/>
      <c r="R409" s="38"/>
      <c r="S409" s="38"/>
      <c r="T409" s="38"/>
    </row>
    <row r="410" spans="1:20" ht="15.75">
      <c r="A410" s="13">
        <v>53631</v>
      </c>
      <c r="B410" s="46">
        <v>31</v>
      </c>
      <c r="C410" s="37">
        <v>131.881</v>
      </c>
      <c r="D410" s="37">
        <v>277.16699999999997</v>
      </c>
      <c r="E410" s="43">
        <v>829.952</v>
      </c>
      <c r="F410" s="37">
        <v>1239</v>
      </c>
      <c r="G410" s="37">
        <v>75</v>
      </c>
      <c r="H410" s="45">
        <v>600</v>
      </c>
      <c r="I410" s="37">
        <v>695</v>
      </c>
      <c r="J410" s="37">
        <v>0</v>
      </c>
      <c r="K410" s="38"/>
      <c r="L410" s="38"/>
      <c r="M410" s="38"/>
      <c r="N410" s="38"/>
      <c r="O410" s="38"/>
      <c r="P410" s="38"/>
      <c r="Q410" s="38"/>
      <c r="R410" s="38"/>
      <c r="S410" s="38"/>
      <c r="T410" s="38"/>
    </row>
    <row r="411" spans="1:20" ht="15.75">
      <c r="A411" s="13">
        <v>53661</v>
      </c>
      <c r="B411" s="46">
        <v>30</v>
      </c>
      <c r="C411" s="37">
        <v>122.58</v>
      </c>
      <c r="D411" s="37">
        <v>297.94099999999997</v>
      </c>
      <c r="E411" s="43">
        <v>729.47900000000004</v>
      </c>
      <c r="F411" s="37">
        <v>1150</v>
      </c>
      <c r="G411" s="37">
        <v>100</v>
      </c>
      <c r="H411" s="45">
        <v>600</v>
      </c>
      <c r="I411" s="37">
        <v>695</v>
      </c>
      <c r="J411" s="37">
        <v>50</v>
      </c>
      <c r="K411" s="38"/>
      <c r="L411" s="38"/>
      <c r="M411" s="38"/>
      <c r="N411" s="38"/>
      <c r="O411" s="38"/>
      <c r="P411" s="38"/>
      <c r="Q411" s="38"/>
      <c r="R411" s="38"/>
      <c r="S411" s="38"/>
      <c r="T411" s="38"/>
    </row>
    <row r="412" spans="1:20" ht="15.75">
      <c r="A412" s="13">
        <v>53692</v>
      </c>
      <c r="B412" s="46">
        <v>31</v>
      </c>
      <c r="C412" s="37">
        <v>122.58</v>
      </c>
      <c r="D412" s="37">
        <v>297.94099999999997</v>
      </c>
      <c r="E412" s="43">
        <v>729.47900000000004</v>
      </c>
      <c r="F412" s="37">
        <v>1150</v>
      </c>
      <c r="G412" s="37">
        <v>100</v>
      </c>
      <c r="H412" s="45">
        <v>600</v>
      </c>
      <c r="I412" s="37">
        <v>695</v>
      </c>
      <c r="J412" s="37">
        <v>50</v>
      </c>
      <c r="K412" s="38"/>
      <c r="L412" s="38"/>
      <c r="M412" s="38"/>
      <c r="N412" s="38"/>
      <c r="O412" s="38"/>
      <c r="P412" s="38"/>
      <c r="Q412" s="38"/>
      <c r="R412" s="38"/>
      <c r="S412" s="38"/>
      <c r="T412" s="38"/>
    </row>
    <row r="413" spans="1:20" ht="15.75">
      <c r="A413" s="13">
        <v>53723</v>
      </c>
      <c r="B413" s="46">
        <v>31</v>
      </c>
      <c r="C413" s="37">
        <v>122.58</v>
      </c>
      <c r="D413" s="37">
        <v>297.94099999999997</v>
      </c>
      <c r="E413" s="43">
        <v>729.47900000000004</v>
      </c>
      <c r="F413" s="37">
        <v>1150</v>
      </c>
      <c r="G413" s="37">
        <v>100</v>
      </c>
      <c r="H413" s="45">
        <v>600</v>
      </c>
      <c r="I413" s="37">
        <v>695</v>
      </c>
      <c r="J413" s="37">
        <v>50</v>
      </c>
      <c r="K413" s="38"/>
      <c r="L413" s="38"/>
      <c r="M413" s="38"/>
      <c r="N413" s="38"/>
      <c r="O413" s="38"/>
      <c r="P413" s="38"/>
      <c r="Q413" s="38"/>
      <c r="R413" s="38"/>
      <c r="S413" s="38"/>
      <c r="T413" s="38"/>
    </row>
    <row r="414" spans="1:20" ht="15.75">
      <c r="A414" s="13">
        <v>53751</v>
      </c>
      <c r="B414" s="46">
        <v>28</v>
      </c>
      <c r="C414" s="37">
        <v>122.58</v>
      </c>
      <c r="D414" s="37">
        <v>297.94099999999997</v>
      </c>
      <c r="E414" s="43">
        <v>729.47900000000004</v>
      </c>
      <c r="F414" s="37">
        <v>1150</v>
      </c>
      <c r="G414" s="37">
        <v>100</v>
      </c>
      <c r="H414" s="45">
        <v>600</v>
      </c>
      <c r="I414" s="37">
        <v>695</v>
      </c>
      <c r="J414" s="37">
        <v>50</v>
      </c>
      <c r="K414" s="38"/>
      <c r="L414" s="38"/>
      <c r="M414" s="38"/>
      <c r="N414" s="38"/>
      <c r="O414" s="38"/>
      <c r="P414" s="38"/>
      <c r="Q414" s="38"/>
      <c r="R414" s="38"/>
      <c r="S414" s="38"/>
      <c r="T414" s="38"/>
    </row>
    <row r="415" spans="1:20" ht="15.75">
      <c r="A415" s="13">
        <v>53782</v>
      </c>
      <c r="B415" s="46">
        <v>31</v>
      </c>
      <c r="C415" s="37">
        <v>122.58</v>
      </c>
      <c r="D415" s="37">
        <v>297.94099999999997</v>
      </c>
      <c r="E415" s="43">
        <v>729.47900000000004</v>
      </c>
      <c r="F415" s="37">
        <v>1150</v>
      </c>
      <c r="G415" s="37">
        <v>100</v>
      </c>
      <c r="H415" s="45">
        <v>600</v>
      </c>
      <c r="I415" s="37">
        <v>695</v>
      </c>
      <c r="J415" s="37">
        <v>50</v>
      </c>
      <c r="K415" s="38"/>
      <c r="L415" s="38"/>
      <c r="M415" s="38"/>
      <c r="N415" s="38"/>
      <c r="O415" s="38"/>
      <c r="P415" s="38"/>
      <c r="Q415" s="38"/>
      <c r="R415" s="38"/>
      <c r="S415" s="38"/>
      <c r="T415" s="38"/>
    </row>
    <row r="416" spans="1:20" ht="15.75">
      <c r="A416" s="13">
        <v>53812</v>
      </c>
      <c r="B416" s="46">
        <v>30</v>
      </c>
      <c r="C416" s="37">
        <v>141.29300000000001</v>
      </c>
      <c r="D416" s="37">
        <v>267.99299999999999</v>
      </c>
      <c r="E416" s="43">
        <v>829.71400000000006</v>
      </c>
      <c r="F416" s="37">
        <v>1239</v>
      </c>
      <c r="G416" s="37">
        <v>100</v>
      </c>
      <c r="H416" s="45">
        <v>600</v>
      </c>
      <c r="I416" s="37">
        <v>695</v>
      </c>
      <c r="J416" s="37">
        <v>50</v>
      </c>
      <c r="K416" s="38"/>
      <c r="L416" s="38"/>
      <c r="M416" s="38"/>
      <c r="N416" s="38"/>
      <c r="O416" s="38"/>
      <c r="P416" s="38"/>
      <c r="Q416" s="38"/>
      <c r="R416" s="38"/>
      <c r="S416" s="38"/>
      <c r="T416" s="38"/>
    </row>
    <row r="417" spans="1:20" ht="15.75">
      <c r="A417" s="13">
        <v>53843</v>
      </c>
      <c r="B417" s="46">
        <v>31</v>
      </c>
      <c r="C417" s="37">
        <v>194.20500000000001</v>
      </c>
      <c r="D417" s="37">
        <v>267.46600000000001</v>
      </c>
      <c r="E417" s="43">
        <v>812.32899999999995</v>
      </c>
      <c r="F417" s="37">
        <v>1274</v>
      </c>
      <c r="G417" s="37">
        <v>75</v>
      </c>
      <c r="H417" s="45">
        <v>600</v>
      </c>
      <c r="I417" s="37">
        <v>695</v>
      </c>
      <c r="J417" s="37">
        <v>50</v>
      </c>
      <c r="K417" s="38"/>
      <c r="L417" s="38"/>
      <c r="M417" s="38"/>
      <c r="N417" s="38"/>
      <c r="O417" s="38"/>
      <c r="P417" s="38"/>
      <c r="Q417" s="38"/>
      <c r="R417" s="38"/>
      <c r="S417" s="38"/>
      <c r="T417" s="38"/>
    </row>
    <row r="418" spans="1:20" ht="15.75">
      <c r="A418" s="13">
        <v>53873</v>
      </c>
      <c r="B418" s="46">
        <v>30</v>
      </c>
      <c r="C418" s="37">
        <v>194.20500000000001</v>
      </c>
      <c r="D418" s="37">
        <v>267.46600000000001</v>
      </c>
      <c r="E418" s="43">
        <v>812.32899999999995</v>
      </c>
      <c r="F418" s="37">
        <v>1274</v>
      </c>
      <c r="G418" s="37">
        <v>50</v>
      </c>
      <c r="H418" s="45">
        <v>600</v>
      </c>
      <c r="I418" s="37">
        <v>695</v>
      </c>
      <c r="J418" s="37">
        <v>50</v>
      </c>
      <c r="K418" s="38"/>
      <c r="L418" s="38"/>
      <c r="M418" s="38"/>
      <c r="N418" s="38"/>
      <c r="O418" s="38"/>
      <c r="P418" s="38"/>
      <c r="Q418" s="38"/>
      <c r="R418" s="38"/>
      <c r="S418" s="38"/>
      <c r="T418" s="38"/>
    </row>
    <row r="419" spans="1:20" ht="15.75">
      <c r="A419" s="13">
        <v>53904</v>
      </c>
      <c r="B419" s="46">
        <v>31</v>
      </c>
      <c r="C419" s="37">
        <v>194.20500000000001</v>
      </c>
      <c r="D419" s="37">
        <v>267.46600000000001</v>
      </c>
      <c r="E419" s="43">
        <v>812.32899999999995</v>
      </c>
      <c r="F419" s="37">
        <v>1274</v>
      </c>
      <c r="G419" s="37">
        <v>50</v>
      </c>
      <c r="H419" s="45">
        <v>600</v>
      </c>
      <c r="I419" s="37">
        <v>695</v>
      </c>
      <c r="J419" s="37">
        <v>0</v>
      </c>
      <c r="K419" s="38"/>
      <c r="L419" s="38"/>
      <c r="M419" s="38"/>
      <c r="N419" s="38"/>
      <c r="O419" s="38"/>
      <c r="P419" s="38"/>
      <c r="Q419" s="38"/>
      <c r="R419" s="38"/>
      <c r="S419" s="38"/>
      <c r="T419" s="38"/>
    </row>
    <row r="420" spans="1:20" ht="15.75">
      <c r="A420" s="13">
        <v>53935</v>
      </c>
      <c r="B420" s="46">
        <v>31</v>
      </c>
      <c r="C420" s="37">
        <v>194.20500000000001</v>
      </c>
      <c r="D420" s="37">
        <v>267.46600000000001</v>
      </c>
      <c r="E420" s="43">
        <v>812.32899999999995</v>
      </c>
      <c r="F420" s="37">
        <v>1274</v>
      </c>
      <c r="G420" s="37">
        <v>50</v>
      </c>
      <c r="H420" s="45">
        <v>600</v>
      </c>
      <c r="I420" s="37">
        <v>695</v>
      </c>
      <c r="J420" s="37">
        <v>0</v>
      </c>
      <c r="K420" s="38"/>
      <c r="L420" s="38"/>
      <c r="M420" s="38"/>
      <c r="N420" s="38"/>
      <c r="O420" s="38"/>
      <c r="P420" s="38"/>
      <c r="Q420" s="38"/>
      <c r="R420" s="38"/>
      <c r="S420" s="38"/>
      <c r="T420" s="38"/>
    </row>
    <row r="421" spans="1:20" ht="15.75">
      <c r="A421" s="13">
        <v>53965</v>
      </c>
      <c r="B421" s="46">
        <v>30</v>
      </c>
      <c r="C421" s="37">
        <v>194.20500000000001</v>
      </c>
      <c r="D421" s="37">
        <v>267.46600000000001</v>
      </c>
      <c r="E421" s="43">
        <v>812.32899999999995</v>
      </c>
      <c r="F421" s="37">
        <v>1274</v>
      </c>
      <c r="G421" s="37">
        <v>50</v>
      </c>
      <c r="H421" s="45">
        <v>600</v>
      </c>
      <c r="I421" s="37">
        <v>695</v>
      </c>
      <c r="J421" s="37">
        <v>0</v>
      </c>
      <c r="K421" s="38"/>
      <c r="L421" s="38"/>
      <c r="M421" s="38"/>
      <c r="N421" s="38"/>
      <c r="O421" s="38"/>
      <c r="P421" s="38"/>
      <c r="Q421" s="38"/>
      <c r="R421" s="38"/>
      <c r="S421" s="38"/>
      <c r="T421" s="38"/>
    </row>
    <row r="422" spans="1:20" ht="15.75">
      <c r="A422" s="13">
        <v>53996</v>
      </c>
      <c r="B422" s="46">
        <v>31</v>
      </c>
      <c r="C422" s="37">
        <v>131.881</v>
      </c>
      <c r="D422" s="37">
        <v>277.16699999999997</v>
      </c>
      <c r="E422" s="43">
        <v>829.952</v>
      </c>
      <c r="F422" s="37">
        <v>1239</v>
      </c>
      <c r="G422" s="37">
        <v>75</v>
      </c>
      <c r="H422" s="45">
        <v>600</v>
      </c>
      <c r="I422" s="37">
        <v>695</v>
      </c>
      <c r="J422" s="37">
        <v>0</v>
      </c>
      <c r="K422" s="38"/>
      <c r="L422" s="38"/>
      <c r="M422" s="38"/>
      <c r="N422" s="38"/>
      <c r="O422" s="38"/>
      <c r="P422" s="38"/>
      <c r="Q422" s="38"/>
      <c r="R422" s="38"/>
      <c r="S422" s="38"/>
      <c r="T422" s="38"/>
    </row>
    <row r="423" spans="1:20" ht="15.75">
      <c r="A423" s="13">
        <v>54026</v>
      </c>
      <c r="B423" s="46">
        <v>30</v>
      </c>
      <c r="C423" s="37">
        <v>122.58</v>
      </c>
      <c r="D423" s="37">
        <v>297.94099999999997</v>
      </c>
      <c r="E423" s="43">
        <v>729.47900000000004</v>
      </c>
      <c r="F423" s="37">
        <v>1150</v>
      </c>
      <c r="G423" s="37">
        <v>100</v>
      </c>
      <c r="H423" s="45">
        <v>600</v>
      </c>
      <c r="I423" s="37">
        <v>695</v>
      </c>
      <c r="J423" s="37">
        <v>50</v>
      </c>
      <c r="K423" s="38"/>
      <c r="L423" s="38"/>
      <c r="M423" s="38"/>
      <c r="N423" s="38"/>
      <c r="O423" s="38"/>
      <c r="P423" s="38"/>
      <c r="Q423" s="38"/>
      <c r="R423" s="38"/>
      <c r="S423" s="38"/>
      <c r="T423" s="38"/>
    </row>
    <row r="424" spans="1:20" ht="15.75">
      <c r="A424" s="13">
        <v>54057</v>
      </c>
      <c r="B424" s="46">
        <v>31</v>
      </c>
      <c r="C424" s="37">
        <v>122.58</v>
      </c>
      <c r="D424" s="37">
        <v>297.94099999999997</v>
      </c>
      <c r="E424" s="43">
        <v>729.47900000000004</v>
      </c>
      <c r="F424" s="37">
        <v>1150</v>
      </c>
      <c r="G424" s="37">
        <v>100</v>
      </c>
      <c r="H424" s="45">
        <v>600</v>
      </c>
      <c r="I424" s="37">
        <v>695</v>
      </c>
      <c r="J424" s="37">
        <v>50</v>
      </c>
      <c r="K424" s="38"/>
      <c r="L424" s="38"/>
      <c r="M424" s="38"/>
      <c r="N424" s="38"/>
      <c r="O424" s="38"/>
      <c r="P424" s="38"/>
      <c r="Q424" s="38"/>
      <c r="R424" s="38"/>
      <c r="S424" s="38"/>
      <c r="T424" s="38"/>
    </row>
    <row r="425" spans="1:20" ht="15.75">
      <c r="A425" s="13">
        <v>54088</v>
      </c>
      <c r="B425" s="46">
        <v>31</v>
      </c>
      <c r="C425" s="37">
        <v>122.58</v>
      </c>
      <c r="D425" s="37">
        <v>297.94099999999997</v>
      </c>
      <c r="E425" s="43">
        <v>729.47900000000004</v>
      </c>
      <c r="F425" s="37">
        <v>1150</v>
      </c>
      <c r="G425" s="37">
        <v>100</v>
      </c>
      <c r="H425" s="45">
        <v>600</v>
      </c>
      <c r="I425" s="37">
        <v>695</v>
      </c>
      <c r="J425" s="37">
        <v>50</v>
      </c>
      <c r="K425" s="38"/>
      <c r="L425" s="38"/>
      <c r="M425" s="38"/>
      <c r="N425" s="38"/>
      <c r="O425" s="38"/>
      <c r="P425" s="38"/>
      <c r="Q425" s="38"/>
      <c r="R425" s="38"/>
      <c r="S425" s="38"/>
      <c r="T425" s="38"/>
    </row>
    <row r="426" spans="1:20" ht="15.75">
      <c r="A426" s="13">
        <v>54116</v>
      </c>
      <c r="B426" s="46">
        <v>29</v>
      </c>
      <c r="C426" s="37">
        <v>122.58</v>
      </c>
      <c r="D426" s="37">
        <v>297.94099999999997</v>
      </c>
      <c r="E426" s="43">
        <v>729.47900000000004</v>
      </c>
      <c r="F426" s="37">
        <v>1150</v>
      </c>
      <c r="G426" s="37">
        <v>100</v>
      </c>
      <c r="H426" s="45">
        <v>600</v>
      </c>
      <c r="I426" s="37">
        <v>695</v>
      </c>
      <c r="J426" s="37">
        <v>50</v>
      </c>
      <c r="K426" s="38"/>
      <c r="L426" s="38"/>
      <c r="M426" s="38"/>
      <c r="N426" s="38"/>
      <c r="O426" s="38"/>
      <c r="P426" s="38"/>
      <c r="Q426" s="38"/>
      <c r="R426" s="38"/>
      <c r="S426" s="38"/>
      <c r="T426" s="38"/>
    </row>
    <row r="427" spans="1:20" ht="15.75">
      <c r="A427" s="13">
        <v>54148</v>
      </c>
      <c r="B427" s="46">
        <v>31</v>
      </c>
      <c r="C427" s="37">
        <v>122.58</v>
      </c>
      <c r="D427" s="37">
        <v>297.94099999999997</v>
      </c>
      <c r="E427" s="43">
        <v>729.47900000000004</v>
      </c>
      <c r="F427" s="37">
        <v>1150</v>
      </c>
      <c r="G427" s="37">
        <v>100</v>
      </c>
      <c r="H427" s="45">
        <v>600</v>
      </c>
      <c r="I427" s="37">
        <v>695</v>
      </c>
      <c r="J427" s="37">
        <v>50</v>
      </c>
      <c r="K427" s="38"/>
      <c r="L427" s="38"/>
      <c r="M427" s="38"/>
      <c r="N427" s="38"/>
      <c r="O427" s="38"/>
      <c r="P427" s="38"/>
      <c r="Q427" s="38"/>
      <c r="R427" s="38"/>
      <c r="S427" s="38"/>
      <c r="T427" s="38"/>
    </row>
    <row r="428" spans="1:20" ht="15.75">
      <c r="A428" s="13">
        <v>54178</v>
      </c>
      <c r="B428" s="46">
        <v>30</v>
      </c>
      <c r="C428" s="37">
        <v>141.29300000000001</v>
      </c>
      <c r="D428" s="37">
        <v>267.99299999999999</v>
      </c>
      <c r="E428" s="43">
        <v>829.71400000000006</v>
      </c>
      <c r="F428" s="37">
        <v>1239</v>
      </c>
      <c r="G428" s="37">
        <v>100</v>
      </c>
      <c r="H428" s="45">
        <v>600</v>
      </c>
      <c r="I428" s="37">
        <v>695</v>
      </c>
      <c r="J428" s="37">
        <v>50</v>
      </c>
      <c r="K428" s="38"/>
      <c r="L428" s="38"/>
      <c r="M428" s="38"/>
      <c r="N428" s="38"/>
      <c r="O428" s="38"/>
      <c r="P428" s="38"/>
      <c r="Q428" s="38"/>
      <c r="R428" s="38"/>
      <c r="S428" s="38"/>
      <c r="T428" s="38"/>
    </row>
    <row r="429" spans="1:20" ht="15.75">
      <c r="A429" s="13">
        <v>54209</v>
      </c>
      <c r="B429" s="46">
        <v>31</v>
      </c>
      <c r="C429" s="37">
        <v>194.20500000000001</v>
      </c>
      <c r="D429" s="37">
        <v>267.46600000000001</v>
      </c>
      <c r="E429" s="43">
        <v>812.32899999999995</v>
      </c>
      <c r="F429" s="37">
        <v>1274</v>
      </c>
      <c r="G429" s="37">
        <v>75</v>
      </c>
      <c r="H429" s="45">
        <v>600</v>
      </c>
      <c r="I429" s="37">
        <v>695</v>
      </c>
      <c r="J429" s="37">
        <v>50</v>
      </c>
      <c r="K429" s="38"/>
      <c r="L429" s="38"/>
      <c r="M429" s="38"/>
      <c r="N429" s="38"/>
      <c r="O429" s="38"/>
      <c r="P429" s="38"/>
      <c r="Q429" s="38"/>
      <c r="R429" s="38"/>
      <c r="S429" s="38"/>
      <c r="T429" s="38"/>
    </row>
    <row r="430" spans="1:20" ht="15.75">
      <c r="A430" s="13">
        <v>54239</v>
      </c>
      <c r="B430" s="46">
        <v>30</v>
      </c>
      <c r="C430" s="37">
        <v>194.20500000000001</v>
      </c>
      <c r="D430" s="37">
        <v>267.46600000000001</v>
      </c>
      <c r="E430" s="43">
        <v>812.32899999999995</v>
      </c>
      <c r="F430" s="37">
        <v>1274</v>
      </c>
      <c r="G430" s="37">
        <v>50</v>
      </c>
      <c r="H430" s="45">
        <v>600</v>
      </c>
      <c r="I430" s="37">
        <v>695</v>
      </c>
      <c r="J430" s="37">
        <v>50</v>
      </c>
      <c r="K430" s="38"/>
      <c r="L430" s="38"/>
      <c r="M430" s="38"/>
      <c r="N430" s="38"/>
      <c r="O430" s="38"/>
      <c r="P430" s="38"/>
      <c r="Q430" s="38"/>
      <c r="R430" s="38"/>
      <c r="S430" s="38"/>
      <c r="T430" s="38"/>
    </row>
    <row r="431" spans="1:20" ht="15.75">
      <c r="A431" s="13">
        <v>54270</v>
      </c>
      <c r="B431" s="46">
        <v>31</v>
      </c>
      <c r="C431" s="37">
        <v>194.20500000000001</v>
      </c>
      <c r="D431" s="37">
        <v>267.46600000000001</v>
      </c>
      <c r="E431" s="43">
        <v>812.32899999999995</v>
      </c>
      <c r="F431" s="37">
        <v>1274</v>
      </c>
      <c r="G431" s="37">
        <v>50</v>
      </c>
      <c r="H431" s="45">
        <v>600</v>
      </c>
      <c r="I431" s="37">
        <v>695</v>
      </c>
      <c r="J431" s="37">
        <v>0</v>
      </c>
      <c r="K431" s="38"/>
      <c r="L431" s="38"/>
      <c r="M431" s="38"/>
      <c r="N431" s="38"/>
      <c r="O431" s="38"/>
      <c r="P431" s="38"/>
      <c r="Q431" s="38"/>
      <c r="R431" s="38"/>
      <c r="S431" s="38"/>
      <c r="T431" s="38"/>
    </row>
    <row r="432" spans="1:20" ht="15.75">
      <c r="A432" s="13">
        <v>54301</v>
      </c>
      <c r="B432" s="46">
        <v>31</v>
      </c>
      <c r="C432" s="37">
        <v>194.20500000000001</v>
      </c>
      <c r="D432" s="37">
        <v>267.46600000000001</v>
      </c>
      <c r="E432" s="43">
        <v>812.32899999999995</v>
      </c>
      <c r="F432" s="37">
        <v>1274</v>
      </c>
      <c r="G432" s="37">
        <v>50</v>
      </c>
      <c r="H432" s="45">
        <v>600</v>
      </c>
      <c r="I432" s="37">
        <v>695</v>
      </c>
      <c r="J432" s="37">
        <v>0</v>
      </c>
      <c r="K432" s="38"/>
      <c r="L432" s="38"/>
      <c r="M432" s="38"/>
      <c r="N432" s="38"/>
      <c r="O432" s="38"/>
      <c r="P432" s="38"/>
      <c r="Q432" s="38"/>
      <c r="R432" s="38"/>
      <c r="S432" s="38"/>
      <c r="T432" s="38"/>
    </row>
    <row r="433" spans="1:20" ht="15.75">
      <c r="A433" s="13">
        <v>54331</v>
      </c>
      <c r="B433" s="46">
        <v>30</v>
      </c>
      <c r="C433" s="37">
        <v>194.20500000000001</v>
      </c>
      <c r="D433" s="37">
        <v>267.46600000000001</v>
      </c>
      <c r="E433" s="43">
        <v>812.32899999999995</v>
      </c>
      <c r="F433" s="37">
        <v>1274</v>
      </c>
      <c r="G433" s="37">
        <v>50</v>
      </c>
      <c r="H433" s="45">
        <v>600</v>
      </c>
      <c r="I433" s="37">
        <v>695</v>
      </c>
      <c r="J433" s="37">
        <v>0</v>
      </c>
      <c r="K433" s="38"/>
      <c r="L433" s="38"/>
      <c r="M433" s="38"/>
      <c r="N433" s="38"/>
      <c r="O433" s="38"/>
      <c r="P433" s="38"/>
      <c r="Q433" s="38"/>
      <c r="R433" s="38"/>
      <c r="S433" s="38"/>
      <c r="T433" s="38"/>
    </row>
    <row r="434" spans="1:20" ht="15.75">
      <c r="A434" s="13">
        <v>54362</v>
      </c>
      <c r="B434" s="46">
        <v>31</v>
      </c>
      <c r="C434" s="37">
        <v>131.881</v>
      </c>
      <c r="D434" s="37">
        <v>277.16699999999997</v>
      </c>
      <c r="E434" s="43">
        <v>829.952</v>
      </c>
      <c r="F434" s="37">
        <v>1239</v>
      </c>
      <c r="G434" s="37">
        <v>75</v>
      </c>
      <c r="H434" s="45">
        <v>600</v>
      </c>
      <c r="I434" s="37">
        <v>695</v>
      </c>
      <c r="J434" s="37">
        <v>0</v>
      </c>
      <c r="K434" s="38"/>
      <c r="L434" s="38"/>
      <c r="M434" s="38"/>
      <c r="N434" s="38"/>
      <c r="O434" s="38"/>
      <c r="P434" s="38"/>
      <c r="Q434" s="38"/>
      <c r="R434" s="38"/>
      <c r="S434" s="38"/>
      <c r="T434" s="38"/>
    </row>
    <row r="435" spans="1:20" ht="15.75">
      <c r="A435" s="13">
        <v>54392</v>
      </c>
      <c r="B435" s="46">
        <v>30</v>
      </c>
      <c r="C435" s="37">
        <v>122.58</v>
      </c>
      <c r="D435" s="37">
        <v>297.94099999999997</v>
      </c>
      <c r="E435" s="43">
        <v>729.47900000000004</v>
      </c>
      <c r="F435" s="37">
        <v>1150</v>
      </c>
      <c r="G435" s="37">
        <v>100</v>
      </c>
      <c r="H435" s="45">
        <v>600</v>
      </c>
      <c r="I435" s="37">
        <v>695</v>
      </c>
      <c r="J435" s="37">
        <v>50</v>
      </c>
      <c r="K435" s="38"/>
      <c r="L435" s="38"/>
      <c r="M435" s="38"/>
      <c r="N435" s="38"/>
      <c r="O435" s="38"/>
      <c r="P435" s="38"/>
      <c r="Q435" s="38"/>
      <c r="R435" s="38"/>
      <c r="S435" s="38"/>
      <c r="T435" s="38"/>
    </row>
    <row r="436" spans="1:20" ht="15.75">
      <c r="A436" s="13">
        <v>54423</v>
      </c>
      <c r="B436" s="46">
        <v>31</v>
      </c>
      <c r="C436" s="37">
        <v>122.58</v>
      </c>
      <c r="D436" s="37">
        <v>297.94099999999997</v>
      </c>
      <c r="E436" s="43">
        <v>729.47900000000004</v>
      </c>
      <c r="F436" s="37">
        <v>1150</v>
      </c>
      <c r="G436" s="37">
        <v>100</v>
      </c>
      <c r="H436" s="45">
        <v>600</v>
      </c>
      <c r="I436" s="37">
        <v>695</v>
      </c>
      <c r="J436" s="37">
        <v>50</v>
      </c>
      <c r="K436" s="38"/>
      <c r="L436" s="38"/>
      <c r="M436" s="38"/>
      <c r="N436" s="38"/>
      <c r="O436" s="38"/>
      <c r="P436" s="38"/>
      <c r="Q436" s="38"/>
      <c r="R436" s="38"/>
      <c r="S436" s="38"/>
      <c r="T436" s="38"/>
    </row>
    <row r="437" spans="1:20" ht="15.75">
      <c r="A437" s="13">
        <v>54454</v>
      </c>
      <c r="B437" s="46">
        <v>31</v>
      </c>
      <c r="C437" s="37">
        <v>122.58</v>
      </c>
      <c r="D437" s="37">
        <v>297.94099999999997</v>
      </c>
      <c r="E437" s="43">
        <v>729.47900000000004</v>
      </c>
      <c r="F437" s="37">
        <v>1150</v>
      </c>
      <c r="G437" s="37">
        <v>100</v>
      </c>
      <c r="H437" s="45">
        <v>600</v>
      </c>
      <c r="I437" s="37">
        <v>695</v>
      </c>
      <c r="J437" s="37">
        <v>50</v>
      </c>
      <c r="K437" s="38"/>
      <c r="L437" s="38"/>
      <c r="M437" s="38"/>
      <c r="N437" s="38"/>
      <c r="O437" s="38"/>
      <c r="P437" s="38"/>
      <c r="Q437" s="38"/>
      <c r="R437" s="38"/>
      <c r="S437" s="38"/>
      <c r="T437" s="38"/>
    </row>
    <row r="438" spans="1:20" ht="15.75">
      <c r="A438" s="13">
        <v>54482</v>
      </c>
      <c r="B438" s="46">
        <v>28</v>
      </c>
      <c r="C438" s="37">
        <v>122.58</v>
      </c>
      <c r="D438" s="37">
        <v>297.94099999999997</v>
      </c>
      <c r="E438" s="43">
        <v>729.47900000000004</v>
      </c>
      <c r="F438" s="37">
        <v>1150</v>
      </c>
      <c r="G438" s="37">
        <v>100</v>
      </c>
      <c r="H438" s="45">
        <v>600</v>
      </c>
      <c r="I438" s="37">
        <v>695</v>
      </c>
      <c r="J438" s="37">
        <v>50</v>
      </c>
      <c r="K438" s="38"/>
      <c r="L438" s="38"/>
      <c r="M438" s="38"/>
      <c r="N438" s="38"/>
      <c r="O438" s="38"/>
      <c r="P438" s="38"/>
      <c r="Q438" s="38"/>
      <c r="R438" s="38"/>
      <c r="S438" s="38"/>
      <c r="T438" s="38"/>
    </row>
    <row r="439" spans="1:20" ht="15.75">
      <c r="A439" s="13">
        <v>54513</v>
      </c>
      <c r="B439" s="46">
        <v>31</v>
      </c>
      <c r="C439" s="37">
        <v>122.58</v>
      </c>
      <c r="D439" s="37">
        <v>297.94099999999997</v>
      </c>
      <c r="E439" s="43">
        <v>729.47900000000004</v>
      </c>
      <c r="F439" s="37">
        <v>1150</v>
      </c>
      <c r="G439" s="37">
        <v>100</v>
      </c>
      <c r="H439" s="45">
        <v>600</v>
      </c>
      <c r="I439" s="37">
        <v>695</v>
      </c>
      <c r="J439" s="37">
        <v>50</v>
      </c>
      <c r="K439" s="38"/>
      <c r="L439" s="38"/>
      <c r="M439" s="38"/>
      <c r="N439" s="38"/>
      <c r="O439" s="38"/>
      <c r="P439" s="38"/>
      <c r="Q439" s="38"/>
      <c r="R439" s="38"/>
      <c r="S439" s="38"/>
      <c r="T439" s="38"/>
    </row>
    <row r="440" spans="1:20" ht="15.75">
      <c r="A440" s="13">
        <v>54543</v>
      </c>
      <c r="B440" s="46">
        <v>30</v>
      </c>
      <c r="C440" s="37">
        <v>141.29300000000001</v>
      </c>
      <c r="D440" s="37">
        <v>267.99299999999999</v>
      </c>
      <c r="E440" s="43">
        <v>829.71400000000006</v>
      </c>
      <c r="F440" s="37">
        <v>1239</v>
      </c>
      <c r="G440" s="37">
        <v>100</v>
      </c>
      <c r="H440" s="45">
        <v>600</v>
      </c>
      <c r="I440" s="37">
        <v>695</v>
      </c>
      <c r="J440" s="37">
        <v>50</v>
      </c>
      <c r="K440" s="38"/>
      <c r="L440" s="38"/>
      <c r="M440" s="38"/>
      <c r="N440" s="38"/>
      <c r="O440" s="38"/>
      <c r="P440" s="38"/>
      <c r="Q440" s="38"/>
      <c r="R440" s="38"/>
      <c r="S440" s="38"/>
      <c r="T440" s="38"/>
    </row>
    <row r="441" spans="1:20" ht="15.75">
      <c r="A441" s="13">
        <v>54574</v>
      </c>
      <c r="B441" s="46">
        <v>31</v>
      </c>
      <c r="C441" s="37">
        <v>194.20500000000001</v>
      </c>
      <c r="D441" s="37">
        <v>267.46600000000001</v>
      </c>
      <c r="E441" s="43">
        <v>812.32899999999995</v>
      </c>
      <c r="F441" s="37">
        <v>1274</v>
      </c>
      <c r="G441" s="37">
        <v>75</v>
      </c>
      <c r="H441" s="45">
        <v>600</v>
      </c>
      <c r="I441" s="37">
        <v>695</v>
      </c>
      <c r="J441" s="37">
        <v>50</v>
      </c>
      <c r="K441" s="38"/>
      <c r="L441" s="38"/>
      <c r="M441" s="38"/>
      <c r="N441" s="38"/>
      <c r="O441" s="38"/>
      <c r="P441" s="38"/>
      <c r="Q441" s="38"/>
      <c r="R441" s="38"/>
      <c r="S441" s="38"/>
      <c r="T441" s="38"/>
    </row>
    <row r="442" spans="1:20" ht="15.75">
      <c r="A442" s="13">
        <v>54604</v>
      </c>
      <c r="B442" s="46">
        <v>30</v>
      </c>
      <c r="C442" s="37">
        <v>194.20500000000001</v>
      </c>
      <c r="D442" s="37">
        <v>267.46600000000001</v>
      </c>
      <c r="E442" s="43">
        <v>812.32899999999995</v>
      </c>
      <c r="F442" s="37">
        <v>1274</v>
      </c>
      <c r="G442" s="37">
        <v>50</v>
      </c>
      <c r="H442" s="45">
        <v>600</v>
      </c>
      <c r="I442" s="37">
        <v>695</v>
      </c>
      <c r="J442" s="37">
        <v>50</v>
      </c>
      <c r="K442" s="38"/>
      <c r="L442" s="38"/>
      <c r="M442" s="38"/>
      <c r="N442" s="38"/>
      <c r="O442" s="38"/>
      <c r="P442" s="38"/>
      <c r="Q442" s="38"/>
      <c r="R442" s="38"/>
      <c r="S442" s="38"/>
      <c r="T442" s="38"/>
    </row>
    <row r="443" spans="1:20" ht="15.75">
      <c r="A443" s="13">
        <v>54635</v>
      </c>
      <c r="B443" s="46">
        <v>31</v>
      </c>
      <c r="C443" s="37">
        <v>194.20500000000001</v>
      </c>
      <c r="D443" s="37">
        <v>267.46600000000001</v>
      </c>
      <c r="E443" s="43">
        <v>812.32899999999995</v>
      </c>
      <c r="F443" s="37">
        <v>1274</v>
      </c>
      <c r="G443" s="37">
        <v>50</v>
      </c>
      <c r="H443" s="45">
        <v>600</v>
      </c>
      <c r="I443" s="37">
        <v>695</v>
      </c>
      <c r="J443" s="37">
        <v>0</v>
      </c>
      <c r="K443" s="38"/>
      <c r="L443" s="38"/>
      <c r="M443" s="38"/>
      <c r="N443" s="38"/>
      <c r="O443" s="38"/>
      <c r="P443" s="38"/>
      <c r="Q443" s="38"/>
      <c r="R443" s="38"/>
      <c r="S443" s="38"/>
      <c r="T443" s="38"/>
    </row>
    <row r="444" spans="1:20" ht="15.75">
      <c r="A444" s="13">
        <v>54666</v>
      </c>
      <c r="B444" s="46">
        <v>31</v>
      </c>
      <c r="C444" s="37">
        <v>194.20500000000001</v>
      </c>
      <c r="D444" s="37">
        <v>267.46600000000001</v>
      </c>
      <c r="E444" s="43">
        <v>812.32899999999995</v>
      </c>
      <c r="F444" s="37">
        <v>1274</v>
      </c>
      <c r="G444" s="37">
        <v>50</v>
      </c>
      <c r="H444" s="45">
        <v>600</v>
      </c>
      <c r="I444" s="37">
        <v>695</v>
      </c>
      <c r="J444" s="37">
        <v>0</v>
      </c>
      <c r="K444" s="38"/>
      <c r="L444" s="38"/>
      <c r="M444" s="38"/>
      <c r="N444" s="38"/>
      <c r="O444" s="38"/>
      <c r="P444" s="38"/>
      <c r="Q444" s="38"/>
      <c r="R444" s="38"/>
      <c r="S444" s="38"/>
      <c r="T444" s="38"/>
    </row>
    <row r="445" spans="1:20" ht="15.75">
      <c r="A445" s="13">
        <v>54696</v>
      </c>
      <c r="B445" s="46">
        <v>30</v>
      </c>
      <c r="C445" s="37">
        <v>194.20500000000001</v>
      </c>
      <c r="D445" s="37">
        <v>267.46600000000001</v>
      </c>
      <c r="E445" s="43">
        <v>812.32899999999995</v>
      </c>
      <c r="F445" s="37">
        <v>1274</v>
      </c>
      <c r="G445" s="37">
        <v>50</v>
      </c>
      <c r="H445" s="45">
        <v>600</v>
      </c>
      <c r="I445" s="37">
        <v>695</v>
      </c>
      <c r="J445" s="37">
        <v>0</v>
      </c>
      <c r="K445" s="38"/>
      <c r="L445" s="38"/>
      <c r="M445" s="38"/>
      <c r="N445" s="38"/>
      <c r="O445" s="38"/>
      <c r="P445" s="38"/>
      <c r="Q445" s="38"/>
      <c r="R445" s="38"/>
      <c r="S445" s="38"/>
      <c r="T445" s="38"/>
    </row>
    <row r="446" spans="1:20" ht="15.75">
      <c r="A446" s="13">
        <v>54727</v>
      </c>
      <c r="B446" s="46">
        <v>31</v>
      </c>
      <c r="C446" s="37">
        <v>131.881</v>
      </c>
      <c r="D446" s="37">
        <v>277.16699999999997</v>
      </c>
      <c r="E446" s="43">
        <v>829.952</v>
      </c>
      <c r="F446" s="37">
        <v>1239</v>
      </c>
      <c r="G446" s="37">
        <v>75</v>
      </c>
      <c r="H446" s="45">
        <v>600</v>
      </c>
      <c r="I446" s="37">
        <v>695</v>
      </c>
      <c r="J446" s="37">
        <v>0</v>
      </c>
      <c r="K446" s="38"/>
      <c r="L446" s="38"/>
      <c r="M446" s="38"/>
      <c r="N446" s="38"/>
      <c r="O446" s="38"/>
      <c r="P446" s="38"/>
      <c r="Q446" s="38"/>
      <c r="R446" s="38"/>
      <c r="S446" s="38"/>
      <c r="T446" s="38"/>
    </row>
    <row r="447" spans="1:20" ht="15.75">
      <c r="A447" s="13">
        <v>54757</v>
      </c>
      <c r="B447" s="46">
        <v>30</v>
      </c>
      <c r="C447" s="37">
        <v>122.58</v>
      </c>
      <c r="D447" s="37">
        <v>297.94099999999997</v>
      </c>
      <c r="E447" s="43">
        <v>729.47900000000004</v>
      </c>
      <c r="F447" s="37">
        <v>1150</v>
      </c>
      <c r="G447" s="37">
        <v>100</v>
      </c>
      <c r="H447" s="45">
        <v>600</v>
      </c>
      <c r="I447" s="37">
        <v>695</v>
      </c>
      <c r="J447" s="37">
        <v>50</v>
      </c>
      <c r="K447" s="38"/>
      <c r="L447" s="38"/>
      <c r="M447" s="38"/>
      <c r="N447" s="38"/>
      <c r="O447" s="38"/>
      <c r="P447" s="38"/>
      <c r="Q447" s="38"/>
      <c r="R447" s="38"/>
      <c r="S447" s="38"/>
      <c r="T447" s="38"/>
    </row>
    <row r="448" spans="1:20" ht="15.75">
      <c r="A448" s="13">
        <v>54788</v>
      </c>
      <c r="B448" s="46">
        <v>31</v>
      </c>
      <c r="C448" s="37">
        <v>122.58</v>
      </c>
      <c r="D448" s="37">
        <v>297.94099999999997</v>
      </c>
      <c r="E448" s="43">
        <v>729.47900000000004</v>
      </c>
      <c r="F448" s="37">
        <v>1150</v>
      </c>
      <c r="G448" s="37">
        <v>100</v>
      </c>
      <c r="H448" s="45">
        <v>600</v>
      </c>
      <c r="I448" s="37">
        <v>695</v>
      </c>
      <c r="J448" s="37">
        <v>50</v>
      </c>
      <c r="K448" s="38"/>
      <c r="L448" s="38"/>
      <c r="M448" s="38"/>
      <c r="N448" s="38"/>
      <c r="O448" s="38"/>
      <c r="P448" s="38"/>
      <c r="Q448" s="38"/>
      <c r="R448" s="38"/>
      <c r="S448" s="38"/>
      <c r="T448" s="38"/>
    </row>
    <row r="449" spans="1:20" ht="15.75">
      <c r="A449" s="13">
        <v>54819</v>
      </c>
      <c r="B449" s="46">
        <v>31</v>
      </c>
      <c r="C449" s="37">
        <v>122.58</v>
      </c>
      <c r="D449" s="37">
        <v>297.94099999999997</v>
      </c>
      <c r="E449" s="43">
        <v>729.47900000000004</v>
      </c>
      <c r="F449" s="37">
        <v>1150</v>
      </c>
      <c r="G449" s="37">
        <v>100</v>
      </c>
      <c r="H449" s="45">
        <v>600</v>
      </c>
      <c r="I449" s="37">
        <v>695</v>
      </c>
      <c r="J449" s="37">
        <v>50</v>
      </c>
      <c r="K449" s="38"/>
      <c r="L449" s="38"/>
      <c r="M449" s="38"/>
      <c r="N449" s="38"/>
      <c r="O449" s="38"/>
      <c r="P449" s="38"/>
      <c r="Q449" s="38"/>
      <c r="R449" s="38"/>
      <c r="S449" s="38"/>
      <c r="T449" s="38"/>
    </row>
    <row r="450" spans="1:20" ht="15.75">
      <c r="A450" s="13">
        <v>54847</v>
      </c>
      <c r="B450" s="46">
        <v>28</v>
      </c>
      <c r="C450" s="37">
        <v>122.58</v>
      </c>
      <c r="D450" s="37">
        <v>297.94099999999997</v>
      </c>
      <c r="E450" s="43">
        <v>729.47900000000004</v>
      </c>
      <c r="F450" s="37">
        <v>1150</v>
      </c>
      <c r="G450" s="37">
        <v>100</v>
      </c>
      <c r="H450" s="45">
        <v>600</v>
      </c>
      <c r="I450" s="37">
        <v>695</v>
      </c>
      <c r="J450" s="37">
        <v>50</v>
      </c>
      <c r="K450" s="38"/>
      <c r="L450" s="38"/>
      <c r="M450" s="38"/>
      <c r="N450" s="38"/>
      <c r="O450" s="38"/>
      <c r="P450" s="38"/>
      <c r="Q450" s="38"/>
      <c r="R450" s="38"/>
      <c r="S450" s="38"/>
      <c r="T450" s="38"/>
    </row>
    <row r="451" spans="1:20" ht="15.75">
      <c r="A451" s="13">
        <v>54878</v>
      </c>
      <c r="B451" s="46">
        <v>31</v>
      </c>
      <c r="C451" s="37">
        <v>122.58</v>
      </c>
      <c r="D451" s="37">
        <v>297.94099999999997</v>
      </c>
      <c r="E451" s="43">
        <v>729.47900000000004</v>
      </c>
      <c r="F451" s="37">
        <v>1150</v>
      </c>
      <c r="G451" s="37">
        <v>100</v>
      </c>
      <c r="H451" s="45">
        <v>600</v>
      </c>
      <c r="I451" s="37">
        <v>695</v>
      </c>
      <c r="J451" s="37">
        <v>50</v>
      </c>
      <c r="K451" s="38"/>
      <c r="L451" s="38"/>
      <c r="M451" s="38"/>
      <c r="N451" s="38"/>
      <c r="O451" s="38"/>
      <c r="P451" s="38"/>
      <c r="Q451" s="38"/>
      <c r="R451" s="38"/>
      <c r="S451" s="38"/>
      <c r="T451" s="38"/>
    </row>
    <row r="452" spans="1:20" ht="15.75">
      <c r="A452" s="13">
        <v>54908</v>
      </c>
      <c r="B452" s="46">
        <v>30</v>
      </c>
      <c r="C452" s="37">
        <v>141.29300000000001</v>
      </c>
      <c r="D452" s="37">
        <v>267.99299999999999</v>
      </c>
      <c r="E452" s="43">
        <v>829.71400000000006</v>
      </c>
      <c r="F452" s="37">
        <v>1239</v>
      </c>
      <c r="G452" s="37">
        <v>100</v>
      </c>
      <c r="H452" s="45">
        <v>600</v>
      </c>
      <c r="I452" s="37">
        <v>695</v>
      </c>
      <c r="J452" s="37">
        <v>50</v>
      </c>
      <c r="K452" s="38"/>
      <c r="L452" s="38"/>
      <c r="M452" s="38"/>
      <c r="N452" s="38"/>
      <c r="O452" s="38"/>
      <c r="P452" s="38"/>
      <c r="Q452" s="38"/>
      <c r="R452" s="38"/>
      <c r="S452" s="38"/>
      <c r="T452" s="38"/>
    </row>
    <row r="453" spans="1:20" ht="15.75">
      <c r="A453" s="13">
        <v>54939</v>
      </c>
      <c r="B453" s="46">
        <v>31</v>
      </c>
      <c r="C453" s="37">
        <v>194.20500000000001</v>
      </c>
      <c r="D453" s="37">
        <v>267.46600000000001</v>
      </c>
      <c r="E453" s="43">
        <v>812.32899999999995</v>
      </c>
      <c r="F453" s="37">
        <v>1274</v>
      </c>
      <c r="G453" s="37">
        <v>75</v>
      </c>
      <c r="H453" s="45">
        <v>600</v>
      </c>
      <c r="I453" s="37">
        <v>695</v>
      </c>
      <c r="J453" s="37">
        <v>50</v>
      </c>
      <c r="K453" s="38"/>
      <c r="L453" s="38"/>
      <c r="M453" s="38"/>
      <c r="N453" s="38"/>
      <c r="O453" s="38"/>
      <c r="P453" s="38"/>
      <c r="Q453" s="38"/>
      <c r="R453" s="38"/>
      <c r="S453" s="38"/>
      <c r="T453" s="38"/>
    </row>
    <row r="454" spans="1:20" ht="15.75">
      <c r="A454" s="13">
        <v>54969</v>
      </c>
      <c r="B454" s="46">
        <v>30</v>
      </c>
      <c r="C454" s="37">
        <v>194.20500000000001</v>
      </c>
      <c r="D454" s="37">
        <v>267.46600000000001</v>
      </c>
      <c r="E454" s="43">
        <v>812.32899999999995</v>
      </c>
      <c r="F454" s="37">
        <v>1274</v>
      </c>
      <c r="G454" s="37">
        <v>50</v>
      </c>
      <c r="H454" s="45">
        <v>600</v>
      </c>
      <c r="I454" s="37">
        <v>695</v>
      </c>
      <c r="J454" s="37">
        <v>50</v>
      </c>
      <c r="K454" s="38"/>
      <c r="L454" s="38"/>
      <c r="M454" s="38"/>
      <c r="N454" s="38"/>
      <c r="O454" s="38"/>
      <c r="P454" s="38"/>
      <c r="Q454" s="38"/>
      <c r="R454" s="38"/>
      <c r="S454" s="38"/>
      <c r="T454" s="38"/>
    </row>
    <row r="455" spans="1:20" ht="15.75">
      <c r="A455" s="13">
        <v>55000</v>
      </c>
      <c r="B455" s="46">
        <v>31</v>
      </c>
      <c r="C455" s="37">
        <v>194.20500000000001</v>
      </c>
      <c r="D455" s="37">
        <v>267.46600000000001</v>
      </c>
      <c r="E455" s="43">
        <v>812.32899999999995</v>
      </c>
      <c r="F455" s="37">
        <v>1274</v>
      </c>
      <c r="G455" s="37">
        <v>50</v>
      </c>
      <c r="H455" s="45">
        <v>600</v>
      </c>
      <c r="I455" s="37">
        <v>695</v>
      </c>
      <c r="J455" s="37">
        <v>0</v>
      </c>
      <c r="K455" s="38"/>
      <c r="L455" s="38"/>
      <c r="M455" s="38"/>
      <c r="N455" s="38"/>
      <c r="O455" s="38"/>
      <c r="P455" s="38"/>
      <c r="Q455" s="38"/>
      <c r="R455" s="38"/>
      <c r="S455" s="38"/>
      <c r="T455" s="38"/>
    </row>
    <row r="456" spans="1:20" ht="15.75">
      <c r="A456" s="13">
        <v>55031</v>
      </c>
      <c r="B456" s="46">
        <v>31</v>
      </c>
      <c r="C456" s="37">
        <v>194.20500000000001</v>
      </c>
      <c r="D456" s="37">
        <v>267.46600000000001</v>
      </c>
      <c r="E456" s="43">
        <v>812.32899999999995</v>
      </c>
      <c r="F456" s="37">
        <v>1274</v>
      </c>
      <c r="G456" s="37">
        <v>50</v>
      </c>
      <c r="H456" s="45">
        <v>600</v>
      </c>
      <c r="I456" s="37">
        <v>695</v>
      </c>
      <c r="J456" s="37">
        <v>0</v>
      </c>
      <c r="K456" s="38"/>
      <c r="L456" s="38"/>
      <c r="M456" s="38"/>
      <c r="N456" s="38"/>
      <c r="O456" s="38"/>
      <c r="P456" s="38"/>
      <c r="Q456" s="38"/>
      <c r="R456" s="38"/>
      <c r="S456" s="38"/>
      <c r="T456" s="38"/>
    </row>
    <row r="457" spans="1:20" ht="15.75">
      <c r="A457" s="13">
        <v>55061</v>
      </c>
      <c r="B457" s="46">
        <v>30</v>
      </c>
      <c r="C457" s="37">
        <v>194.20500000000001</v>
      </c>
      <c r="D457" s="37">
        <v>267.46600000000001</v>
      </c>
      <c r="E457" s="43">
        <v>812.32899999999995</v>
      </c>
      <c r="F457" s="37">
        <v>1274</v>
      </c>
      <c r="G457" s="37">
        <v>50</v>
      </c>
      <c r="H457" s="45">
        <v>600</v>
      </c>
      <c r="I457" s="37">
        <v>695</v>
      </c>
      <c r="J457" s="37">
        <v>0</v>
      </c>
      <c r="K457" s="38"/>
      <c r="L457" s="38"/>
      <c r="M457" s="38"/>
      <c r="N457" s="38"/>
      <c r="O457" s="38"/>
      <c r="P457" s="38"/>
      <c r="Q457" s="38"/>
      <c r="R457" s="38"/>
      <c r="S457" s="38"/>
      <c r="T457" s="38"/>
    </row>
    <row r="458" spans="1:20" ht="15.75">
      <c r="A458" s="13">
        <v>55092</v>
      </c>
      <c r="B458" s="46">
        <v>31</v>
      </c>
      <c r="C458" s="37">
        <v>131.881</v>
      </c>
      <c r="D458" s="37">
        <v>277.16699999999997</v>
      </c>
      <c r="E458" s="43">
        <v>829.952</v>
      </c>
      <c r="F458" s="37">
        <v>1239</v>
      </c>
      <c r="G458" s="37">
        <v>75</v>
      </c>
      <c r="H458" s="45">
        <v>600</v>
      </c>
      <c r="I458" s="37">
        <v>695</v>
      </c>
      <c r="J458" s="37">
        <v>0</v>
      </c>
      <c r="K458" s="38"/>
      <c r="L458" s="38"/>
      <c r="M458" s="38"/>
      <c r="N458" s="38"/>
      <c r="O458" s="38"/>
      <c r="P458" s="38"/>
      <c r="Q458" s="38"/>
      <c r="R458" s="38"/>
      <c r="S458" s="38"/>
      <c r="T458" s="38"/>
    </row>
    <row r="459" spans="1:20" ht="15.75">
      <c r="A459" s="13">
        <v>55122</v>
      </c>
      <c r="B459" s="46">
        <v>30</v>
      </c>
      <c r="C459" s="37">
        <v>122.58</v>
      </c>
      <c r="D459" s="37">
        <v>297.94099999999997</v>
      </c>
      <c r="E459" s="43">
        <v>729.47900000000004</v>
      </c>
      <c r="F459" s="37">
        <v>1150</v>
      </c>
      <c r="G459" s="37">
        <v>100</v>
      </c>
      <c r="H459" s="45">
        <v>600</v>
      </c>
      <c r="I459" s="37">
        <v>695</v>
      </c>
      <c r="J459" s="37">
        <v>50</v>
      </c>
      <c r="K459" s="38"/>
      <c r="L459" s="38"/>
      <c r="M459" s="38"/>
      <c r="N459" s="38"/>
      <c r="O459" s="38"/>
      <c r="P459" s="38"/>
      <c r="Q459" s="38"/>
      <c r="R459" s="38"/>
      <c r="S459" s="38"/>
      <c r="T459" s="38"/>
    </row>
    <row r="460" spans="1:20" ht="15.75">
      <c r="A460" s="13">
        <v>55153</v>
      </c>
      <c r="B460" s="46">
        <v>31</v>
      </c>
      <c r="C460" s="37">
        <v>122.58</v>
      </c>
      <c r="D460" s="37">
        <v>297.94099999999997</v>
      </c>
      <c r="E460" s="43">
        <v>729.47900000000004</v>
      </c>
      <c r="F460" s="37">
        <v>1150</v>
      </c>
      <c r="G460" s="37">
        <v>100</v>
      </c>
      <c r="H460" s="45">
        <v>600</v>
      </c>
      <c r="I460" s="37">
        <v>695</v>
      </c>
      <c r="J460" s="37">
        <v>50</v>
      </c>
      <c r="K460" s="38"/>
      <c r="L460" s="38"/>
      <c r="M460" s="38"/>
      <c r="N460" s="38"/>
      <c r="O460" s="38"/>
      <c r="P460" s="38"/>
      <c r="Q460" s="38"/>
      <c r="R460" s="38"/>
      <c r="S460" s="38"/>
      <c r="T460" s="38"/>
    </row>
    <row r="461" spans="1:20" ht="15.75">
      <c r="A461" s="13">
        <v>55184</v>
      </c>
      <c r="B461" s="46">
        <v>31</v>
      </c>
      <c r="C461" s="37">
        <v>122.58</v>
      </c>
      <c r="D461" s="37">
        <v>297.94099999999997</v>
      </c>
      <c r="E461" s="43">
        <v>729.47900000000004</v>
      </c>
      <c r="F461" s="37">
        <v>1150</v>
      </c>
      <c r="G461" s="37">
        <v>100</v>
      </c>
      <c r="H461" s="45">
        <v>600</v>
      </c>
      <c r="I461" s="37">
        <v>695</v>
      </c>
      <c r="J461" s="37">
        <v>50</v>
      </c>
      <c r="K461" s="38"/>
      <c r="L461" s="38"/>
      <c r="M461" s="38"/>
      <c r="N461" s="38"/>
      <c r="O461" s="38"/>
      <c r="P461" s="38"/>
      <c r="Q461" s="38"/>
      <c r="R461" s="38"/>
      <c r="S461" s="38"/>
      <c r="T461" s="38"/>
    </row>
    <row r="462" spans="1:20" ht="15.75">
      <c r="A462" s="13">
        <v>55212</v>
      </c>
      <c r="B462" s="46">
        <v>28</v>
      </c>
      <c r="C462" s="37">
        <v>122.58</v>
      </c>
      <c r="D462" s="37">
        <v>297.94099999999997</v>
      </c>
      <c r="E462" s="43">
        <v>729.47900000000004</v>
      </c>
      <c r="F462" s="37">
        <v>1150</v>
      </c>
      <c r="G462" s="37">
        <v>100</v>
      </c>
      <c r="H462" s="45">
        <v>600</v>
      </c>
      <c r="I462" s="37">
        <v>695</v>
      </c>
      <c r="J462" s="37">
        <v>50</v>
      </c>
      <c r="K462" s="38"/>
      <c r="L462" s="38"/>
      <c r="M462" s="38"/>
      <c r="N462" s="38"/>
      <c r="O462" s="38"/>
      <c r="P462" s="38"/>
      <c r="Q462" s="38"/>
      <c r="R462" s="38"/>
      <c r="S462" s="38"/>
      <c r="T462" s="38"/>
    </row>
    <row r="463" spans="1:20" ht="15.75">
      <c r="A463" s="13">
        <v>55243</v>
      </c>
      <c r="B463" s="46">
        <v>31</v>
      </c>
      <c r="C463" s="37">
        <v>122.58</v>
      </c>
      <c r="D463" s="37">
        <v>297.94099999999997</v>
      </c>
      <c r="E463" s="43">
        <v>729.47900000000004</v>
      </c>
      <c r="F463" s="37">
        <v>1150</v>
      </c>
      <c r="G463" s="37">
        <v>100</v>
      </c>
      <c r="H463" s="45">
        <v>600</v>
      </c>
      <c r="I463" s="37">
        <v>695</v>
      </c>
      <c r="J463" s="37">
        <v>50</v>
      </c>
      <c r="K463" s="38"/>
      <c r="L463" s="38"/>
      <c r="M463" s="38"/>
      <c r="N463" s="38"/>
      <c r="O463" s="38"/>
      <c r="P463" s="38"/>
      <c r="Q463" s="38"/>
      <c r="R463" s="38"/>
      <c r="S463" s="38"/>
      <c r="T463" s="38"/>
    </row>
    <row r="464" spans="1:20" ht="15.75">
      <c r="A464" s="13">
        <v>55273</v>
      </c>
      <c r="B464" s="46">
        <v>30</v>
      </c>
      <c r="C464" s="37">
        <v>141.29300000000001</v>
      </c>
      <c r="D464" s="37">
        <v>267.99299999999999</v>
      </c>
      <c r="E464" s="43">
        <v>829.71400000000006</v>
      </c>
      <c r="F464" s="37">
        <v>1239</v>
      </c>
      <c r="G464" s="37">
        <v>100</v>
      </c>
      <c r="H464" s="45">
        <v>600</v>
      </c>
      <c r="I464" s="37">
        <v>695</v>
      </c>
      <c r="J464" s="37">
        <v>50</v>
      </c>
      <c r="K464" s="38"/>
      <c r="L464" s="38"/>
      <c r="M464" s="38"/>
      <c r="N464" s="38"/>
      <c r="O464" s="38"/>
      <c r="P464" s="38"/>
      <c r="Q464" s="38"/>
      <c r="R464" s="38"/>
      <c r="S464" s="38"/>
      <c r="T464" s="38"/>
    </row>
    <row r="465" spans="1:20" ht="15.75">
      <c r="A465" s="13">
        <v>55304</v>
      </c>
      <c r="B465" s="46">
        <v>31</v>
      </c>
      <c r="C465" s="37">
        <v>194.20500000000001</v>
      </c>
      <c r="D465" s="37">
        <v>267.46600000000001</v>
      </c>
      <c r="E465" s="43">
        <v>812.32899999999995</v>
      </c>
      <c r="F465" s="37">
        <v>1274</v>
      </c>
      <c r="G465" s="37">
        <v>75</v>
      </c>
      <c r="H465" s="45">
        <v>600</v>
      </c>
      <c r="I465" s="37">
        <v>695</v>
      </c>
      <c r="J465" s="37">
        <v>50</v>
      </c>
      <c r="K465" s="38"/>
      <c r="L465" s="38"/>
      <c r="M465" s="38"/>
      <c r="N465" s="38"/>
      <c r="O465" s="38"/>
      <c r="P465" s="38"/>
      <c r="Q465" s="38"/>
      <c r="R465" s="38"/>
      <c r="S465" s="38"/>
      <c r="T465" s="38"/>
    </row>
    <row r="466" spans="1:20" ht="15.75">
      <c r="A466" s="13">
        <v>55334</v>
      </c>
      <c r="B466" s="46">
        <v>30</v>
      </c>
      <c r="C466" s="37">
        <v>194.20500000000001</v>
      </c>
      <c r="D466" s="37">
        <v>267.46600000000001</v>
      </c>
      <c r="E466" s="43">
        <v>812.32899999999995</v>
      </c>
      <c r="F466" s="37">
        <v>1274</v>
      </c>
      <c r="G466" s="37">
        <v>50</v>
      </c>
      <c r="H466" s="45">
        <v>600</v>
      </c>
      <c r="I466" s="37">
        <v>695</v>
      </c>
      <c r="J466" s="37">
        <v>50</v>
      </c>
      <c r="K466" s="38"/>
      <c r="L466" s="38"/>
      <c r="M466" s="38"/>
      <c r="N466" s="38"/>
      <c r="O466" s="38"/>
      <c r="P466" s="38"/>
      <c r="Q466" s="38"/>
      <c r="R466" s="38"/>
      <c r="S466" s="38"/>
      <c r="T466" s="38"/>
    </row>
    <row r="467" spans="1:20" ht="15.75">
      <c r="A467" s="13">
        <v>55365</v>
      </c>
      <c r="B467" s="46">
        <v>31</v>
      </c>
      <c r="C467" s="37">
        <v>194.20500000000001</v>
      </c>
      <c r="D467" s="37">
        <v>267.46600000000001</v>
      </c>
      <c r="E467" s="43">
        <v>812.32899999999995</v>
      </c>
      <c r="F467" s="37">
        <v>1274</v>
      </c>
      <c r="G467" s="37">
        <v>50</v>
      </c>
      <c r="H467" s="45">
        <v>600</v>
      </c>
      <c r="I467" s="37">
        <v>695</v>
      </c>
      <c r="J467" s="37">
        <v>0</v>
      </c>
      <c r="K467" s="38"/>
      <c r="L467" s="38"/>
      <c r="M467" s="38"/>
      <c r="N467" s="38"/>
      <c r="O467" s="38"/>
      <c r="P467" s="38"/>
      <c r="Q467" s="38"/>
      <c r="R467" s="38"/>
      <c r="S467" s="38"/>
      <c r="T467" s="38"/>
    </row>
    <row r="468" spans="1:20" ht="15.75">
      <c r="A468" s="13">
        <v>55396</v>
      </c>
      <c r="B468" s="46">
        <v>31</v>
      </c>
      <c r="C468" s="37">
        <v>194.20500000000001</v>
      </c>
      <c r="D468" s="37">
        <v>267.46600000000001</v>
      </c>
      <c r="E468" s="43">
        <v>812.32899999999995</v>
      </c>
      <c r="F468" s="37">
        <v>1274</v>
      </c>
      <c r="G468" s="37">
        <v>50</v>
      </c>
      <c r="H468" s="45">
        <v>600</v>
      </c>
      <c r="I468" s="37">
        <v>695</v>
      </c>
      <c r="J468" s="37">
        <v>0</v>
      </c>
      <c r="K468" s="38"/>
      <c r="L468" s="38"/>
      <c r="M468" s="38"/>
      <c r="N468" s="38"/>
      <c r="O468" s="38"/>
      <c r="P468" s="38"/>
      <c r="Q468" s="38"/>
      <c r="R468" s="38"/>
      <c r="S468" s="38"/>
      <c r="T468" s="38"/>
    </row>
    <row r="469" spans="1:20" ht="15.75">
      <c r="A469" s="13">
        <v>55426</v>
      </c>
      <c r="B469" s="46">
        <v>30</v>
      </c>
      <c r="C469" s="37">
        <v>194.20500000000001</v>
      </c>
      <c r="D469" s="37">
        <v>267.46600000000001</v>
      </c>
      <c r="E469" s="43">
        <v>812.32899999999995</v>
      </c>
      <c r="F469" s="37">
        <v>1274</v>
      </c>
      <c r="G469" s="37">
        <v>50</v>
      </c>
      <c r="H469" s="45">
        <v>600</v>
      </c>
      <c r="I469" s="37">
        <v>695</v>
      </c>
      <c r="J469" s="37">
        <v>0</v>
      </c>
      <c r="K469" s="38"/>
      <c r="L469" s="38"/>
      <c r="M469" s="38"/>
      <c r="N469" s="38"/>
      <c r="O469" s="38"/>
      <c r="P469" s="38"/>
      <c r="Q469" s="38"/>
      <c r="R469" s="38"/>
      <c r="S469" s="38"/>
      <c r="T469" s="38"/>
    </row>
    <row r="470" spans="1:20" ht="15.75">
      <c r="A470" s="13">
        <v>55457</v>
      </c>
      <c r="B470" s="46">
        <v>31</v>
      </c>
      <c r="C470" s="37">
        <v>131.881</v>
      </c>
      <c r="D470" s="37">
        <v>277.16699999999997</v>
      </c>
      <c r="E470" s="43">
        <v>829.952</v>
      </c>
      <c r="F470" s="37">
        <v>1239</v>
      </c>
      <c r="G470" s="37">
        <v>75</v>
      </c>
      <c r="H470" s="45">
        <v>600</v>
      </c>
      <c r="I470" s="37">
        <v>695</v>
      </c>
      <c r="J470" s="37">
        <v>0</v>
      </c>
      <c r="K470" s="38"/>
      <c r="L470" s="38"/>
      <c r="M470" s="38"/>
      <c r="N470" s="38"/>
      <c r="O470" s="38"/>
      <c r="P470" s="38"/>
      <c r="Q470" s="38"/>
      <c r="R470" s="38"/>
      <c r="S470" s="38"/>
      <c r="T470" s="38"/>
    </row>
    <row r="471" spans="1:20" ht="15.75">
      <c r="A471" s="13">
        <v>55487</v>
      </c>
      <c r="B471" s="46">
        <v>30</v>
      </c>
      <c r="C471" s="37">
        <v>122.58</v>
      </c>
      <c r="D471" s="37">
        <v>297.94099999999997</v>
      </c>
      <c r="E471" s="43">
        <v>729.47900000000004</v>
      </c>
      <c r="F471" s="37">
        <v>1150</v>
      </c>
      <c r="G471" s="37">
        <v>100</v>
      </c>
      <c r="H471" s="45">
        <v>600</v>
      </c>
      <c r="I471" s="37">
        <v>695</v>
      </c>
      <c r="J471" s="37">
        <v>50</v>
      </c>
      <c r="K471" s="38"/>
      <c r="L471" s="38"/>
      <c r="M471" s="38"/>
      <c r="N471" s="38"/>
      <c r="O471" s="38"/>
      <c r="P471" s="38"/>
      <c r="Q471" s="38"/>
      <c r="R471" s="38"/>
      <c r="S471" s="38"/>
      <c r="T471" s="38"/>
    </row>
    <row r="472" spans="1:20" ht="15.75">
      <c r="A472" s="13">
        <v>55518</v>
      </c>
      <c r="B472" s="46">
        <v>31</v>
      </c>
      <c r="C472" s="37">
        <v>122.58</v>
      </c>
      <c r="D472" s="37">
        <v>297.94099999999997</v>
      </c>
      <c r="E472" s="43">
        <v>729.47900000000004</v>
      </c>
      <c r="F472" s="37">
        <v>1150</v>
      </c>
      <c r="G472" s="37">
        <v>100</v>
      </c>
      <c r="H472" s="45">
        <v>600</v>
      </c>
      <c r="I472" s="37">
        <v>695</v>
      </c>
      <c r="J472" s="37">
        <v>50</v>
      </c>
      <c r="K472" s="38"/>
      <c r="L472" s="38"/>
      <c r="M472" s="38"/>
      <c r="N472" s="38"/>
      <c r="O472" s="38"/>
      <c r="P472" s="38"/>
      <c r="Q472" s="38"/>
      <c r="R472" s="38"/>
      <c r="S472" s="38"/>
      <c r="T472" s="38"/>
    </row>
    <row r="473" spans="1:20" ht="15.75">
      <c r="A473" s="13">
        <v>55549</v>
      </c>
      <c r="B473" s="46">
        <v>31</v>
      </c>
      <c r="C473" s="37">
        <v>122.58</v>
      </c>
      <c r="D473" s="37">
        <v>297.94099999999997</v>
      </c>
      <c r="E473" s="43">
        <v>729.47900000000004</v>
      </c>
      <c r="F473" s="37">
        <v>1150</v>
      </c>
      <c r="G473" s="37">
        <v>100</v>
      </c>
      <c r="H473" s="45">
        <v>600</v>
      </c>
      <c r="I473" s="37">
        <v>695</v>
      </c>
      <c r="J473" s="37">
        <v>50</v>
      </c>
      <c r="K473" s="38"/>
      <c r="L473" s="38"/>
      <c r="M473" s="38"/>
      <c r="N473" s="38"/>
      <c r="O473" s="38"/>
      <c r="P473" s="38"/>
      <c r="Q473" s="38"/>
      <c r="R473" s="38"/>
      <c r="S473" s="38"/>
      <c r="T473" s="38"/>
    </row>
    <row r="474" spans="1:20" ht="15.75">
      <c r="A474" s="13">
        <v>55577</v>
      </c>
      <c r="B474" s="46">
        <v>29</v>
      </c>
      <c r="C474" s="37">
        <v>122.58</v>
      </c>
      <c r="D474" s="37">
        <v>297.94099999999997</v>
      </c>
      <c r="E474" s="43">
        <v>729.47900000000004</v>
      </c>
      <c r="F474" s="37">
        <v>1150</v>
      </c>
      <c r="G474" s="37">
        <v>100</v>
      </c>
      <c r="H474" s="45">
        <v>600</v>
      </c>
      <c r="I474" s="37">
        <v>695</v>
      </c>
      <c r="J474" s="37">
        <v>50</v>
      </c>
      <c r="K474" s="38"/>
      <c r="L474" s="38"/>
      <c r="M474" s="38"/>
      <c r="N474" s="38"/>
      <c r="O474" s="38"/>
      <c r="P474" s="38"/>
      <c r="Q474" s="38"/>
      <c r="R474" s="38"/>
      <c r="S474" s="38"/>
      <c r="T474" s="38"/>
    </row>
    <row r="475" spans="1:20" ht="15.75">
      <c r="A475" s="13">
        <v>55609</v>
      </c>
      <c r="B475" s="46">
        <v>31</v>
      </c>
      <c r="C475" s="37">
        <v>122.58</v>
      </c>
      <c r="D475" s="37">
        <v>297.94099999999997</v>
      </c>
      <c r="E475" s="43">
        <v>729.47900000000004</v>
      </c>
      <c r="F475" s="37">
        <v>1150</v>
      </c>
      <c r="G475" s="37">
        <v>100</v>
      </c>
      <c r="H475" s="45">
        <v>600</v>
      </c>
      <c r="I475" s="37">
        <v>695</v>
      </c>
      <c r="J475" s="37">
        <v>50</v>
      </c>
      <c r="K475" s="38"/>
      <c r="L475" s="38"/>
      <c r="M475" s="38"/>
      <c r="N475" s="38"/>
      <c r="O475" s="38"/>
      <c r="P475" s="38"/>
      <c r="Q475" s="38"/>
      <c r="R475" s="38"/>
      <c r="S475" s="38"/>
      <c r="T475" s="38"/>
    </row>
    <row r="476" spans="1:20" ht="15.75">
      <c r="A476" s="13">
        <v>55639</v>
      </c>
      <c r="B476" s="46">
        <v>30</v>
      </c>
      <c r="C476" s="37">
        <v>141.29300000000001</v>
      </c>
      <c r="D476" s="37">
        <v>267.99299999999999</v>
      </c>
      <c r="E476" s="43">
        <v>829.71400000000006</v>
      </c>
      <c r="F476" s="37">
        <v>1239</v>
      </c>
      <c r="G476" s="37">
        <v>100</v>
      </c>
      <c r="H476" s="45">
        <v>600</v>
      </c>
      <c r="I476" s="37">
        <v>695</v>
      </c>
      <c r="J476" s="37">
        <v>50</v>
      </c>
      <c r="K476" s="38"/>
      <c r="L476" s="38"/>
      <c r="M476" s="38"/>
      <c r="N476" s="38"/>
      <c r="O476" s="38"/>
      <c r="P476" s="38"/>
      <c r="Q476" s="38"/>
      <c r="R476" s="38"/>
      <c r="S476" s="38"/>
      <c r="T476" s="38"/>
    </row>
    <row r="477" spans="1:20" ht="15.75">
      <c r="A477" s="13">
        <v>55670</v>
      </c>
      <c r="B477" s="46">
        <v>31</v>
      </c>
      <c r="C477" s="37">
        <v>194.20500000000001</v>
      </c>
      <c r="D477" s="37">
        <v>267.46600000000001</v>
      </c>
      <c r="E477" s="43">
        <v>812.32899999999995</v>
      </c>
      <c r="F477" s="37">
        <v>1274</v>
      </c>
      <c r="G477" s="37">
        <v>75</v>
      </c>
      <c r="H477" s="45">
        <v>600</v>
      </c>
      <c r="I477" s="37">
        <v>695</v>
      </c>
      <c r="J477" s="37">
        <v>50</v>
      </c>
      <c r="K477" s="38"/>
      <c r="L477" s="38"/>
      <c r="M477" s="38"/>
      <c r="N477" s="38"/>
      <c r="O477" s="38"/>
      <c r="P477" s="38"/>
      <c r="Q477" s="38"/>
      <c r="R477" s="38"/>
      <c r="S477" s="38"/>
      <c r="T477" s="38"/>
    </row>
    <row r="478" spans="1:20" ht="15.75">
      <c r="A478" s="13">
        <v>55700</v>
      </c>
      <c r="B478" s="46">
        <v>30</v>
      </c>
      <c r="C478" s="37">
        <v>194.20500000000001</v>
      </c>
      <c r="D478" s="37">
        <v>267.46600000000001</v>
      </c>
      <c r="E478" s="43">
        <v>812.32899999999995</v>
      </c>
      <c r="F478" s="37">
        <v>1274</v>
      </c>
      <c r="G478" s="37">
        <v>50</v>
      </c>
      <c r="H478" s="45">
        <v>600</v>
      </c>
      <c r="I478" s="37">
        <v>695</v>
      </c>
      <c r="J478" s="37">
        <v>50</v>
      </c>
      <c r="K478" s="38"/>
      <c r="L478" s="38"/>
      <c r="M478" s="38"/>
      <c r="N478" s="38"/>
      <c r="O478" s="38"/>
      <c r="P478" s="38"/>
      <c r="Q478" s="38"/>
      <c r="R478" s="38"/>
      <c r="S478" s="38"/>
      <c r="T478" s="38"/>
    </row>
    <row r="479" spans="1:20" ht="15.75">
      <c r="A479" s="13">
        <v>55731</v>
      </c>
      <c r="B479" s="46">
        <v>31</v>
      </c>
      <c r="C479" s="37">
        <v>194.20500000000001</v>
      </c>
      <c r="D479" s="37">
        <v>267.46600000000001</v>
      </c>
      <c r="E479" s="43">
        <v>812.32899999999995</v>
      </c>
      <c r="F479" s="37">
        <v>1274</v>
      </c>
      <c r="G479" s="37">
        <v>50</v>
      </c>
      <c r="H479" s="45">
        <v>600</v>
      </c>
      <c r="I479" s="37">
        <v>695</v>
      </c>
      <c r="J479" s="37">
        <v>0</v>
      </c>
      <c r="K479" s="38"/>
      <c r="L479" s="38"/>
      <c r="M479" s="38"/>
      <c r="N479" s="38"/>
      <c r="O479" s="38"/>
      <c r="P479" s="38"/>
      <c r="Q479" s="38"/>
      <c r="R479" s="38"/>
      <c r="S479" s="38"/>
      <c r="T479" s="38"/>
    </row>
    <row r="480" spans="1:20" ht="15.75">
      <c r="A480" s="13">
        <v>55762</v>
      </c>
      <c r="B480" s="46">
        <v>31</v>
      </c>
      <c r="C480" s="37">
        <v>194.20500000000001</v>
      </c>
      <c r="D480" s="37">
        <v>267.46600000000001</v>
      </c>
      <c r="E480" s="43">
        <v>812.32899999999995</v>
      </c>
      <c r="F480" s="37">
        <v>1274</v>
      </c>
      <c r="G480" s="37">
        <v>50</v>
      </c>
      <c r="H480" s="45">
        <v>600</v>
      </c>
      <c r="I480" s="37">
        <v>695</v>
      </c>
      <c r="J480" s="37">
        <v>0</v>
      </c>
      <c r="K480" s="38"/>
      <c r="L480" s="38"/>
      <c r="M480" s="38"/>
      <c r="N480" s="38"/>
      <c r="O480" s="38"/>
      <c r="P480" s="38"/>
      <c r="Q480" s="38"/>
      <c r="R480" s="38"/>
      <c r="S480" s="38"/>
      <c r="T480" s="38"/>
    </row>
    <row r="481" spans="1:20" ht="15.75">
      <c r="A481" s="13">
        <v>55792</v>
      </c>
      <c r="B481" s="46">
        <v>30</v>
      </c>
      <c r="C481" s="37">
        <v>194.20500000000001</v>
      </c>
      <c r="D481" s="37">
        <v>267.46600000000001</v>
      </c>
      <c r="E481" s="43">
        <v>812.32899999999995</v>
      </c>
      <c r="F481" s="37">
        <v>1274</v>
      </c>
      <c r="G481" s="37">
        <v>50</v>
      </c>
      <c r="H481" s="45">
        <v>600</v>
      </c>
      <c r="I481" s="37">
        <v>695</v>
      </c>
      <c r="J481" s="37">
        <v>0</v>
      </c>
      <c r="K481" s="38"/>
      <c r="L481" s="38"/>
      <c r="M481" s="38"/>
      <c r="N481" s="38"/>
      <c r="O481" s="38"/>
      <c r="P481" s="38"/>
      <c r="Q481" s="38"/>
      <c r="R481" s="38"/>
      <c r="S481" s="38"/>
      <c r="T481" s="38"/>
    </row>
    <row r="482" spans="1:20" ht="15.75">
      <c r="A482" s="13">
        <v>55823</v>
      </c>
      <c r="B482" s="46">
        <v>31</v>
      </c>
      <c r="C482" s="37">
        <v>131.881</v>
      </c>
      <c r="D482" s="37">
        <v>277.16699999999997</v>
      </c>
      <c r="E482" s="43">
        <v>829.952</v>
      </c>
      <c r="F482" s="37">
        <v>1239</v>
      </c>
      <c r="G482" s="37">
        <v>75</v>
      </c>
      <c r="H482" s="45">
        <v>600</v>
      </c>
      <c r="I482" s="37">
        <v>695</v>
      </c>
      <c r="J482" s="37">
        <v>0</v>
      </c>
      <c r="K482" s="38"/>
      <c r="L482" s="38"/>
      <c r="M482" s="38"/>
      <c r="N482" s="38"/>
      <c r="O482" s="38"/>
      <c r="P482" s="38"/>
      <c r="Q482" s="38"/>
      <c r="R482" s="38"/>
      <c r="S482" s="38"/>
      <c r="T482" s="38"/>
    </row>
    <row r="483" spans="1:20" ht="15.75">
      <c r="A483" s="13">
        <v>55853</v>
      </c>
      <c r="B483" s="46">
        <v>30</v>
      </c>
      <c r="C483" s="37">
        <v>122.58</v>
      </c>
      <c r="D483" s="37">
        <v>297.94099999999997</v>
      </c>
      <c r="E483" s="43">
        <v>729.47900000000004</v>
      </c>
      <c r="F483" s="37">
        <v>1150</v>
      </c>
      <c r="G483" s="37">
        <v>100</v>
      </c>
      <c r="H483" s="45">
        <v>600</v>
      </c>
      <c r="I483" s="37">
        <v>695</v>
      </c>
      <c r="J483" s="37">
        <v>50</v>
      </c>
      <c r="K483" s="38"/>
      <c r="L483" s="38"/>
      <c r="M483" s="38"/>
      <c r="N483" s="38"/>
      <c r="O483" s="38"/>
      <c r="P483" s="38"/>
      <c r="Q483" s="38"/>
      <c r="R483" s="38"/>
      <c r="S483" s="38"/>
      <c r="T483" s="38"/>
    </row>
    <row r="484" spans="1:20" ht="15.75">
      <c r="A484" s="13">
        <v>55884</v>
      </c>
      <c r="B484" s="46">
        <v>31</v>
      </c>
      <c r="C484" s="37">
        <v>122.58</v>
      </c>
      <c r="D484" s="37">
        <v>297.94099999999997</v>
      </c>
      <c r="E484" s="43">
        <v>729.47900000000004</v>
      </c>
      <c r="F484" s="37">
        <v>1150</v>
      </c>
      <c r="G484" s="37">
        <v>100</v>
      </c>
      <c r="H484" s="45">
        <v>600</v>
      </c>
      <c r="I484" s="37">
        <v>695</v>
      </c>
      <c r="J484" s="37">
        <v>50</v>
      </c>
      <c r="K484" s="38"/>
      <c r="L484" s="38"/>
      <c r="M484" s="38"/>
      <c r="N484" s="38"/>
      <c r="O484" s="38"/>
      <c r="P484" s="38"/>
      <c r="Q484" s="38"/>
      <c r="R484" s="38"/>
      <c r="S484" s="38"/>
      <c r="T484" s="38"/>
    </row>
    <row r="485" spans="1:20" ht="15.75">
      <c r="A485" s="13">
        <v>55915</v>
      </c>
      <c r="B485" s="46">
        <v>31</v>
      </c>
      <c r="C485" s="37">
        <v>122.58</v>
      </c>
      <c r="D485" s="37">
        <v>297.94099999999997</v>
      </c>
      <c r="E485" s="43">
        <v>729.47900000000004</v>
      </c>
      <c r="F485" s="37">
        <v>1150</v>
      </c>
      <c r="G485" s="37">
        <v>100</v>
      </c>
      <c r="H485" s="45">
        <v>600</v>
      </c>
      <c r="I485" s="37">
        <v>695</v>
      </c>
      <c r="J485" s="37">
        <v>50</v>
      </c>
      <c r="K485" s="38"/>
      <c r="L485" s="38"/>
      <c r="M485" s="38"/>
      <c r="N485" s="38"/>
      <c r="O485" s="38"/>
      <c r="P485" s="38"/>
      <c r="Q485" s="38"/>
      <c r="R485" s="38"/>
      <c r="S485" s="38"/>
      <c r="T485" s="38"/>
    </row>
    <row r="486" spans="1:20" ht="15.75">
      <c r="A486" s="13">
        <v>55943</v>
      </c>
      <c r="B486" s="46">
        <v>28</v>
      </c>
      <c r="C486" s="37">
        <v>122.58</v>
      </c>
      <c r="D486" s="37">
        <v>297.94099999999997</v>
      </c>
      <c r="E486" s="43">
        <v>729.47900000000004</v>
      </c>
      <c r="F486" s="37">
        <v>1150</v>
      </c>
      <c r="G486" s="37">
        <v>100</v>
      </c>
      <c r="H486" s="45">
        <v>600</v>
      </c>
      <c r="I486" s="37">
        <v>695</v>
      </c>
      <c r="J486" s="37">
        <v>50</v>
      </c>
      <c r="K486" s="38"/>
      <c r="L486" s="38"/>
      <c r="M486" s="38"/>
      <c r="N486" s="38"/>
      <c r="O486" s="38"/>
      <c r="P486" s="38"/>
      <c r="Q486" s="38"/>
      <c r="R486" s="38"/>
      <c r="S486" s="38"/>
      <c r="T486" s="38"/>
    </row>
    <row r="487" spans="1:20" ht="15.75">
      <c r="A487" s="13">
        <v>55974</v>
      </c>
      <c r="B487" s="46">
        <v>31</v>
      </c>
      <c r="C487" s="37">
        <v>122.58</v>
      </c>
      <c r="D487" s="37">
        <v>297.94099999999997</v>
      </c>
      <c r="E487" s="43">
        <v>729.47900000000004</v>
      </c>
      <c r="F487" s="37">
        <v>1150</v>
      </c>
      <c r="G487" s="37">
        <v>100</v>
      </c>
      <c r="H487" s="45">
        <v>600</v>
      </c>
      <c r="I487" s="37">
        <v>695</v>
      </c>
      <c r="J487" s="37">
        <v>50</v>
      </c>
      <c r="K487" s="38"/>
      <c r="L487" s="38"/>
      <c r="M487" s="38"/>
      <c r="N487" s="38"/>
      <c r="O487" s="38"/>
      <c r="P487" s="38"/>
      <c r="Q487" s="38"/>
      <c r="R487" s="38"/>
      <c r="S487" s="38"/>
      <c r="T487" s="38"/>
    </row>
    <row r="488" spans="1:20" ht="15.75">
      <c r="A488" s="13">
        <v>56004</v>
      </c>
      <c r="B488" s="46">
        <v>30</v>
      </c>
      <c r="C488" s="37">
        <v>141.29300000000001</v>
      </c>
      <c r="D488" s="37">
        <v>267.99299999999999</v>
      </c>
      <c r="E488" s="43">
        <v>829.71400000000006</v>
      </c>
      <c r="F488" s="37">
        <v>1239</v>
      </c>
      <c r="G488" s="37">
        <v>100</v>
      </c>
      <c r="H488" s="45">
        <v>600</v>
      </c>
      <c r="I488" s="37">
        <v>695</v>
      </c>
      <c r="J488" s="37">
        <v>50</v>
      </c>
      <c r="K488" s="38"/>
      <c r="L488" s="38"/>
      <c r="M488" s="38"/>
      <c r="N488" s="38"/>
      <c r="O488" s="38"/>
      <c r="P488" s="38"/>
      <c r="Q488" s="38"/>
      <c r="R488" s="38"/>
      <c r="S488" s="38"/>
      <c r="T488" s="38"/>
    </row>
    <row r="489" spans="1:20" ht="15.75">
      <c r="A489" s="13">
        <v>56035</v>
      </c>
      <c r="B489" s="46">
        <v>31</v>
      </c>
      <c r="C489" s="37">
        <v>194.20500000000001</v>
      </c>
      <c r="D489" s="37">
        <v>267.46600000000001</v>
      </c>
      <c r="E489" s="43">
        <v>812.32899999999995</v>
      </c>
      <c r="F489" s="37">
        <v>1274</v>
      </c>
      <c r="G489" s="37">
        <v>75</v>
      </c>
      <c r="H489" s="45">
        <v>600</v>
      </c>
      <c r="I489" s="37">
        <v>695</v>
      </c>
      <c r="J489" s="37">
        <v>50</v>
      </c>
      <c r="K489" s="38"/>
      <c r="L489" s="38"/>
      <c r="M489" s="38"/>
      <c r="N489" s="38"/>
      <c r="O489" s="38"/>
      <c r="P489" s="38"/>
      <c r="Q489" s="38"/>
      <c r="R489" s="38"/>
      <c r="S489" s="38"/>
      <c r="T489" s="38"/>
    </row>
    <row r="490" spans="1:20" ht="15.75">
      <c r="A490" s="13">
        <v>56065</v>
      </c>
      <c r="B490" s="46">
        <v>30</v>
      </c>
      <c r="C490" s="37">
        <v>194.20500000000001</v>
      </c>
      <c r="D490" s="37">
        <v>267.46600000000001</v>
      </c>
      <c r="E490" s="43">
        <v>812.32899999999995</v>
      </c>
      <c r="F490" s="37">
        <v>1274</v>
      </c>
      <c r="G490" s="37">
        <v>50</v>
      </c>
      <c r="H490" s="45">
        <v>600</v>
      </c>
      <c r="I490" s="37">
        <v>695</v>
      </c>
      <c r="J490" s="37">
        <v>50</v>
      </c>
      <c r="K490" s="38"/>
      <c r="L490" s="38"/>
      <c r="M490" s="38"/>
      <c r="N490" s="38"/>
      <c r="O490" s="38"/>
      <c r="P490" s="38"/>
      <c r="Q490" s="38"/>
      <c r="R490" s="38"/>
      <c r="S490" s="38"/>
      <c r="T490" s="38"/>
    </row>
    <row r="491" spans="1:20" ht="15.75">
      <c r="A491" s="13">
        <v>56096</v>
      </c>
      <c r="B491" s="46">
        <v>31</v>
      </c>
      <c r="C491" s="37">
        <v>194.20500000000001</v>
      </c>
      <c r="D491" s="37">
        <v>267.46600000000001</v>
      </c>
      <c r="E491" s="43">
        <v>812.32899999999995</v>
      </c>
      <c r="F491" s="37">
        <v>1274</v>
      </c>
      <c r="G491" s="37">
        <v>50</v>
      </c>
      <c r="H491" s="45">
        <v>600</v>
      </c>
      <c r="I491" s="37">
        <v>695</v>
      </c>
      <c r="J491" s="37">
        <v>0</v>
      </c>
      <c r="K491" s="38"/>
      <c r="L491" s="38"/>
      <c r="M491" s="38"/>
      <c r="N491" s="38"/>
      <c r="O491" s="38"/>
      <c r="P491" s="38"/>
      <c r="Q491" s="38"/>
      <c r="R491" s="38"/>
      <c r="S491" s="38"/>
      <c r="T491" s="38"/>
    </row>
    <row r="492" spans="1:20" ht="15.75">
      <c r="A492" s="13">
        <v>56127</v>
      </c>
      <c r="B492" s="46">
        <v>31</v>
      </c>
      <c r="C492" s="37">
        <v>194.20500000000001</v>
      </c>
      <c r="D492" s="37">
        <v>267.46600000000001</v>
      </c>
      <c r="E492" s="43">
        <v>812.32899999999995</v>
      </c>
      <c r="F492" s="37">
        <v>1274</v>
      </c>
      <c r="G492" s="37">
        <v>50</v>
      </c>
      <c r="H492" s="45">
        <v>600</v>
      </c>
      <c r="I492" s="37">
        <v>695</v>
      </c>
      <c r="J492" s="37">
        <v>0</v>
      </c>
      <c r="K492" s="38"/>
      <c r="L492" s="38"/>
      <c r="M492" s="38"/>
      <c r="N492" s="38"/>
      <c r="O492" s="38"/>
      <c r="P492" s="38"/>
      <c r="Q492" s="38"/>
      <c r="R492" s="38"/>
      <c r="S492" s="38"/>
      <c r="T492" s="38"/>
    </row>
    <row r="493" spans="1:20" ht="15.75">
      <c r="A493" s="13">
        <v>56157</v>
      </c>
      <c r="B493" s="46">
        <v>30</v>
      </c>
      <c r="C493" s="37">
        <v>194.20500000000001</v>
      </c>
      <c r="D493" s="37">
        <v>267.46600000000001</v>
      </c>
      <c r="E493" s="43">
        <v>812.32899999999995</v>
      </c>
      <c r="F493" s="37">
        <v>1274</v>
      </c>
      <c r="G493" s="37">
        <v>50</v>
      </c>
      <c r="H493" s="45">
        <v>600</v>
      </c>
      <c r="I493" s="37">
        <v>695</v>
      </c>
      <c r="J493" s="37">
        <v>0</v>
      </c>
      <c r="K493" s="38"/>
      <c r="L493" s="38"/>
      <c r="M493" s="38"/>
      <c r="N493" s="38"/>
      <c r="O493" s="38"/>
      <c r="P493" s="38"/>
      <c r="Q493" s="38"/>
      <c r="R493" s="38"/>
      <c r="S493" s="38"/>
      <c r="T493" s="38"/>
    </row>
    <row r="494" spans="1:20" ht="15.75">
      <c r="A494" s="13">
        <v>56188</v>
      </c>
      <c r="B494" s="46">
        <v>31</v>
      </c>
      <c r="C494" s="37">
        <v>131.881</v>
      </c>
      <c r="D494" s="37">
        <v>277.16699999999997</v>
      </c>
      <c r="E494" s="43">
        <v>829.952</v>
      </c>
      <c r="F494" s="37">
        <v>1239</v>
      </c>
      <c r="G494" s="37">
        <v>75</v>
      </c>
      <c r="H494" s="45">
        <v>600</v>
      </c>
      <c r="I494" s="37">
        <v>695</v>
      </c>
      <c r="J494" s="37">
        <v>0</v>
      </c>
      <c r="K494" s="38"/>
      <c r="L494" s="38"/>
      <c r="M494" s="38"/>
      <c r="N494" s="38"/>
      <c r="O494" s="38"/>
      <c r="P494" s="38"/>
      <c r="Q494" s="38"/>
      <c r="R494" s="38"/>
      <c r="S494" s="38"/>
      <c r="T494" s="38"/>
    </row>
    <row r="495" spans="1:20" ht="15.75">
      <c r="A495" s="13">
        <v>56218</v>
      </c>
      <c r="B495" s="46">
        <v>30</v>
      </c>
      <c r="C495" s="37">
        <v>122.58</v>
      </c>
      <c r="D495" s="37">
        <v>297.94099999999997</v>
      </c>
      <c r="E495" s="43">
        <v>729.47900000000004</v>
      </c>
      <c r="F495" s="37">
        <v>1150</v>
      </c>
      <c r="G495" s="37">
        <v>100</v>
      </c>
      <c r="H495" s="45">
        <v>600</v>
      </c>
      <c r="I495" s="37">
        <v>695</v>
      </c>
      <c r="J495" s="37">
        <v>50</v>
      </c>
      <c r="K495" s="38"/>
      <c r="L495" s="38"/>
      <c r="M495" s="38"/>
      <c r="N495" s="38"/>
      <c r="O495" s="38"/>
      <c r="P495" s="38"/>
      <c r="Q495" s="38"/>
      <c r="R495" s="38"/>
      <c r="S495" s="38"/>
      <c r="T495" s="38"/>
    </row>
    <row r="496" spans="1:20" ht="15.75">
      <c r="A496" s="13">
        <v>56249</v>
      </c>
      <c r="B496" s="46">
        <v>31</v>
      </c>
      <c r="C496" s="37">
        <v>122.58</v>
      </c>
      <c r="D496" s="37">
        <v>297.94099999999997</v>
      </c>
      <c r="E496" s="43">
        <v>729.47900000000004</v>
      </c>
      <c r="F496" s="37">
        <v>1150</v>
      </c>
      <c r="G496" s="37">
        <v>100</v>
      </c>
      <c r="H496" s="45">
        <v>600</v>
      </c>
      <c r="I496" s="37">
        <v>695</v>
      </c>
      <c r="J496" s="37">
        <v>50</v>
      </c>
      <c r="K496" s="38"/>
      <c r="L496" s="38"/>
      <c r="M496" s="38"/>
      <c r="N496" s="38"/>
      <c r="O496" s="38"/>
      <c r="P496" s="38"/>
      <c r="Q496" s="38"/>
      <c r="R496" s="38"/>
      <c r="S496" s="38"/>
      <c r="T496" s="38"/>
    </row>
    <row r="497" spans="1:20" ht="15.75">
      <c r="A497" s="13">
        <v>56280</v>
      </c>
      <c r="B497" s="46">
        <v>31</v>
      </c>
      <c r="C497" s="37">
        <v>122.58</v>
      </c>
      <c r="D497" s="37">
        <v>297.94099999999997</v>
      </c>
      <c r="E497" s="43">
        <v>729.47900000000004</v>
      </c>
      <c r="F497" s="37">
        <v>1150</v>
      </c>
      <c r="G497" s="37">
        <v>100</v>
      </c>
      <c r="H497" s="45">
        <v>600</v>
      </c>
      <c r="I497" s="37">
        <v>695</v>
      </c>
      <c r="J497" s="37">
        <v>50</v>
      </c>
      <c r="K497" s="38"/>
      <c r="L497" s="38"/>
      <c r="M497" s="38"/>
      <c r="N497" s="38"/>
      <c r="O497" s="38"/>
      <c r="P497" s="38"/>
      <c r="Q497" s="38"/>
      <c r="R497" s="38"/>
      <c r="S497" s="38"/>
      <c r="T497" s="38"/>
    </row>
    <row r="498" spans="1:20" ht="15.75">
      <c r="A498" s="13">
        <v>56308</v>
      </c>
      <c r="B498" s="46">
        <v>28</v>
      </c>
      <c r="C498" s="37">
        <v>122.58</v>
      </c>
      <c r="D498" s="37">
        <v>297.94099999999997</v>
      </c>
      <c r="E498" s="43">
        <v>729.47900000000004</v>
      </c>
      <c r="F498" s="37">
        <v>1150</v>
      </c>
      <c r="G498" s="37">
        <v>100</v>
      </c>
      <c r="H498" s="45">
        <v>600</v>
      </c>
      <c r="I498" s="37">
        <v>695</v>
      </c>
      <c r="J498" s="37">
        <v>50</v>
      </c>
      <c r="K498" s="38"/>
      <c r="L498" s="38"/>
      <c r="M498" s="38"/>
      <c r="N498" s="38"/>
      <c r="O498" s="38"/>
      <c r="P498" s="38"/>
      <c r="Q498" s="38"/>
      <c r="R498" s="38"/>
      <c r="S498" s="38"/>
      <c r="T498" s="38"/>
    </row>
    <row r="499" spans="1:20" ht="15.75">
      <c r="A499" s="13">
        <v>56339</v>
      </c>
      <c r="B499" s="46">
        <v>31</v>
      </c>
      <c r="C499" s="37">
        <v>122.58</v>
      </c>
      <c r="D499" s="37">
        <v>297.94099999999997</v>
      </c>
      <c r="E499" s="43">
        <v>729.47900000000004</v>
      </c>
      <c r="F499" s="37">
        <v>1150</v>
      </c>
      <c r="G499" s="37">
        <v>100</v>
      </c>
      <c r="H499" s="45">
        <v>600</v>
      </c>
      <c r="I499" s="37">
        <v>695</v>
      </c>
      <c r="J499" s="37">
        <v>50</v>
      </c>
      <c r="K499" s="38"/>
      <c r="L499" s="38"/>
      <c r="M499" s="38"/>
      <c r="N499" s="38"/>
      <c r="O499" s="38"/>
      <c r="P499" s="38"/>
      <c r="Q499" s="38"/>
      <c r="R499" s="38"/>
      <c r="S499" s="38"/>
      <c r="T499" s="38"/>
    </row>
    <row r="500" spans="1:20" ht="15.75">
      <c r="A500" s="13">
        <v>56369</v>
      </c>
      <c r="B500" s="46">
        <v>30</v>
      </c>
      <c r="C500" s="37">
        <v>141.29300000000001</v>
      </c>
      <c r="D500" s="37">
        <v>267.99299999999999</v>
      </c>
      <c r="E500" s="43">
        <v>829.71400000000006</v>
      </c>
      <c r="F500" s="37">
        <v>1239</v>
      </c>
      <c r="G500" s="37">
        <v>100</v>
      </c>
      <c r="H500" s="45">
        <v>600</v>
      </c>
      <c r="I500" s="37">
        <v>695</v>
      </c>
      <c r="J500" s="37">
        <v>50</v>
      </c>
      <c r="K500" s="38"/>
      <c r="L500" s="38"/>
      <c r="M500" s="38"/>
      <c r="N500" s="38"/>
      <c r="O500" s="38"/>
      <c r="P500" s="38"/>
      <c r="Q500" s="38"/>
      <c r="R500" s="38"/>
      <c r="S500" s="38"/>
      <c r="T500" s="38"/>
    </row>
    <row r="501" spans="1:20" ht="15.75">
      <c r="A501" s="13">
        <v>56400</v>
      </c>
      <c r="B501" s="46">
        <v>31</v>
      </c>
      <c r="C501" s="37">
        <v>194.20500000000001</v>
      </c>
      <c r="D501" s="37">
        <v>267.46600000000001</v>
      </c>
      <c r="E501" s="43">
        <v>812.32899999999995</v>
      </c>
      <c r="F501" s="37">
        <v>1274</v>
      </c>
      <c r="G501" s="37">
        <v>75</v>
      </c>
      <c r="H501" s="45">
        <v>600</v>
      </c>
      <c r="I501" s="37">
        <v>695</v>
      </c>
      <c r="J501" s="37">
        <v>50</v>
      </c>
      <c r="K501" s="38"/>
      <c r="L501" s="38"/>
      <c r="M501" s="38"/>
      <c r="N501" s="38"/>
      <c r="O501" s="38"/>
      <c r="P501" s="38"/>
      <c r="Q501" s="38"/>
      <c r="R501" s="38"/>
      <c r="S501" s="38"/>
      <c r="T501" s="38"/>
    </row>
    <row r="502" spans="1:20" ht="15.75">
      <c r="A502" s="13">
        <v>56430</v>
      </c>
      <c r="B502" s="46">
        <v>30</v>
      </c>
      <c r="C502" s="37">
        <v>194.20500000000001</v>
      </c>
      <c r="D502" s="37">
        <v>267.46600000000001</v>
      </c>
      <c r="E502" s="43">
        <v>812.32899999999995</v>
      </c>
      <c r="F502" s="37">
        <v>1274</v>
      </c>
      <c r="G502" s="37">
        <v>50</v>
      </c>
      <c r="H502" s="45">
        <v>600</v>
      </c>
      <c r="I502" s="37">
        <v>695</v>
      </c>
      <c r="J502" s="37">
        <v>50</v>
      </c>
      <c r="K502" s="38"/>
      <c r="L502" s="38"/>
      <c r="M502" s="38"/>
      <c r="N502" s="38"/>
      <c r="O502" s="38"/>
      <c r="P502" s="38"/>
      <c r="Q502" s="38"/>
      <c r="R502" s="38"/>
      <c r="S502" s="38"/>
      <c r="T502" s="38"/>
    </row>
    <row r="503" spans="1:20" ht="15.75">
      <c r="A503" s="13">
        <v>56461</v>
      </c>
      <c r="B503" s="46">
        <v>31</v>
      </c>
      <c r="C503" s="37">
        <v>194.20500000000001</v>
      </c>
      <c r="D503" s="37">
        <v>267.46600000000001</v>
      </c>
      <c r="E503" s="43">
        <v>812.32899999999995</v>
      </c>
      <c r="F503" s="37">
        <v>1274</v>
      </c>
      <c r="G503" s="37">
        <v>50</v>
      </c>
      <c r="H503" s="45">
        <v>600</v>
      </c>
      <c r="I503" s="37">
        <v>695</v>
      </c>
      <c r="J503" s="37">
        <v>0</v>
      </c>
      <c r="K503" s="38"/>
      <c r="L503" s="38"/>
      <c r="M503" s="38"/>
      <c r="N503" s="38"/>
      <c r="O503" s="38"/>
      <c r="P503" s="38"/>
      <c r="Q503" s="38"/>
      <c r="R503" s="38"/>
      <c r="S503" s="38"/>
      <c r="T503" s="38"/>
    </row>
    <row r="504" spans="1:20" ht="15.75">
      <c r="A504" s="13">
        <v>56492</v>
      </c>
      <c r="B504" s="46">
        <v>31</v>
      </c>
      <c r="C504" s="37">
        <v>194.20500000000001</v>
      </c>
      <c r="D504" s="37">
        <v>267.46600000000001</v>
      </c>
      <c r="E504" s="43">
        <v>812.32899999999995</v>
      </c>
      <c r="F504" s="37">
        <v>1274</v>
      </c>
      <c r="G504" s="37">
        <v>50</v>
      </c>
      <c r="H504" s="45">
        <v>600</v>
      </c>
      <c r="I504" s="37">
        <v>695</v>
      </c>
      <c r="J504" s="37">
        <v>0</v>
      </c>
      <c r="K504" s="38"/>
      <c r="L504" s="38"/>
      <c r="M504" s="38"/>
      <c r="N504" s="38"/>
      <c r="O504" s="38"/>
      <c r="P504" s="38"/>
      <c r="Q504" s="38"/>
      <c r="R504" s="38"/>
      <c r="S504" s="38"/>
      <c r="T504" s="38"/>
    </row>
    <row r="505" spans="1:20" ht="15.75">
      <c r="A505" s="13">
        <v>56522</v>
      </c>
      <c r="B505" s="46">
        <v>30</v>
      </c>
      <c r="C505" s="37">
        <v>194.20500000000001</v>
      </c>
      <c r="D505" s="37">
        <v>267.46600000000001</v>
      </c>
      <c r="E505" s="43">
        <v>812.32899999999995</v>
      </c>
      <c r="F505" s="37">
        <v>1274</v>
      </c>
      <c r="G505" s="37">
        <v>50</v>
      </c>
      <c r="H505" s="45">
        <v>600</v>
      </c>
      <c r="I505" s="37">
        <v>695</v>
      </c>
      <c r="J505" s="37">
        <v>0</v>
      </c>
      <c r="K505" s="38"/>
      <c r="L505" s="38"/>
      <c r="M505" s="38"/>
      <c r="N505" s="38"/>
      <c r="O505" s="38"/>
      <c r="P505" s="38"/>
      <c r="Q505" s="38"/>
      <c r="R505" s="38"/>
      <c r="S505" s="38"/>
      <c r="T505" s="38"/>
    </row>
    <row r="506" spans="1:20" ht="15.75">
      <c r="A506" s="13">
        <v>56553</v>
      </c>
      <c r="B506" s="46">
        <v>31</v>
      </c>
      <c r="C506" s="37">
        <v>131.881</v>
      </c>
      <c r="D506" s="37">
        <v>277.16699999999997</v>
      </c>
      <c r="E506" s="43">
        <v>829.952</v>
      </c>
      <c r="F506" s="37">
        <v>1239</v>
      </c>
      <c r="G506" s="37">
        <v>75</v>
      </c>
      <c r="H506" s="45">
        <v>600</v>
      </c>
      <c r="I506" s="37">
        <v>695</v>
      </c>
      <c r="J506" s="37">
        <v>0</v>
      </c>
      <c r="K506" s="38"/>
      <c r="L506" s="38"/>
      <c r="M506" s="38"/>
      <c r="N506" s="38"/>
      <c r="O506" s="38"/>
      <c r="P506" s="38"/>
      <c r="Q506" s="38"/>
      <c r="R506" s="38"/>
      <c r="S506" s="38"/>
      <c r="T506" s="38"/>
    </row>
    <row r="507" spans="1:20" ht="15.75">
      <c r="A507" s="13">
        <v>56583</v>
      </c>
      <c r="B507" s="46">
        <v>30</v>
      </c>
      <c r="C507" s="37">
        <v>122.58</v>
      </c>
      <c r="D507" s="37">
        <v>297.94099999999997</v>
      </c>
      <c r="E507" s="43">
        <v>729.47900000000004</v>
      </c>
      <c r="F507" s="37">
        <v>1150</v>
      </c>
      <c r="G507" s="37">
        <v>100</v>
      </c>
      <c r="H507" s="45">
        <v>600</v>
      </c>
      <c r="I507" s="37">
        <v>695</v>
      </c>
      <c r="J507" s="37">
        <v>50</v>
      </c>
      <c r="K507" s="38"/>
      <c r="L507" s="38"/>
      <c r="M507" s="38"/>
      <c r="N507" s="38"/>
      <c r="O507" s="38"/>
      <c r="P507" s="38"/>
      <c r="Q507" s="38"/>
      <c r="R507" s="38"/>
      <c r="S507" s="38"/>
      <c r="T507" s="38"/>
    </row>
    <row r="508" spans="1:20" ht="15.75">
      <c r="A508" s="13">
        <v>56614</v>
      </c>
      <c r="B508" s="46">
        <v>31</v>
      </c>
      <c r="C508" s="37">
        <v>122.58</v>
      </c>
      <c r="D508" s="37">
        <v>297.94099999999997</v>
      </c>
      <c r="E508" s="43">
        <v>729.47900000000004</v>
      </c>
      <c r="F508" s="37">
        <v>1150</v>
      </c>
      <c r="G508" s="37">
        <v>100</v>
      </c>
      <c r="H508" s="45">
        <v>600</v>
      </c>
      <c r="I508" s="37">
        <v>695</v>
      </c>
      <c r="J508" s="37">
        <v>50</v>
      </c>
      <c r="K508" s="38"/>
      <c r="L508" s="38"/>
      <c r="M508" s="38"/>
      <c r="N508" s="38"/>
      <c r="O508" s="38"/>
      <c r="P508" s="38"/>
      <c r="Q508" s="38"/>
      <c r="R508" s="38"/>
      <c r="S508" s="38"/>
      <c r="T508" s="38"/>
    </row>
    <row r="509" spans="1:20" ht="15.75">
      <c r="A509" s="13">
        <v>56645</v>
      </c>
      <c r="B509" s="46">
        <v>31</v>
      </c>
      <c r="C509" s="37">
        <v>122.58</v>
      </c>
      <c r="D509" s="37">
        <v>297.94099999999997</v>
      </c>
      <c r="E509" s="43">
        <v>729.47900000000004</v>
      </c>
      <c r="F509" s="37">
        <v>1150</v>
      </c>
      <c r="G509" s="37">
        <v>100</v>
      </c>
      <c r="H509" s="45">
        <v>600</v>
      </c>
      <c r="I509" s="37">
        <v>695</v>
      </c>
      <c r="J509" s="37">
        <v>50</v>
      </c>
      <c r="K509" s="38"/>
      <c r="L509" s="38"/>
      <c r="M509" s="38"/>
      <c r="N509" s="38"/>
      <c r="O509" s="38"/>
      <c r="P509" s="38"/>
      <c r="Q509" s="38"/>
      <c r="R509" s="38"/>
      <c r="S509" s="38"/>
      <c r="T509" s="38"/>
    </row>
    <row r="510" spans="1:20" ht="15.75">
      <c r="A510" s="13">
        <v>56673</v>
      </c>
      <c r="B510" s="46">
        <v>28</v>
      </c>
      <c r="C510" s="37">
        <v>122.58</v>
      </c>
      <c r="D510" s="37">
        <v>297.94099999999997</v>
      </c>
      <c r="E510" s="43">
        <v>729.47900000000004</v>
      </c>
      <c r="F510" s="37">
        <v>1150</v>
      </c>
      <c r="G510" s="37">
        <v>100</v>
      </c>
      <c r="H510" s="45">
        <v>600</v>
      </c>
      <c r="I510" s="37">
        <v>695</v>
      </c>
      <c r="J510" s="37">
        <v>50</v>
      </c>
      <c r="K510" s="38"/>
      <c r="L510" s="38"/>
      <c r="M510" s="38"/>
      <c r="N510" s="38"/>
      <c r="O510" s="38"/>
      <c r="P510" s="38"/>
      <c r="Q510" s="38"/>
      <c r="R510" s="38"/>
      <c r="S510" s="38"/>
      <c r="T510" s="38"/>
    </row>
    <row r="511" spans="1:20" ht="15.75">
      <c r="A511" s="13">
        <v>56704</v>
      </c>
      <c r="B511" s="46">
        <v>31</v>
      </c>
      <c r="C511" s="37">
        <v>122.58</v>
      </c>
      <c r="D511" s="37">
        <v>297.94099999999997</v>
      </c>
      <c r="E511" s="43">
        <v>729.47900000000004</v>
      </c>
      <c r="F511" s="37">
        <v>1150</v>
      </c>
      <c r="G511" s="37">
        <v>100</v>
      </c>
      <c r="H511" s="45">
        <v>600</v>
      </c>
      <c r="I511" s="37">
        <v>695</v>
      </c>
      <c r="J511" s="37">
        <v>50</v>
      </c>
      <c r="K511" s="38"/>
      <c r="L511" s="38"/>
      <c r="M511" s="38"/>
      <c r="N511" s="38"/>
      <c r="O511" s="38"/>
      <c r="P511" s="38"/>
      <c r="Q511" s="38"/>
      <c r="R511" s="38"/>
      <c r="S511" s="38"/>
      <c r="T511" s="38"/>
    </row>
    <row r="512" spans="1:20" ht="15.75">
      <c r="A512" s="13">
        <v>56734</v>
      </c>
      <c r="B512" s="46">
        <v>30</v>
      </c>
      <c r="C512" s="37">
        <v>141.29300000000001</v>
      </c>
      <c r="D512" s="37">
        <v>267.99299999999999</v>
      </c>
      <c r="E512" s="43">
        <v>829.71400000000006</v>
      </c>
      <c r="F512" s="37">
        <v>1239</v>
      </c>
      <c r="G512" s="37">
        <v>100</v>
      </c>
      <c r="H512" s="45">
        <v>600</v>
      </c>
      <c r="I512" s="37">
        <v>695</v>
      </c>
      <c r="J512" s="37">
        <v>50</v>
      </c>
      <c r="K512" s="38"/>
      <c r="L512" s="38"/>
      <c r="M512" s="38"/>
      <c r="N512" s="38"/>
      <c r="O512" s="38"/>
      <c r="P512" s="38"/>
      <c r="Q512" s="38"/>
      <c r="R512" s="38"/>
      <c r="S512" s="38"/>
      <c r="T512" s="38"/>
    </row>
    <row r="513" spans="1:20" ht="15.75">
      <c r="A513" s="13">
        <v>56765</v>
      </c>
      <c r="B513" s="46">
        <v>31</v>
      </c>
      <c r="C513" s="37">
        <v>194.20500000000001</v>
      </c>
      <c r="D513" s="37">
        <v>267.46600000000001</v>
      </c>
      <c r="E513" s="43">
        <v>812.32899999999995</v>
      </c>
      <c r="F513" s="37">
        <v>1274</v>
      </c>
      <c r="G513" s="37">
        <v>75</v>
      </c>
      <c r="H513" s="45">
        <v>600</v>
      </c>
      <c r="I513" s="37">
        <v>695</v>
      </c>
      <c r="J513" s="37">
        <v>50</v>
      </c>
      <c r="K513" s="38"/>
      <c r="L513" s="38"/>
      <c r="M513" s="38"/>
      <c r="N513" s="38"/>
      <c r="O513" s="38"/>
      <c r="P513" s="38"/>
      <c r="Q513" s="38"/>
      <c r="R513" s="38"/>
      <c r="S513" s="38"/>
      <c r="T513" s="38"/>
    </row>
    <row r="514" spans="1:20" ht="15.75">
      <c r="A514" s="13">
        <v>56795</v>
      </c>
      <c r="B514" s="46">
        <v>30</v>
      </c>
      <c r="C514" s="37">
        <v>194.20500000000001</v>
      </c>
      <c r="D514" s="37">
        <v>267.46600000000001</v>
      </c>
      <c r="E514" s="43">
        <v>812.32899999999995</v>
      </c>
      <c r="F514" s="37">
        <v>1274</v>
      </c>
      <c r="G514" s="37">
        <v>50</v>
      </c>
      <c r="H514" s="45">
        <v>600</v>
      </c>
      <c r="I514" s="37">
        <v>695</v>
      </c>
      <c r="J514" s="37">
        <v>50</v>
      </c>
      <c r="K514" s="38"/>
      <c r="L514" s="38"/>
      <c r="M514" s="38"/>
      <c r="N514" s="38"/>
      <c r="O514" s="38"/>
      <c r="P514" s="38"/>
      <c r="Q514" s="38"/>
      <c r="R514" s="38"/>
      <c r="S514" s="38"/>
      <c r="T514" s="38"/>
    </row>
    <row r="515" spans="1:20" ht="15.75">
      <c r="A515" s="13">
        <v>56826</v>
      </c>
      <c r="B515" s="46">
        <v>31</v>
      </c>
      <c r="C515" s="37">
        <v>194.20500000000001</v>
      </c>
      <c r="D515" s="37">
        <v>267.46600000000001</v>
      </c>
      <c r="E515" s="43">
        <v>812.32899999999995</v>
      </c>
      <c r="F515" s="37">
        <v>1274</v>
      </c>
      <c r="G515" s="37">
        <v>50</v>
      </c>
      <c r="H515" s="45">
        <v>600</v>
      </c>
      <c r="I515" s="37">
        <v>695</v>
      </c>
      <c r="J515" s="37">
        <v>0</v>
      </c>
      <c r="K515" s="38"/>
      <c r="L515" s="38"/>
      <c r="M515" s="38"/>
      <c r="N515" s="38"/>
      <c r="O515" s="38"/>
      <c r="P515" s="38"/>
      <c r="Q515" s="38"/>
      <c r="R515" s="38"/>
      <c r="S515" s="38"/>
      <c r="T515" s="38"/>
    </row>
    <row r="516" spans="1:20" ht="15.75">
      <c r="A516" s="13">
        <v>56857</v>
      </c>
      <c r="B516" s="46">
        <v>31</v>
      </c>
      <c r="C516" s="37">
        <v>194.20500000000001</v>
      </c>
      <c r="D516" s="37">
        <v>267.46600000000001</v>
      </c>
      <c r="E516" s="43">
        <v>812.32899999999995</v>
      </c>
      <c r="F516" s="37">
        <v>1274</v>
      </c>
      <c r="G516" s="37">
        <v>50</v>
      </c>
      <c r="H516" s="45">
        <v>600</v>
      </c>
      <c r="I516" s="37">
        <v>695</v>
      </c>
      <c r="J516" s="37">
        <v>0</v>
      </c>
      <c r="K516" s="38"/>
      <c r="L516" s="38"/>
      <c r="M516" s="38"/>
      <c r="N516" s="38"/>
      <c r="O516" s="38"/>
      <c r="P516" s="38"/>
      <c r="Q516" s="38"/>
      <c r="R516" s="38"/>
      <c r="S516" s="38"/>
      <c r="T516" s="38"/>
    </row>
    <row r="517" spans="1:20" ht="15.75">
      <c r="A517" s="13">
        <v>56887</v>
      </c>
      <c r="B517" s="46">
        <v>30</v>
      </c>
      <c r="C517" s="37">
        <v>194.20500000000001</v>
      </c>
      <c r="D517" s="37">
        <v>267.46600000000001</v>
      </c>
      <c r="E517" s="43">
        <v>812.32899999999995</v>
      </c>
      <c r="F517" s="37">
        <v>1274</v>
      </c>
      <c r="G517" s="37">
        <v>50</v>
      </c>
      <c r="H517" s="45">
        <v>600</v>
      </c>
      <c r="I517" s="37">
        <v>695</v>
      </c>
      <c r="J517" s="37">
        <v>0</v>
      </c>
      <c r="K517" s="38"/>
      <c r="L517" s="38"/>
      <c r="M517" s="38"/>
      <c r="N517" s="38"/>
      <c r="O517" s="38"/>
      <c r="P517" s="38"/>
      <c r="Q517" s="38"/>
      <c r="R517" s="38"/>
      <c r="S517" s="38"/>
      <c r="T517" s="38"/>
    </row>
    <row r="518" spans="1:20" ht="15.75">
      <c r="A518" s="13">
        <v>56918</v>
      </c>
      <c r="B518" s="46">
        <v>31</v>
      </c>
      <c r="C518" s="37">
        <v>131.881</v>
      </c>
      <c r="D518" s="37">
        <v>277.16699999999997</v>
      </c>
      <c r="E518" s="43">
        <v>829.952</v>
      </c>
      <c r="F518" s="37">
        <v>1239</v>
      </c>
      <c r="G518" s="37">
        <v>75</v>
      </c>
      <c r="H518" s="45">
        <v>600</v>
      </c>
      <c r="I518" s="37">
        <v>695</v>
      </c>
      <c r="J518" s="37">
        <v>0</v>
      </c>
      <c r="K518" s="38"/>
      <c r="L518" s="38"/>
      <c r="M518" s="38"/>
      <c r="N518" s="38"/>
      <c r="O518" s="38"/>
      <c r="P518" s="38"/>
      <c r="Q518" s="38"/>
      <c r="R518" s="38"/>
      <c r="S518" s="38"/>
      <c r="T518" s="38"/>
    </row>
    <row r="519" spans="1:20" ht="15.75">
      <c r="A519" s="13">
        <v>56948</v>
      </c>
      <c r="B519" s="46">
        <v>30</v>
      </c>
      <c r="C519" s="37">
        <v>122.58</v>
      </c>
      <c r="D519" s="37">
        <v>297.94099999999997</v>
      </c>
      <c r="E519" s="43">
        <v>729.47900000000004</v>
      </c>
      <c r="F519" s="37">
        <v>1150</v>
      </c>
      <c r="G519" s="37">
        <v>100</v>
      </c>
      <c r="H519" s="45">
        <v>600</v>
      </c>
      <c r="I519" s="37">
        <v>695</v>
      </c>
      <c r="J519" s="37">
        <v>50</v>
      </c>
      <c r="K519" s="38"/>
      <c r="L519" s="38"/>
      <c r="M519" s="38"/>
      <c r="N519" s="38"/>
      <c r="O519" s="38"/>
      <c r="P519" s="38"/>
      <c r="Q519" s="38"/>
      <c r="R519" s="38"/>
      <c r="S519" s="38"/>
      <c r="T519" s="38"/>
    </row>
    <row r="520" spans="1:20" ht="15.75">
      <c r="A520" s="13">
        <v>56979</v>
      </c>
      <c r="B520" s="46">
        <v>31</v>
      </c>
      <c r="C520" s="37">
        <v>122.58</v>
      </c>
      <c r="D520" s="37">
        <v>297.94099999999997</v>
      </c>
      <c r="E520" s="43">
        <v>729.47900000000004</v>
      </c>
      <c r="F520" s="37">
        <v>1150</v>
      </c>
      <c r="G520" s="37">
        <v>100</v>
      </c>
      <c r="H520" s="45">
        <v>600</v>
      </c>
      <c r="I520" s="37">
        <v>695</v>
      </c>
      <c r="J520" s="37">
        <v>50</v>
      </c>
      <c r="K520" s="38"/>
      <c r="L520" s="38"/>
      <c r="M520" s="38"/>
      <c r="N520" s="38"/>
      <c r="O520" s="38"/>
      <c r="P520" s="38"/>
      <c r="Q520" s="38"/>
      <c r="R520" s="38"/>
      <c r="S520" s="38"/>
      <c r="T520" s="38"/>
    </row>
    <row r="521" spans="1:20" ht="15.75">
      <c r="A521" s="13">
        <v>57010</v>
      </c>
      <c r="B521" s="46">
        <v>31</v>
      </c>
      <c r="C521" s="37">
        <v>122.58</v>
      </c>
      <c r="D521" s="37">
        <v>297.94099999999997</v>
      </c>
      <c r="E521" s="43">
        <v>729.47900000000004</v>
      </c>
      <c r="F521" s="37">
        <v>1150</v>
      </c>
      <c r="G521" s="37">
        <v>100</v>
      </c>
      <c r="H521" s="45">
        <v>600</v>
      </c>
      <c r="I521" s="37">
        <v>695</v>
      </c>
      <c r="J521" s="37">
        <v>50</v>
      </c>
      <c r="K521" s="38"/>
      <c r="L521" s="38"/>
      <c r="M521" s="38"/>
      <c r="N521" s="38"/>
      <c r="O521" s="38"/>
      <c r="P521" s="38"/>
      <c r="Q521" s="38"/>
      <c r="R521" s="38"/>
      <c r="S521" s="38"/>
      <c r="T521" s="38"/>
    </row>
    <row r="522" spans="1:20" ht="15.75">
      <c r="A522" s="13">
        <v>57038</v>
      </c>
      <c r="B522" s="46">
        <v>29</v>
      </c>
      <c r="C522" s="37">
        <v>122.58</v>
      </c>
      <c r="D522" s="37">
        <v>297.94099999999997</v>
      </c>
      <c r="E522" s="43">
        <v>729.47900000000004</v>
      </c>
      <c r="F522" s="37">
        <v>1150</v>
      </c>
      <c r="G522" s="37">
        <v>100</v>
      </c>
      <c r="H522" s="45">
        <v>600</v>
      </c>
      <c r="I522" s="37">
        <v>695</v>
      </c>
      <c r="J522" s="37">
        <v>50</v>
      </c>
      <c r="K522" s="38"/>
      <c r="L522" s="38"/>
      <c r="M522" s="38"/>
      <c r="N522" s="38"/>
      <c r="O522" s="38"/>
      <c r="P522" s="38"/>
      <c r="Q522" s="38"/>
      <c r="R522" s="38"/>
      <c r="S522" s="38"/>
      <c r="T522" s="38"/>
    </row>
    <row r="523" spans="1:20" ht="15.75">
      <c r="A523" s="13">
        <v>57070</v>
      </c>
      <c r="B523" s="46">
        <v>31</v>
      </c>
      <c r="C523" s="37">
        <v>122.58</v>
      </c>
      <c r="D523" s="37">
        <v>297.94099999999997</v>
      </c>
      <c r="E523" s="43">
        <v>729.47900000000004</v>
      </c>
      <c r="F523" s="37">
        <v>1150</v>
      </c>
      <c r="G523" s="37">
        <v>100</v>
      </c>
      <c r="H523" s="45">
        <v>600</v>
      </c>
      <c r="I523" s="37">
        <v>695</v>
      </c>
      <c r="J523" s="37">
        <v>50</v>
      </c>
      <c r="K523" s="38"/>
      <c r="L523" s="38"/>
      <c r="M523" s="38"/>
      <c r="N523" s="38"/>
      <c r="O523" s="38"/>
      <c r="P523" s="38"/>
      <c r="Q523" s="38"/>
      <c r="R523" s="38"/>
      <c r="S523" s="38"/>
      <c r="T523" s="38"/>
    </row>
    <row r="524" spans="1:20" ht="15.75">
      <c r="A524" s="13">
        <v>57100</v>
      </c>
      <c r="B524" s="46">
        <v>30</v>
      </c>
      <c r="C524" s="37">
        <v>141.29300000000001</v>
      </c>
      <c r="D524" s="37">
        <v>267.99299999999999</v>
      </c>
      <c r="E524" s="43">
        <v>829.71400000000006</v>
      </c>
      <c r="F524" s="37">
        <v>1239</v>
      </c>
      <c r="G524" s="37">
        <v>100</v>
      </c>
      <c r="H524" s="45">
        <v>600</v>
      </c>
      <c r="I524" s="37">
        <v>695</v>
      </c>
      <c r="J524" s="37">
        <v>50</v>
      </c>
      <c r="K524" s="38"/>
      <c r="L524" s="38"/>
      <c r="M524" s="38"/>
      <c r="N524" s="38"/>
      <c r="O524" s="38"/>
      <c r="P524" s="38"/>
      <c r="Q524" s="38"/>
      <c r="R524" s="38"/>
      <c r="S524" s="38"/>
      <c r="T524" s="38"/>
    </row>
    <row r="525" spans="1:20" ht="15.75">
      <c r="A525" s="13">
        <v>57131</v>
      </c>
      <c r="B525" s="46">
        <v>31</v>
      </c>
      <c r="C525" s="37">
        <v>194.20500000000001</v>
      </c>
      <c r="D525" s="37">
        <v>267.46600000000001</v>
      </c>
      <c r="E525" s="43">
        <v>812.32899999999995</v>
      </c>
      <c r="F525" s="37">
        <v>1274</v>
      </c>
      <c r="G525" s="37">
        <v>75</v>
      </c>
      <c r="H525" s="45">
        <v>600</v>
      </c>
      <c r="I525" s="37">
        <v>695</v>
      </c>
      <c r="J525" s="37">
        <v>50</v>
      </c>
      <c r="K525" s="38"/>
      <c r="L525" s="38"/>
      <c r="M525" s="38"/>
      <c r="N525" s="38"/>
      <c r="O525" s="38"/>
      <c r="P525" s="38"/>
      <c r="Q525" s="38"/>
      <c r="R525" s="38"/>
      <c r="S525" s="38"/>
      <c r="T525" s="38"/>
    </row>
    <row r="526" spans="1:20" ht="15.75">
      <c r="A526" s="13">
        <v>57161</v>
      </c>
      <c r="B526" s="46">
        <v>30</v>
      </c>
      <c r="C526" s="37">
        <v>194.20500000000001</v>
      </c>
      <c r="D526" s="37">
        <v>267.46600000000001</v>
      </c>
      <c r="E526" s="43">
        <v>812.32899999999995</v>
      </c>
      <c r="F526" s="37">
        <v>1274</v>
      </c>
      <c r="G526" s="37">
        <v>50</v>
      </c>
      <c r="H526" s="45">
        <v>600</v>
      </c>
      <c r="I526" s="37">
        <v>695</v>
      </c>
      <c r="J526" s="37">
        <v>50</v>
      </c>
      <c r="K526" s="38"/>
      <c r="L526" s="38"/>
      <c r="M526" s="38"/>
      <c r="N526" s="38"/>
      <c r="O526" s="38"/>
      <c r="P526" s="38"/>
      <c r="Q526" s="38"/>
      <c r="R526" s="38"/>
      <c r="S526" s="38"/>
      <c r="T526" s="38"/>
    </row>
    <row r="527" spans="1:20" ht="15.75">
      <c r="A527" s="13">
        <v>57192</v>
      </c>
      <c r="B527" s="46">
        <v>31</v>
      </c>
      <c r="C527" s="37">
        <v>194.20500000000001</v>
      </c>
      <c r="D527" s="37">
        <v>267.46600000000001</v>
      </c>
      <c r="E527" s="43">
        <v>812.32899999999995</v>
      </c>
      <c r="F527" s="37">
        <v>1274</v>
      </c>
      <c r="G527" s="37">
        <v>50</v>
      </c>
      <c r="H527" s="45">
        <v>600</v>
      </c>
      <c r="I527" s="37">
        <v>695</v>
      </c>
      <c r="J527" s="37">
        <v>0</v>
      </c>
      <c r="K527" s="38"/>
      <c r="L527" s="38"/>
      <c r="M527" s="38"/>
      <c r="N527" s="38"/>
      <c r="O527" s="38"/>
      <c r="P527" s="38"/>
      <c r="Q527" s="38"/>
      <c r="R527" s="38"/>
      <c r="S527" s="38"/>
      <c r="T527" s="38"/>
    </row>
    <row r="528" spans="1:20" ht="15.75">
      <c r="A528" s="13">
        <v>57223</v>
      </c>
      <c r="B528" s="46">
        <v>31</v>
      </c>
      <c r="C528" s="37">
        <v>194.20500000000001</v>
      </c>
      <c r="D528" s="37">
        <v>267.46600000000001</v>
      </c>
      <c r="E528" s="43">
        <v>812.32899999999995</v>
      </c>
      <c r="F528" s="37">
        <v>1274</v>
      </c>
      <c r="G528" s="37">
        <v>50</v>
      </c>
      <c r="H528" s="45">
        <v>600</v>
      </c>
      <c r="I528" s="37">
        <v>695</v>
      </c>
      <c r="J528" s="37">
        <v>0</v>
      </c>
      <c r="K528" s="38"/>
      <c r="L528" s="38"/>
      <c r="M528" s="38"/>
      <c r="N528" s="38"/>
      <c r="O528" s="38"/>
      <c r="P528" s="38"/>
      <c r="Q528" s="38"/>
      <c r="R528" s="38"/>
      <c r="S528" s="38"/>
      <c r="T528" s="38"/>
    </row>
    <row r="529" spans="1:20" ht="15.75">
      <c r="A529" s="13">
        <v>57253</v>
      </c>
      <c r="B529" s="46">
        <v>30</v>
      </c>
      <c r="C529" s="37">
        <v>194.20500000000001</v>
      </c>
      <c r="D529" s="37">
        <v>267.46600000000001</v>
      </c>
      <c r="E529" s="43">
        <v>812.32899999999995</v>
      </c>
      <c r="F529" s="37">
        <v>1274</v>
      </c>
      <c r="G529" s="37">
        <v>50</v>
      </c>
      <c r="H529" s="45">
        <v>600</v>
      </c>
      <c r="I529" s="37">
        <v>695</v>
      </c>
      <c r="J529" s="37">
        <v>0</v>
      </c>
      <c r="K529" s="38"/>
      <c r="L529" s="38"/>
      <c r="M529" s="38"/>
      <c r="N529" s="38"/>
      <c r="O529" s="38"/>
      <c r="P529" s="38"/>
      <c r="Q529" s="38"/>
      <c r="R529" s="38"/>
      <c r="S529" s="38"/>
      <c r="T529" s="38"/>
    </row>
    <row r="530" spans="1:20" ht="15.75">
      <c r="A530" s="13">
        <v>57284</v>
      </c>
      <c r="B530" s="46">
        <v>31</v>
      </c>
      <c r="C530" s="37">
        <v>131.881</v>
      </c>
      <c r="D530" s="37">
        <v>277.16699999999997</v>
      </c>
      <c r="E530" s="43">
        <v>829.952</v>
      </c>
      <c r="F530" s="37">
        <v>1239</v>
      </c>
      <c r="G530" s="37">
        <v>75</v>
      </c>
      <c r="H530" s="45">
        <v>600</v>
      </c>
      <c r="I530" s="37">
        <v>695</v>
      </c>
      <c r="J530" s="37">
        <v>0</v>
      </c>
      <c r="K530" s="38"/>
      <c r="L530" s="38"/>
      <c r="M530" s="38"/>
      <c r="N530" s="38"/>
      <c r="O530" s="38"/>
      <c r="P530" s="38"/>
      <c r="Q530" s="38"/>
      <c r="R530" s="38"/>
      <c r="S530" s="38"/>
      <c r="T530" s="38"/>
    </row>
    <row r="531" spans="1:20" ht="15.75">
      <c r="A531" s="13">
        <v>57314</v>
      </c>
      <c r="B531" s="46">
        <v>30</v>
      </c>
      <c r="C531" s="37">
        <v>122.58</v>
      </c>
      <c r="D531" s="37">
        <v>297.94099999999997</v>
      </c>
      <c r="E531" s="43">
        <v>729.47900000000004</v>
      </c>
      <c r="F531" s="37">
        <v>1150</v>
      </c>
      <c r="G531" s="37">
        <v>100</v>
      </c>
      <c r="H531" s="45">
        <v>600</v>
      </c>
      <c r="I531" s="37">
        <v>695</v>
      </c>
      <c r="J531" s="37">
        <v>50</v>
      </c>
      <c r="K531" s="38"/>
      <c r="L531" s="38"/>
      <c r="M531" s="38"/>
      <c r="N531" s="38"/>
      <c r="O531" s="38"/>
      <c r="P531" s="38"/>
      <c r="Q531" s="38"/>
      <c r="R531" s="38"/>
      <c r="S531" s="38"/>
      <c r="T531" s="38"/>
    </row>
    <row r="532" spans="1:20" ht="15.75">
      <c r="A532" s="13">
        <v>57345</v>
      </c>
      <c r="B532" s="46">
        <v>31</v>
      </c>
      <c r="C532" s="37">
        <v>122.58</v>
      </c>
      <c r="D532" s="37">
        <v>297.94099999999997</v>
      </c>
      <c r="E532" s="43">
        <v>729.47900000000004</v>
      </c>
      <c r="F532" s="37">
        <v>1150</v>
      </c>
      <c r="G532" s="37">
        <v>100</v>
      </c>
      <c r="H532" s="45">
        <v>600</v>
      </c>
      <c r="I532" s="37">
        <v>695</v>
      </c>
      <c r="J532" s="37">
        <v>50</v>
      </c>
      <c r="K532" s="38"/>
      <c r="L532" s="38"/>
      <c r="M532" s="38"/>
      <c r="N532" s="38"/>
      <c r="O532" s="38"/>
      <c r="P532" s="38"/>
      <c r="Q532" s="38"/>
      <c r="R532" s="38"/>
      <c r="S532" s="38"/>
      <c r="T532" s="38"/>
    </row>
    <row r="533" spans="1:20" ht="15.75">
      <c r="A533" s="13">
        <v>57376</v>
      </c>
      <c r="B533" s="46">
        <v>31</v>
      </c>
      <c r="C533" s="37">
        <v>122.58</v>
      </c>
      <c r="D533" s="37">
        <v>297.94099999999997</v>
      </c>
      <c r="E533" s="43">
        <v>729.47900000000004</v>
      </c>
      <c r="F533" s="37">
        <v>1150</v>
      </c>
      <c r="G533" s="37">
        <v>100</v>
      </c>
      <c r="H533" s="45">
        <v>600</v>
      </c>
      <c r="I533" s="37">
        <v>695</v>
      </c>
      <c r="J533" s="37">
        <v>50</v>
      </c>
      <c r="K533" s="38"/>
      <c r="L533" s="38"/>
      <c r="M533" s="38"/>
      <c r="N533" s="38"/>
      <c r="O533" s="38"/>
      <c r="P533" s="38"/>
      <c r="Q533" s="38"/>
      <c r="R533" s="38"/>
      <c r="S533" s="38"/>
      <c r="T533" s="38"/>
    </row>
    <row r="534" spans="1:20" ht="15.75">
      <c r="A534" s="13">
        <v>57404</v>
      </c>
      <c r="B534" s="46">
        <v>28</v>
      </c>
      <c r="C534" s="37">
        <v>122.58</v>
      </c>
      <c r="D534" s="37">
        <v>297.94099999999997</v>
      </c>
      <c r="E534" s="43">
        <v>729.47900000000004</v>
      </c>
      <c r="F534" s="37">
        <v>1150</v>
      </c>
      <c r="G534" s="37">
        <v>100</v>
      </c>
      <c r="H534" s="45">
        <v>600</v>
      </c>
      <c r="I534" s="37">
        <v>695</v>
      </c>
      <c r="J534" s="37">
        <v>50</v>
      </c>
      <c r="K534" s="38"/>
      <c r="L534" s="38"/>
      <c r="M534" s="38"/>
      <c r="N534" s="38"/>
      <c r="O534" s="38"/>
      <c r="P534" s="38"/>
      <c r="Q534" s="38"/>
      <c r="R534" s="38"/>
      <c r="S534" s="38"/>
      <c r="T534" s="38"/>
    </row>
    <row r="535" spans="1:20" ht="15.75">
      <c r="A535" s="13">
        <v>57435</v>
      </c>
      <c r="B535" s="46">
        <v>31</v>
      </c>
      <c r="C535" s="37">
        <v>122.58</v>
      </c>
      <c r="D535" s="37">
        <v>297.94099999999997</v>
      </c>
      <c r="E535" s="43">
        <v>729.47900000000004</v>
      </c>
      <c r="F535" s="37">
        <v>1150</v>
      </c>
      <c r="G535" s="37">
        <v>100</v>
      </c>
      <c r="H535" s="45">
        <v>600</v>
      </c>
      <c r="I535" s="37">
        <v>695</v>
      </c>
      <c r="J535" s="37">
        <v>50</v>
      </c>
      <c r="K535" s="38"/>
      <c r="L535" s="38"/>
      <c r="M535" s="38"/>
      <c r="N535" s="38"/>
      <c r="O535" s="38"/>
      <c r="P535" s="38"/>
      <c r="Q535" s="38"/>
      <c r="R535" s="38"/>
      <c r="S535" s="38"/>
      <c r="T535" s="38"/>
    </row>
    <row r="536" spans="1:20" ht="15.75">
      <c r="A536" s="13">
        <v>57465</v>
      </c>
      <c r="B536" s="46">
        <v>30</v>
      </c>
      <c r="C536" s="37">
        <v>141.29300000000001</v>
      </c>
      <c r="D536" s="37">
        <v>267.99299999999999</v>
      </c>
      <c r="E536" s="43">
        <v>829.71400000000006</v>
      </c>
      <c r="F536" s="37">
        <v>1239</v>
      </c>
      <c r="G536" s="37">
        <v>100</v>
      </c>
      <c r="H536" s="45">
        <v>600</v>
      </c>
      <c r="I536" s="37">
        <v>695</v>
      </c>
      <c r="J536" s="37">
        <v>50</v>
      </c>
      <c r="K536" s="38"/>
      <c r="L536" s="38"/>
      <c r="M536" s="38"/>
      <c r="N536" s="38"/>
      <c r="O536" s="38"/>
      <c r="P536" s="38"/>
      <c r="Q536" s="38"/>
      <c r="R536" s="38"/>
      <c r="S536" s="38"/>
      <c r="T536" s="38"/>
    </row>
    <row r="537" spans="1:20" ht="15.75">
      <c r="A537" s="13">
        <v>57496</v>
      </c>
      <c r="B537" s="46">
        <v>31</v>
      </c>
      <c r="C537" s="37">
        <v>194.20500000000001</v>
      </c>
      <c r="D537" s="37">
        <v>267.46600000000001</v>
      </c>
      <c r="E537" s="43">
        <v>812.32899999999995</v>
      </c>
      <c r="F537" s="37">
        <v>1274</v>
      </c>
      <c r="G537" s="37">
        <v>75</v>
      </c>
      <c r="H537" s="45">
        <v>600</v>
      </c>
      <c r="I537" s="37">
        <v>695</v>
      </c>
      <c r="J537" s="37">
        <v>50</v>
      </c>
      <c r="K537" s="38"/>
      <c r="L537" s="38"/>
      <c r="M537" s="38"/>
      <c r="N537" s="38"/>
      <c r="O537" s="38"/>
      <c r="P537" s="38"/>
      <c r="Q537" s="38"/>
      <c r="R537" s="38"/>
      <c r="S537" s="38"/>
      <c r="T537" s="38"/>
    </row>
    <row r="538" spans="1:20" ht="15.75">
      <c r="A538" s="13">
        <v>57526</v>
      </c>
      <c r="B538" s="46">
        <v>30</v>
      </c>
      <c r="C538" s="37">
        <v>194.20500000000001</v>
      </c>
      <c r="D538" s="37">
        <v>267.46600000000001</v>
      </c>
      <c r="E538" s="43">
        <v>812.32899999999995</v>
      </c>
      <c r="F538" s="37">
        <v>1274</v>
      </c>
      <c r="G538" s="37">
        <v>50</v>
      </c>
      <c r="H538" s="45">
        <v>600</v>
      </c>
      <c r="I538" s="37">
        <v>695</v>
      </c>
      <c r="J538" s="37">
        <v>50</v>
      </c>
      <c r="K538" s="38"/>
      <c r="L538" s="38"/>
      <c r="M538" s="38"/>
      <c r="N538" s="38"/>
      <c r="O538" s="38"/>
      <c r="P538" s="38"/>
      <c r="Q538" s="38"/>
      <c r="R538" s="38"/>
      <c r="S538" s="38"/>
      <c r="T538" s="38"/>
    </row>
    <row r="539" spans="1:20" ht="15.75">
      <c r="A539" s="13">
        <v>57557</v>
      </c>
      <c r="B539" s="46">
        <v>31</v>
      </c>
      <c r="C539" s="37">
        <v>194.20500000000001</v>
      </c>
      <c r="D539" s="37">
        <v>267.46600000000001</v>
      </c>
      <c r="E539" s="43">
        <v>812.32899999999995</v>
      </c>
      <c r="F539" s="37">
        <v>1274</v>
      </c>
      <c r="G539" s="37">
        <v>50</v>
      </c>
      <c r="H539" s="45">
        <v>600</v>
      </c>
      <c r="I539" s="37">
        <v>695</v>
      </c>
      <c r="J539" s="37">
        <v>0</v>
      </c>
      <c r="K539" s="38"/>
      <c r="L539" s="38"/>
      <c r="M539" s="38"/>
      <c r="N539" s="38"/>
      <c r="O539" s="38"/>
      <c r="P539" s="38"/>
      <c r="Q539" s="38"/>
      <c r="R539" s="38"/>
      <c r="S539" s="38"/>
      <c r="T539" s="38"/>
    </row>
    <row r="540" spans="1:20" ht="15.75">
      <c r="A540" s="13">
        <v>57588</v>
      </c>
      <c r="B540" s="46">
        <v>31</v>
      </c>
      <c r="C540" s="37">
        <v>194.20500000000001</v>
      </c>
      <c r="D540" s="37">
        <v>267.46600000000001</v>
      </c>
      <c r="E540" s="43">
        <v>812.32899999999995</v>
      </c>
      <c r="F540" s="37">
        <v>1274</v>
      </c>
      <c r="G540" s="37">
        <v>50</v>
      </c>
      <c r="H540" s="45">
        <v>600</v>
      </c>
      <c r="I540" s="37">
        <v>695</v>
      </c>
      <c r="J540" s="37">
        <v>0</v>
      </c>
      <c r="K540" s="38"/>
      <c r="L540" s="38"/>
      <c r="M540" s="38"/>
      <c r="N540" s="38"/>
      <c r="O540" s="38"/>
      <c r="P540" s="38"/>
      <c r="Q540" s="38"/>
      <c r="R540" s="38"/>
      <c r="S540" s="38"/>
      <c r="T540" s="38"/>
    </row>
    <row r="541" spans="1:20" ht="15.75">
      <c r="A541" s="13">
        <v>57618</v>
      </c>
      <c r="B541" s="46">
        <v>30</v>
      </c>
      <c r="C541" s="37">
        <v>194.20500000000001</v>
      </c>
      <c r="D541" s="37">
        <v>267.46600000000001</v>
      </c>
      <c r="E541" s="43">
        <v>812.32899999999995</v>
      </c>
      <c r="F541" s="37">
        <v>1274</v>
      </c>
      <c r="G541" s="37">
        <v>50</v>
      </c>
      <c r="H541" s="45">
        <v>600</v>
      </c>
      <c r="I541" s="37">
        <v>695</v>
      </c>
      <c r="J541" s="37">
        <v>0</v>
      </c>
      <c r="K541" s="38"/>
      <c r="L541" s="38"/>
      <c r="M541" s="38"/>
      <c r="N541" s="38"/>
      <c r="O541" s="38"/>
      <c r="P541" s="38"/>
      <c r="Q541" s="38"/>
      <c r="R541" s="38"/>
      <c r="S541" s="38"/>
      <c r="T541" s="38"/>
    </row>
    <row r="542" spans="1:20" ht="15.75">
      <c r="A542" s="13">
        <v>57649</v>
      </c>
      <c r="B542" s="46">
        <v>31</v>
      </c>
      <c r="C542" s="37">
        <v>131.881</v>
      </c>
      <c r="D542" s="37">
        <v>277.16699999999997</v>
      </c>
      <c r="E542" s="43">
        <v>829.952</v>
      </c>
      <c r="F542" s="37">
        <v>1239</v>
      </c>
      <c r="G542" s="37">
        <v>75</v>
      </c>
      <c r="H542" s="45">
        <v>600</v>
      </c>
      <c r="I542" s="37">
        <v>695</v>
      </c>
      <c r="J542" s="37">
        <v>0</v>
      </c>
      <c r="K542" s="38"/>
      <c r="L542" s="38"/>
      <c r="M542" s="38"/>
      <c r="N542" s="38"/>
      <c r="O542" s="38"/>
      <c r="P542" s="38"/>
      <c r="Q542" s="38"/>
      <c r="R542" s="38"/>
      <c r="S542" s="38"/>
      <c r="T542" s="38"/>
    </row>
    <row r="543" spans="1:20" ht="15.75">
      <c r="A543" s="13">
        <v>57679</v>
      </c>
      <c r="B543" s="46">
        <v>30</v>
      </c>
      <c r="C543" s="37">
        <v>122.58</v>
      </c>
      <c r="D543" s="37">
        <v>297.94099999999997</v>
      </c>
      <c r="E543" s="43">
        <v>729.47900000000004</v>
      </c>
      <c r="F543" s="37">
        <v>1150</v>
      </c>
      <c r="G543" s="37">
        <v>100</v>
      </c>
      <c r="H543" s="45">
        <v>600</v>
      </c>
      <c r="I543" s="37">
        <v>695</v>
      </c>
      <c r="J543" s="37">
        <v>50</v>
      </c>
      <c r="K543" s="38"/>
      <c r="L543" s="38"/>
      <c r="M543" s="38"/>
      <c r="N543" s="38"/>
      <c r="O543" s="38"/>
      <c r="P543" s="38"/>
      <c r="Q543" s="38"/>
      <c r="R543" s="38"/>
      <c r="S543" s="38"/>
      <c r="T543" s="38"/>
    </row>
    <row r="544" spans="1:20" ht="15.75">
      <c r="A544" s="13">
        <v>57710</v>
      </c>
      <c r="B544" s="46">
        <v>31</v>
      </c>
      <c r="C544" s="37">
        <v>122.58</v>
      </c>
      <c r="D544" s="37">
        <v>297.94099999999997</v>
      </c>
      <c r="E544" s="43">
        <v>729.47900000000004</v>
      </c>
      <c r="F544" s="37">
        <v>1150</v>
      </c>
      <c r="G544" s="37">
        <v>100</v>
      </c>
      <c r="H544" s="45">
        <v>600</v>
      </c>
      <c r="I544" s="37">
        <v>695</v>
      </c>
      <c r="J544" s="37">
        <v>50</v>
      </c>
      <c r="K544" s="38"/>
      <c r="L544" s="38"/>
      <c r="M544" s="38"/>
      <c r="N544" s="38"/>
      <c r="O544" s="38"/>
      <c r="P544" s="38"/>
      <c r="Q544" s="38"/>
      <c r="R544" s="38"/>
      <c r="S544" s="38"/>
      <c r="T544" s="38"/>
    </row>
    <row r="545" spans="1:20" ht="15.75">
      <c r="A545" s="13">
        <v>57741</v>
      </c>
      <c r="B545" s="46">
        <v>31</v>
      </c>
      <c r="C545" s="37">
        <v>122.58</v>
      </c>
      <c r="D545" s="37">
        <v>297.94099999999997</v>
      </c>
      <c r="E545" s="43">
        <v>729.47900000000004</v>
      </c>
      <c r="F545" s="37">
        <v>1150</v>
      </c>
      <c r="G545" s="37">
        <v>100</v>
      </c>
      <c r="H545" s="45">
        <v>600</v>
      </c>
      <c r="I545" s="37">
        <v>695</v>
      </c>
      <c r="J545" s="37">
        <v>50</v>
      </c>
      <c r="K545" s="38"/>
      <c r="L545" s="38"/>
      <c r="M545" s="38"/>
      <c r="N545" s="38"/>
      <c r="O545" s="38"/>
      <c r="P545" s="38"/>
      <c r="Q545" s="38"/>
      <c r="R545" s="38"/>
      <c r="S545" s="38"/>
      <c r="T545" s="38"/>
    </row>
    <row r="546" spans="1:20" ht="15.75">
      <c r="A546" s="13">
        <v>57769</v>
      </c>
      <c r="B546" s="46">
        <v>28</v>
      </c>
      <c r="C546" s="37">
        <v>122.58</v>
      </c>
      <c r="D546" s="37">
        <v>297.94099999999997</v>
      </c>
      <c r="E546" s="43">
        <v>729.47900000000004</v>
      </c>
      <c r="F546" s="37">
        <v>1150</v>
      </c>
      <c r="G546" s="37">
        <v>100</v>
      </c>
      <c r="H546" s="45">
        <v>600</v>
      </c>
      <c r="I546" s="37">
        <v>695</v>
      </c>
      <c r="J546" s="37">
        <v>50</v>
      </c>
      <c r="K546" s="38"/>
      <c r="L546" s="38"/>
      <c r="M546" s="38"/>
      <c r="N546" s="38"/>
      <c r="O546" s="38"/>
      <c r="P546" s="38"/>
      <c r="Q546" s="38"/>
      <c r="R546" s="38"/>
      <c r="S546" s="38"/>
      <c r="T546" s="38"/>
    </row>
    <row r="547" spans="1:20" ht="15.75">
      <c r="A547" s="13">
        <v>57800</v>
      </c>
      <c r="B547" s="46">
        <v>31</v>
      </c>
      <c r="C547" s="37">
        <v>122.58</v>
      </c>
      <c r="D547" s="37">
        <v>297.94099999999997</v>
      </c>
      <c r="E547" s="43">
        <v>729.47900000000004</v>
      </c>
      <c r="F547" s="37">
        <v>1150</v>
      </c>
      <c r="G547" s="37">
        <v>100</v>
      </c>
      <c r="H547" s="45">
        <v>600</v>
      </c>
      <c r="I547" s="37">
        <v>695</v>
      </c>
      <c r="J547" s="37">
        <v>50</v>
      </c>
      <c r="K547" s="38"/>
      <c r="L547" s="38"/>
      <c r="M547" s="38"/>
      <c r="N547" s="38"/>
      <c r="O547" s="38"/>
      <c r="P547" s="38"/>
      <c r="Q547" s="38"/>
      <c r="R547" s="38"/>
      <c r="S547" s="38"/>
      <c r="T547" s="38"/>
    </row>
    <row r="548" spans="1:20" ht="15.75">
      <c r="A548" s="13">
        <v>57830</v>
      </c>
      <c r="B548" s="46">
        <v>30</v>
      </c>
      <c r="C548" s="37">
        <v>141.29300000000001</v>
      </c>
      <c r="D548" s="37">
        <v>267.99299999999999</v>
      </c>
      <c r="E548" s="43">
        <v>829.71400000000006</v>
      </c>
      <c r="F548" s="37">
        <v>1239</v>
      </c>
      <c r="G548" s="37">
        <v>100</v>
      </c>
      <c r="H548" s="45">
        <v>600</v>
      </c>
      <c r="I548" s="37">
        <v>695</v>
      </c>
      <c r="J548" s="37">
        <v>50</v>
      </c>
      <c r="K548" s="38"/>
      <c r="L548" s="38"/>
      <c r="M548" s="38"/>
      <c r="N548" s="38"/>
      <c r="O548" s="38"/>
      <c r="P548" s="38"/>
      <c r="Q548" s="38"/>
      <c r="R548" s="38"/>
      <c r="S548" s="38"/>
      <c r="T548" s="38"/>
    </row>
    <row r="549" spans="1:20" ht="15.75">
      <c r="A549" s="13">
        <v>57861</v>
      </c>
      <c r="B549" s="46">
        <v>31</v>
      </c>
      <c r="C549" s="37">
        <v>194.20500000000001</v>
      </c>
      <c r="D549" s="37">
        <v>267.46600000000001</v>
      </c>
      <c r="E549" s="43">
        <v>812.32899999999995</v>
      </c>
      <c r="F549" s="37">
        <v>1274</v>
      </c>
      <c r="G549" s="37">
        <v>75</v>
      </c>
      <c r="H549" s="45">
        <v>600</v>
      </c>
      <c r="I549" s="37">
        <v>695</v>
      </c>
      <c r="J549" s="37">
        <v>50</v>
      </c>
      <c r="K549" s="38"/>
      <c r="L549" s="38"/>
      <c r="M549" s="38"/>
      <c r="N549" s="38"/>
      <c r="O549" s="38"/>
      <c r="P549" s="38"/>
      <c r="Q549" s="38"/>
      <c r="R549" s="38"/>
      <c r="S549" s="38"/>
      <c r="T549" s="38"/>
    </row>
    <row r="550" spans="1:20" ht="15.75">
      <c r="A550" s="13">
        <v>57891</v>
      </c>
      <c r="B550" s="46">
        <v>30</v>
      </c>
      <c r="C550" s="37">
        <v>194.20500000000001</v>
      </c>
      <c r="D550" s="37">
        <v>267.46600000000001</v>
      </c>
      <c r="E550" s="43">
        <v>812.32899999999995</v>
      </c>
      <c r="F550" s="37">
        <v>1274</v>
      </c>
      <c r="G550" s="37">
        <v>50</v>
      </c>
      <c r="H550" s="45">
        <v>600</v>
      </c>
      <c r="I550" s="37">
        <v>695</v>
      </c>
      <c r="J550" s="37">
        <v>50</v>
      </c>
      <c r="K550" s="38"/>
      <c r="L550" s="38"/>
      <c r="M550" s="38"/>
      <c r="N550" s="38"/>
      <c r="O550" s="38"/>
      <c r="P550" s="38"/>
      <c r="Q550" s="38"/>
      <c r="R550" s="38"/>
      <c r="S550" s="38"/>
      <c r="T550" s="38"/>
    </row>
    <row r="551" spans="1:20" ht="15.75">
      <c r="A551" s="13">
        <v>57922</v>
      </c>
      <c r="B551" s="46">
        <v>31</v>
      </c>
      <c r="C551" s="37">
        <v>194.20500000000001</v>
      </c>
      <c r="D551" s="37">
        <v>267.46600000000001</v>
      </c>
      <c r="E551" s="43">
        <v>812.32899999999995</v>
      </c>
      <c r="F551" s="37">
        <v>1274</v>
      </c>
      <c r="G551" s="37">
        <v>50</v>
      </c>
      <c r="H551" s="45">
        <v>600</v>
      </c>
      <c r="I551" s="37">
        <v>695</v>
      </c>
      <c r="J551" s="37">
        <v>0</v>
      </c>
      <c r="K551" s="38"/>
      <c r="L551" s="38"/>
      <c r="M551" s="38"/>
      <c r="N551" s="38"/>
      <c r="O551" s="38"/>
      <c r="P551" s="38"/>
      <c r="Q551" s="38"/>
      <c r="R551" s="38"/>
      <c r="S551" s="38"/>
      <c r="T551" s="38"/>
    </row>
    <row r="552" spans="1:20" ht="15.75">
      <c r="A552" s="13">
        <v>57953</v>
      </c>
      <c r="B552" s="46">
        <v>31</v>
      </c>
      <c r="C552" s="37">
        <v>194.20500000000001</v>
      </c>
      <c r="D552" s="37">
        <v>267.46600000000001</v>
      </c>
      <c r="E552" s="43">
        <v>812.32899999999995</v>
      </c>
      <c r="F552" s="37">
        <v>1274</v>
      </c>
      <c r="G552" s="37">
        <v>50</v>
      </c>
      <c r="H552" s="45">
        <v>600</v>
      </c>
      <c r="I552" s="37">
        <v>695</v>
      </c>
      <c r="J552" s="37">
        <v>0</v>
      </c>
      <c r="K552" s="38"/>
      <c r="L552" s="38"/>
      <c r="M552" s="38"/>
      <c r="N552" s="38"/>
      <c r="O552" s="38"/>
      <c r="P552" s="38"/>
      <c r="Q552" s="38"/>
      <c r="R552" s="38"/>
      <c r="S552" s="38"/>
      <c r="T552" s="38"/>
    </row>
    <row r="553" spans="1:20" ht="15.75">
      <c r="A553" s="13">
        <v>57983</v>
      </c>
      <c r="B553" s="46">
        <v>30</v>
      </c>
      <c r="C553" s="37">
        <v>194.20500000000001</v>
      </c>
      <c r="D553" s="37">
        <v>267.46600000000001</v>
      </c>
      <c r="E553" s="43">
        <v>812.32899999999995</v>
      </c>
      <c r="F553" s="37">
        <v>1274</v>
      </c>
      <c r="G553" s="37">
        <v>50</v>
      </c>
      <c r="H553" s="45">
        <v>600</v>
      </c>
      <c r="I553" s="37">
        <v>695</v>
      </c>
      <c r="J553" s="37">
        <v>0</v>
      </c>
      <c r="K553" s="38"/>
      <c r="L553" s="38"/>
      <c r="M553" s="38"/>
      <c r="N553" s="38"/>
      <c r="O553" s="38"/>
      <c r="P553" s="38"/>
      <c r="Q553" s="38"/>
      <c r="R553" s="38"/>
      <c r="S553" s="38"/>
      <c r="T553" s="38"/>
    </row>
    <row r="554" spans="1:20" ht="15.75">
      <c r="A554" s="13">
        <v>58014</v>
      </c>
      <c r="B554" s="46">
        <v>31</v>
      </c>
      <c r="C554" s="37">
        <v>131.881</v>
      </c>
      <c r="D554" s="37">
        <v>277.16699999999997</v>
      </c>
      <c r="E554" s="43">
        <v>829.952</v>
      </c>
      <c r="F554" s="37">
        <v>1239</v>
      </c>
      <c r="G554" s="37">
        <v>75</v>
      </c>
      <c r="H554" s="45">
        <v>600</v>
      </c>
      <c r="I554" s="37">
        <v>695</v>
      </c>
      <c r="J554" s="37">
        <v>0</v>
      </c>
      <c r="K554" s="38"/>
      <c r="L554" s="38"/>
      <c r="M554" s="38"/>
      <c r="N554" s="38"/>
      <c r="O554" s="38"/>
      <c r="P554" s="38"/>
      <c r="Q554" s="38"/>
      <c r="R554" s="38"/>
      <c r="S554" s="38"/>
      <c r="T554" s="38"/>
    </row>
    <row r="555" spans="1:20" ht="15.75">
      <c r="A555" s="13">
        <v>58044</v>
      </c>
      <c r="B555" s="46">
        <v>30</v>
      </c>
      <c r="C555" s="37">
        <v>122.58</v>
      </c>
      <c r="D555" s="37">
        <v>297.94099999999997</v>
      </c>
      <c r="E555" s="43">
        <v>729.47900000000004</v>
      </c>
      <c r="F555" s="37">
        <v>1150</v>
      </c>
      <c r="G555" s="37">
        <v>100</v>
      </c>
      <c r="H555" s="45">
        <v>600</v>
      </c>
      <c r="I555" s="37">
        <v>695</v>
      </c>
      <c r="J555" s="37">
        <v>50</v>
      </c>
      <c r="K555" s="38"/>
      <c r="L555" s="38"/>
      <c r="M555" s="38"/>
      <c r="N555" s="38"/>
      <c r="O555" s="38"/>
      <c r="P555" s="38"/>
      <c r="Q555" s="38"/>
      <c r="R555" s="38"/>
      <c r="S555" s="38"/>
      <c r="T555" s="38"/>
    </row>
    <row r="556" spans="1:20" ht="15.75">
      <c r="A556" s="13">
        <v>58075</v>
      </c>
      <c r="B556" s="46">
        <v>31</v>
      </c>
      <c r="C556" s="37">
        <v>122.58</v>
      </c>
      <c r="D556" s="37">
        <v>297.94099999999997</v>
      </c>
      <c r="E556" s="43">
        <v>729.47900000000004</v>
      </c>
      <c r="F556" s="37">
        <v>1150</v>
      </c>
      <c r="G556" s="37">
        <v>100</v>
      </c>
      <c r="H556" s="45">
        <v>600</v>
      </c>
      <c r="I556" s="37">
        <v>695</v>
      </c>
      <c r="J556" s="37">
        <v>50</v>
      </c>
      <c r="K556" s="38"/>
      <c r="L556" s="38"/>
      <c r="M556" s="38"/>
      <c r="N556" s="38"/>
      <c r="O556" s="38"/>
      <c r="P556" s="38"/>
      <c r="Q556" s="38"/>
      <c r="R556" s="38"/>
      <c r="S556" s="38"/>
      <c r="T556" s="38"/>
    </row>
    <row r="557" spans="1:20" ht="15.75">
      <c r="A557" s="13">
        <v>58106</v>
      </c>
      <c r="B557" s="46">
        <v>31</v>
      </c>
      <c r="C557" s="37">
        <v>122.58</v>
      </c>
      <c r="D557" s="37">
        <v>297.94099999999997</v>
      </c>
      <c r="E557" s="43">
        <v>729.47900000000004</v>
      </c>
      <c r="F557" s="37">
        <v>1150</v>
      </c>
      <c r="G557" s="37">
        <v>100</v>
      </c>
      <c r="H557" s="45">
        <v>600</v>
      </c>
      <c r="I557" s="37">
        <v>695</v>
      </c>
      <c r="J557" s="37">
        <v>50</v>
      </c>
      <c r="K557" s="38"/>
      <c r="L557" s="38"/>
      <c r="M557" s="38"/>
      <c r="N557" s="38"/>
      <c r="O557" s="38"/>
      <c r="P557" s="38"/>
      <c r="Q557" s="38"/>
      <c r="R557" s="38"/>
      <c r="S557" s="38"/>
      <c r="T557" s="38"/>
    </row>
    <row r="558" spans="1:20" ht="15.75">
      <c r="A558" s="13">
        <v>58134</v>
      </c>
      <c r="B558" s="46">
        <v>28</v>
      </c>
      <c r="C558" s="37">
        <v>122.58</v>
      </c>
      <c r="D558" s="37">
        <v>297.94099999999997</v>
      </c>
      <c r="E558" s="43">
        <v>729.47900000000004</v>
      </c>
      <c r="F558" s="37">
        <v>1150</v>
      </c>
      <c r="G558" s="37">
        <v>100</v>
      </c>
      <c r="H558" s="45">
        <v>600</v>
      </c>
      <c r="I558" s="37">
        <v>695</v>
      </c>
      <c r="J558" s="37">
        <v>50</v>
      </c>
      <c r="K558" s="38"/>
      <c r="L558" s="38"/>
      <c r="M558" s="38"/>
      <c r="N558" s="38"/>
      <c r="O558" s="38"/>
      <c r="P558" s="38"/>
      <c r="Q558" s="38"/>
      <c r="R558" s="38"/>
      <c r="S558" s="38"/>
      <c r="T558" s="38"/>
    </row>
    <row r="559" spans="1:20" ht="15.75">
      <c r="A559" s="13">
        <v>58165</v>
      </c>
      <c r="B559" s="46">
        <v>31</v>
      </c>
      <c r="C559" s="37">
        <v>122.58</v>
      </c>
      <c r="D559" s="37">
        <v>297.94099999999997</v>
      </c>
      <c r="E559" s="43">
        <v>729.47900000000004</v>
      </c>
      <c r="F559" s="37">
        <v>1150</v>
      </c>
      <c r="G559" s="37">
        <v>100</v>
      </c>
      <c r="H559" s="45">
        <v>600</v>
      </c>
      <c r="I559" s="37">
        <v>695</v>
      </c>
      <c r="J559" s="37">
        <v>50</v>
      </c>
      <c r="K559" s="38"/>
      <c r="L559" s="38"/>
      <c r="M559" s="38"/>
      <c r="N559" s="38"/>
      <c r="O559" s="38"/>
      <c r="P559" s="38"/>
      <c r="Q559" s="38"/>
      <c r="R559" s="38"/>
      <c r="S559" s="38"/>
      <c r="T559" s="38"/>
    </row>
    <row r="560" spans="1:20" ht="15.75">
      <c r="A560" s="13">
        <v>58195</v>
      </c>
      <c r="B560" s="46">
        <v>30</v>
      </c>
      <c r="C560" s="37">
        <v>141.29300000000001</v>
      </c>
      <c r="D560" s="37">
        <v>267.99299999999999</v>
      </c>
      <c r="E560" s="43">
        <v>829.71400000000006</v>
      </c>
      <c r="F560" s="37">
        <v>1239</v>
      </c>
      <c r="G560" s="37">
        <v>100</v>
      </c>
      <c r="H560" s="45">
        <v>600</v>
      </c>
      <c r="I560" s="37">
        <v>695</v>
      </c>
      <c r="J560" s="37">
        <v>50</v>
      </c>
      <c r="K560" s="38"/>
      <c r="L560" s="38"/>
      <c r="M560" s="38"/>
      <c r="N560" s="38"/>
      <c r="O560" s="38"/>
      <c r="P560" s="38"/>
      <c r="Q560" s="38"/>
      <c r="R560" s="38"/>
      <c r="S560" s="38"/>
      <c r="T560" s="38"/>
    </row>
    <row r="561" spans="1:20" ht="15.75">
      <c r="A561" s="13">
        <v>58226</v>
      </c>
      <c r="B561" s="46">
        <v>31</v>
      </c>
      <c r="C561" s="37">
        <v>194.20500000000001</v>
      </c>
      <c r="D561" s="37">
        <v>267.46600000000001</v>
      </c>
      <c r="E561" s="43">
        <v>812.32899999999995</v>
      </c>
      <c r="F561" s="37">
        <v>1274</v>
      </c>
      <c r="G561" s="37">
        <v>75</v>
      </c>
      <c r="H561" s="45">
        <v>600</v>
      </c>
      <c r="I561" s="37">
        <v>695</v>
      </c>
      <c r="J561" s="37">
        <v>50</v>
      </c>
      <c r="K561" s="38"/>
      <c r="L561" s="38"/>
      <c r="M561" s="38"/>
      <c r="N561" s="38"/>
      <c r="O561" s="38"/>
      <c r="P561" s="38"/>
      <c r="Q561" s="38"/>
      <c r="R561" s="38"/>
      <c r="S561" s="38"/>
      <c r="T561" s="38"/>
    </row>
    <row r="562" spans="1:20" ht="15.75">
      <c r="A562" s="13">
        <v>58256</v>
      </c>
      <c r="B562" s="46">
        <v>30</v>
      </c>
      <c r="C562" s="37">
        <v>194.20500000000001</v>
      </c>
      <c r="D562" s="37">
        <v>267.46600000000001</v>
      </c>
      <c r="E562" s="43">
        <v>812.32899999999995</v>
      </c>
      <c r="F562" s="37">
        <v>1274</v>
      </c>
      <c r="G562" s="37">
        <v>50</v>
      </c>
      <c r="H562" s="45">
        <v>600</v>
      </c>
      <c r="I562" s="37">
        <v>695</v>
      </c>
      <c r="J562" s="37">
        <v>50</v>
      </c>
      <c r="K562" s="38"/>
      <c r="L562" s="38"/>
      <c r="M562" s="38"/>
      <c r="N562" s="38"/>
      <c r="O562" s="38"/>
      <c r="P562" s="38"/>
      <c r="Q562" s="38"/>
      <c r="R562" s="38"/>
      <c r="S562" s="38"/>
      <c r="T562" s="38"/>
    </row>
    <row r="563" spans="1:20" ht="15.75">
      <c r="A563" s="13">
        <v>58287</v>
      </c>
      <c r="B563" s="46">
        <v>31</v>
      </c>
      <c r="C563" s="37">
        <v>194.20500000000001</v>
      </c>
      <c r="D563" s="37">
        <v>267.46600000000001</v>
      </c>
      <c r="E563" s="43">
        <v>812.32899999999995</v>
      </c>
      <c r="F563" s="37">
        <v>1274</v>
      </c>
      <c r="G563" s="37">
        <v>50</v>
      </c>
      <c r="H563" s="45">
        <v>600</v>
      </c>
      <c r="I563" s="37">
        <v>695</v>
      </c>
      <c r="J563" s="37">
        <v>0</v>
      </c>
      <c r="K563" s="38"/>
      <c r="L563" s="38"/>
      <c r="M563" s="38"/>
      <c r="N563" s="38"/>
      <c r="O563" s="38"/>
      <c r="P563" s="38"/>
      <c r="Q563" s="38"/>
      <c r="R563" s="38"/>
      <c r="S563" s="38"/>
      <c r="T563" s="38"/>
    </row>
    <row r="564" spans="1:20" ht="15.75">
      <c r="A564" s="13">
        <v>58318</v>
      </c>
      <c r="B564" s="46">
        <v>31</v>
      </c>
      <c r="C564" s="37">
        <v>194.20500000000001</v>
      </c>
      <c r="D564" s="37">
        <v>267.46600000000001</v>
      </c>
      <c r="E564" s="43">
        <v>812.32899999999995</v>
      </c>
      <c r="F564" s="37">
        <v>1274</v>
      </c>
      <c r="G564" s="37">
        <v>50</v>
      </c>
      <c r="H564" s="45">
        <v>600</v>
      </c>
      <c r="I564" s="37">
        <v>695</v>
      </c>
      <c r="J564" s="37">
        <v>0</v>
      </c>
      <c r="K564" s="38"/>
      <c r="L564" s="38"/>
      <c r="M564" s="38"/>
      <c r="N564" s="38"/>
      <c r="O564" s="38"/>
      <c r="P564" s="38"/>
      <c r="Q564" s="38"/>
      <c r="R564" s="38"/>
      <c r="S564" s="38"/>
      <c r="T564" s="38"/>
    </row>
    <row r="565" spans="1:20" ht="15.75">
      <c r="A565" s="13">
        <v>58348</v>
      </c>
      <c r="B565" s="46">
        <v>30</v>
      </c>
      <c r="C565" s="37">
        <v>194.20500000000001</v>
      </c>
      <c r="D565" s="37">
        <v>267.46600000000001</v>
      </c>
      <c r="E565" s="43">
        <v>812.32899999999995</v>
      </c>
      <c r="F565" s="37">
        <v>1274</v>
      </c>
      <c r="G565" s="37">
        <v>50</v>
      </c>
      <c r="H565" s="45">
        <v>600</v>
      </c>
      <c r="I565" s="37">
        <v>695</v>
      </c>
      <c r="J565" s="37">
        <v>0</v>
      </c>
      <c r="K565" s="38"/>
      <c r="L565" s="38"/>
      <c r="M565" s="38"/>
      <c r="N565" s="38"/>
      <c r="O565" s="38"/>
      <c r="P565" s="38"/>
      <c r="Q565" s="38"/>
      <c r="R565" s="38"/>
      <c r="S565" s="38"/>
      <c r="T565" s="38"/>
    </row>
    <row r="566" spans="1:20" ht="15.75">
      <c r="A566" s="13">
        <v>58379</v>
      </c>
      <c r="B566" s="46">
        <v>31</v>
      </c>
      <c r="C566" s="37">
        <v>131.881</v>
      </c>
      <c r="D566" s="37">
        <v>277.16699999999997</v>
      </c>
      <c r="E566" s="43">
        <v>829.952</v>
      </c>
      <c r="F566" s="37">
        <v>1239</v>
      </c>
      <c r="G566" s="37">
        <v>75</v>
      </c>
      <c r="H566" s="45">
        <v>600</v>
      </c>
      <c r="I566" s="37">
        <v>695</v>
      </c>
      <c r="J566" s="37">
        <v>0</v>
      </c>
      <c r="K566" s="38"/>
      <c r="L566" s="38"/>
      <c r="M566" s="38"/>
      <c r="N566" s="38"/>
      <c r="O566" s="38"/>
      <c r="P566" s="38"/>
      <c r="Q566" s="38"/>
      <c r="R566" s="38"/>
      <c r="S566" s="38"/>
      <c r="T566" s="38"/>
    </row>
    <row r="567" spans="1:20" ht="15.75">
      <c r="A567" s="13">
        <v>58409</v>
      </c>
      <c r="B567" s="46">
        <v>30</v>
      </c>
      <c r="C567" s="37">
        <v>122.58</v>
      </c>
      <c r="D567" s="37">
        <v>297.94099999999997</v>
      </c>
      <c r="E567" s="43">
        <v>729.47900000000004</v>
      </c>
      <c r="F567" s="37">
        <v>1150</v>
      </c>
      <c r="G567" s="37">
        <v>100</v>
      </c>
      <c r="H567" s="45">
        <v>600</v>
      </c>
      <c r="I567" s="37">
        <v>695</v>
      </c>
      <c r="J567" s="37">
        <v>50</v>
      </c>
      <c r="K567" s="38"/>
      <c r="L567" s="38"/>
      <c r="M567" s="38"/>
      <c r="N567" s="38"/>
      <c r="O567" s="38"/>
      <c r="P567" s="38"/>
      <c r="Q567" s="38"/>
      <c r="R567" s="38"/>
      <c r="S567" s="38"/>
      <c r="T567" s="38"/>
    </row>
    <row r="568" spans="1:20" ht="15.75">
      <c r="A568" s="13">
        <v>58440</v>
      </c>
      <c r="B568" s="46">
        <v>31</v>
      </c>
      <c r="C568" s="37">
        <v>122.58</v>
      </c>
      <c r="D568" s="37">
        <v>297.94099999999997</v>
      </c>
      <c r="E568" s="43">
        <v>729.47900000000004</v>
      </c>
      <c r="F568" s="37">
        <v>1150</v>
      </c>
      <c r="G568" s="37">
        <v>100</v>
      </c>
      <c r="H568" s="45">
        <v>600</v>
      </c>
      <c r="I568" s="37">
        <v>695</v>
      </c>
      <c r="J568" s="37">
        <v>50</v>
      </c>
      <c r="K568" s="38"/>
      <c r="L568" s="38"/>
      <c r="M568" s="38"/>
      <c r="N568" s="38"/>
      <c r="O568" s="38"/>
      <c r="P568" s="38"/>
      <c r="Q568" s="38"/>
      <c r="R568" s="38"/>
      <c r="S568" s="38"/>
      <c r="T568" s="38"/>
    </row>
    <row r="569" spans="1:20" ht="15.75">
      <c r="A569" s="13">
        <v>58471</v>
      </c>
      <c r="B569" s="46">
        <v>31</v>
      </c>
      <c r="C569" s="37">
        <v>122.58</v>
      </c>
      <c r="D569" s="37">
        <v>297.94099999999997</v>
      </c>
      <c r="E569" s="43">
        <v>729.47900000000004</v>
      </c>
      <c r="F569" s="37">
        <v>1150</v>
      </c>
      <c r="G569" s="37">
        <v>100</v>
      </c>
      <c r="H569" s="45">
        <v>600</v>
      </c>
      <c r="I569" s="37">
        <v>695</v>
      </c>
      <c r="J569" s="37">
        <v>50</v>
      </c>
      <c r="K569" s="38"/>
      <c r="L569" s="38"/>
      <c r="M569" s="38"/>
      <c r="N569" s="38"/>
      <c r="O569" s="38"/>
      <c r="P569" s="38"/>
      <c r="Q569" s="38"/>
      <c r="R569" s="38"/>
      <c r="S569" s="38"/>
      <c r="T569" s="38"/>
    </row>
    <row r="570" spans="1:20" ht="15.75">
      <c r="A570" s="13">
        <v>58499</v>
      </c>
      <c r="B570" s="46">
        <v>29</v>
      </c>
      <c r="C570" s="37">
        <v>122.58</v>
      </c>
      <c r="D570" s="37">
        <v>297.94099999999997</v>
      </c>
      <c r="E570" s="43">
        <v>729.47900000000004</v>
      </c>
      <c r="F570" s="37">
        <v>1150</v>
      </c>
      <c r="G570" s="37">
        <v>100</v>
      </c>
      <c r="H570" s="45">
        <v>600</v>
      </c>
      <c r="I570" s="37">
        <v>695</v>
      </c>
      <c r="J570" s="37">
        <v>50</v>
      </c>
      <c r="K570" s="38"/>
      <c r="L570" s="38"/>
      <c r="M570" s="38"/>
      <c r="N570" s="38"/>
      <c r="O570" s="38"/>
      <c r="P570" s="38"/>
      <c r="Q570" s="38"/>
      <c r="R570" s="38"/>
      <c r="S570" s="38"/>
      <c r="T570" s="38"/>
    </row>
    <row r="571" spans="1:20" ht="15.75">
      <c r="A571" s="13">
        <v>58531</v>
      </c>
      <c r="B571" s="46">
        <v>31</v>
      </c>
      <c r="C571" s="37">
        <v>122.58</v>
      </c>
      <c r="D571" s="37">
        <v>297.94099999999997</v>
      </c>
      <c r="E571" s="43">
        <v>729.47900000000004</v>
      </c>
      <c r="F571" s="37">
        <v>1150</v>
      </c>
      <c r="G571" s="37">
        <v>100</v>
      </c>
      <c r="H571" s="45">
        <v>600</v>
      </c>
      <c r="I571" s="37">
        <v>695</v>
      </c>
      <c r="J571" s="37">
        <v>50</v>
      </c>
      <c r="K571" s="38"/>
      <c r="L571" s="38"/>
      <c r="M571" s="38"/>
      <c r="N571" s="38"/>
      <c r="O571" s="38"/>
      <c r="P571" s="38"/>
      <c r="Q571" s="38"/>
      <c r="R571" s="38"/>
      <c r="S571" s="38"/>
      <c r="T571" s="38"/>
    </row>
    <row r="572" spans="1:20" ht="15.75">
      <c r="A572" s="13">
        <v>58561</v>
      </c>
      <c r="B572" s="46">
        <v>30</v>
      </c>
      <c r="C572" s="37">
        <v>141.29300000000001</v>
      </c>
      <c r="D572" s="37">
        <v>267.99299999999999</v>
      </c>
      <c r="E572" s="43">
        <v>829.71400000000006</v>
      </c>
      <c r="F572" s="37">
        <v>1239</v>
      </c>
      <c r="G572" s="37">
        <v>100</v>
      </c>
      <c r="H572" s="45">
        <v>600</v>
      </c>
      <c r="I572" s="37">
        <v>695</v>
      </c>
      <c r="J572" s="37">
        <v>50</v>
      </c>
      <c r="K572" s="38"/>
      <c r="L572" s="38"/>
      <c r="M572" s="38"/>
      <c r="N572" s="38"/>
      <c r="O572" s="38"/>
      <c r="P572" s="38"/>
      <c r="Q572" s="38"/>
      <c r="R572" s="38"/>
      <c r="S572" s="38"/>
      <c r="T572" s="38"/>
    </row>
    <row r="573" spans="1:20" ht="15.75">
      <c r="A573" s="13">
        <v>58592</v>
      </c>
      <c r="B573" s="46">
        <v>31</v>
      </c>
      <c r="C573" s="37">
        <v>194.20500000000001</v>
      </c>
      <c r="D573" s="37">
        <v>267.46600000000001</v>
      </c>
      <c r="E573" s="43">
        <v>812.32899999999995</v>
      </c>
      <c r="F573" s="37">
        <v>1274</v>
      </c>
      <c r="G573" s="37">
        <v>75</v>
      </c>
      <c r="H573" s="45">
        <v>600</v>
      </c>
      <c r="I573" s="37">
        <v>695</v>
      </c>
      <c r="J573" s="37">
        <v>50</v>
      </c>
      <c r="K573" s="38"/>
      <c r="L573" s="38"/>
      <c r="M573" s="38"/>
      <c r="N573" s="38"/>
      <c r="O573" s="38"/>
      <c r="P573" s="38"/>
      <c r="Q573" s="38"/>
      <c r="R573" s="38"/>
      <c r="S573" s="38"/>
      <c r="T573" s="38"/>
    </row>
    <row r="574" spans="1:20" ht="15.75">
      <c r="A574" s="13">
        <v>58622</v>
      </c>
      <c r="B574" s="46">
        <v>30</v>
      </c>
      <c r="C574" s="37">
        <v>194.20500000000001</v>
      </c>
      <c r="D574" s="37">
        <v>267.46600000000001</v>
      </c>
      <c r="E574" s="43">
        <v>812.32899999999995</v>
      </c>
      <c r="F574" s="37">
        <v>1274</v>
      </c>
      <c r="G574" s="37">
        <v>50</v>
      </c>
      <c r="H574" s="45">
        <v>600</v>
      </c>
      <c r="I574" s="37">
        <v>695</v>
      </c>
      <c r="J574" s="37">
        <v>50</v>
      </c>
      <c r="K574" s="38"/>
      <c r="L574" s="38"/>
      <c r="M574" s="38"/>
      <c r="N574" s="38"/>
      <c r="O574" s="38"/>
      <c r="P574" s="38"/>
      <c r="Q574" s="38"/>
      <c r="R574" s="38"/>
      <c r="S574" s="38"/>
      <c r="T574" s="38"/>
    </row>
    <row r="575" spans="1:20" ht="15.75">
      <c r="A575" s="13">
        <v>58653</v>
      </c>
      <c r="B575" s="46">
        <v>31</v>
      </c>
      <c r="C575" s="37">
        <v>194.20500000000001</v>
      </c>
      <c r="D575" s="37">
        <v>267.46600000000001</v>
      </c>
      <c r="E575" s="43">
        <v>812.32899999999995</v>
      </c>
      <c r="F575" s="37">
        <v>1274</v>
      </c>
      <c r="G575" s="37">
        <v>50</v>
      </c>
      <c r="H575" s="45">
        <v>600</v>
      </c>
      <c r="I575" s="37">
        <v>695</v>
      </c>
      <c r="J575" s="37">
        <v>0</v>
      </c>
      <c r="K575" s="38"/>
      <c r="L575" s="38"/>
      <c r="M575" s="38"/>
      <c r="N575" s="38"/>
      <c r="O575" s="38"/>
      <c r="P575" s="38"/>
      <c r="Q575" s="38"/>
      <c r="R575" s="38"/>
      <c r="S575" s="38"/>
      <c r="T575" s="38"/>
    </row>
    <row r="576" spans="1:20" ht="15.75">
      <c r="A576" s="13">
        <v>58684</v>
      </c>
      <c r="B576" s="46">
        <v>31</v>
      </c>
      <c r="C576" s="37">
        <v>194.20500000000001</v>
      </c>
      <c r="D576" s="37">
        <v>267.46600000000001</v>
      </c>
      <c r="E576" s="43">
        <v>812.32899999999995</v>
      </c>
      <c r="F576" s="37">
        <v>1274</v>
      </c>
      <c r="G576" s="37">
        <v>50</v>
      </c>
      <c r="H576" s="45">
        <v>600</v>
      </c>
      <c r="I576" s="37">
        <v>695</v>
      </c>
      <c r="J576" s="37">
        <v>0</v>
      </c>
      <c r="K576" s="38"/>
      <c r="L576" s="38"/>
      <c r="M576" s="38"/>
      <c r="N576" s="38"/>
      <c r="O576" s="38"/>
      <c r="P576" s="38"/>
      <c r="Q576" s="38"/>
      <c r="R576" s="38"/>
      <c r="S576" s="38"/>
      <c r="T576" s="38"/>
    </row>
    <row r="577" spans="1:20" ht="15.75">
      <c r="A577" s="13">
        <v>58714</v>
      </c>
      <c r="B577" s="46">
        <v>30</v>
      </c>
      <c r="C577" s="37">
        <v>194.20500000000001</v>
      </c>
      <c r="D577" s="37">
        <v>267.46600000000001</v>
      </c>
      <c r="E577" s="43">
        <v>812.32899999999995</v>
      </c>
      <c r="F577" s="37">
        <v>1274</v>
      </c>
      <c r="G577" s="37">
        <v>50</v>
      </c>
      <c r="H577" s="45">
        <v>600</v>
      </c>
      <c r="I577" s="37">
        <v>695</v>
      </c>
      <c r="J577" s="37">
        <v>0</v>
      </c>
      <c r="K577" s="38"/>
      <c r="L577" s="38"/>
      <c r="M577" s="38"/>
      <c r="N577" s="38"/>
      <c r="O577" s="38"/>
      <c r="P577" s="38"/>
      <c r="Q577" s="38"/>
      <c r="R577" s="38"/>
      <c r="S577" s="38"/>
      <c r="T577" s="38"/>
    </row>
    <row r="578" spans="1:20" ht="15.75">
      <c r="A578" s="13">
        <v>58745</v>
      </c>
      <c r="B578" s="46">
        <v>31</v>
      </c>
      <c r="C578" s="37">
        <v>131.881</v>
      </c>
      <c r="D578" s="37">
        <v>277.16699999999997</v>
      </c>
      <c r="E578" s="43">
        <v>829.952</v>
      </c>
      <c r="F578" s="37">
        <v>1239</v>
      </c>
      <c r="G578" s="37">
        <v>75</v>
      </c>
      <c r="H578" s="45">
        <v>600</v>
      </c>
      <c r="I578" s="37">
        <v>695</v>
      </c>
      <c r="J578" s="37">
        <v>0</v>
      </c>
      <c r="K578" s="38"/>
      <c r="L578" s="38"/>
      <c r="M578" s="38"/>
      <c r="N578" s="38"/>
      <c r="O578" s="38"/>
      <c r="P578" s="38"/>
      <c r="Q578" s="38"/>
      <c r="R578" s="38"/>
      <c r="S578" s="38"/>
      <c r="T578" s="38"/>
    </row>
    <row r="579" spans="1:20" ht="15.75">
      <c r="A579" s="13">
        <v>58775</v>
      </c>
      <c r="B579" s="46">
        <v>30</v>
      </c>
      <c r="C579" s="37">
        <v>122.58</v>
      </c>
      <c r="D579" s="37">
        <v>297.94099999999997</v>
      </c>
      <c r="E579" s="43">
        <v>729.47900000000004</v>
      </c>
      <c r="F579" s="37">
        <v>1150</v>
      </c>
      <c r="G579" s="37">
        <v>100</v>
      </c>
      <c r="H579" s="45">
        <v>600</v>
      </c>
      <c r="I579" s="37">
        <v>695</v>
      </c>
      <c r="J579" s="37">
        <v>50</v>
      </c>
      <c r="K579" s="38"/>
      <c r="L579" s="38"/>
      <c r="M579" s="38"/>
      <c r="N579" s="38"/>
      <c r="O579" s="38"/>
      <c r="P579" s="38"/>
      <c r="Q579" s="38"/>
      <c r="R579" s="38"/>
      <c r="S579" s="38"/>
      <c r="T579" s="38"/>
    </row>
    <row r="580" spans="1:20" ht="15.75">
      <c r="A580" s="13">
        <v>58806</v>
      </c>
      <c r="B580" s="46">
        <v>31</v>
      </c>
      <c r="C580" s="37">
        <v>122.58</v>
      </c>
      <c r="D580" s="37">
        <v>297.94099999999997</v>
      </c>
      <c r="E580" s="43">
        <v>729.47900000000004</v>
      </c>
      <c r="F580" s="37">
        <v>1150</v>
      </c>
      <c r="G580" s="37">
        <v>100</v>
      </c>
      <c r="H580" s="45">
        <v>600</v>
      </c>
      <c r="I580" s="37">
        <v>695</v>
      </c>
      <c r="J580" s="37">
        <v>50</v>
      </c>
      <c r="K580" s="38"/>
      <c r="L580" s="38"/>
      <c r="M580" s="38"/>
      <c r="N580" s="38"/>
      <c r="O580" s="38"/>
      <c r="P580" s="38"/>
      <c r="Q580" s="38"/>
      <c r="R580" s="38"/>
      <c r="S580" s="38"/>
      <c r="T580" s="38"/>
    </row>
    <row r="581" spans="1:20" ht="15.75">
      <c r="A581" s="13">
        <v>58837</v>
      </c>
      <c r="B581" s="46">
        <v>31</v>
      </c>
      <c r="C581" s="37">
        <v>122.58</v>
      </c>
      <c r="D581" s="37">
        <v>297.94099999999997</v>
      </c>
      <c r="E581" s="43">
        <v>729.47900000000004</v>
      </c>
      <c r="F581" s="37">
        <v>1150</v>
      </c>
      <c r="G581" s="37">
        <v>100</v>
      </c>
      <c r="H581" s="45">
        <v>600</v>
      </c>
      <c r="I581" s="37">
        <v>695</v>
      </c>
      <c r="J581" s="37">
        <v>50</v>
      </c>
      <c r="K581" s="38"/>
      <c r="L581" s="38"/>
      <c r="M581" s="38"/>
      <c r="N581" s="38"/>
      <c r="O581" s="38"/>
      <c r="P581" s="38"/>
      <c r="Q581" s="38"/>
      <c r="R581" s="38"/>
      <c r="S581" s="38"/>
      <c r="T581" s="38"/>
    </row>
    <row r="582" spans="1:20" ht="15.75">
      <c r="A582" s="13">
        <v>58865</v>
      </c>
      <c r="B582" s="46">
        <v>28</v>
      </c>
      <c r="C582" s="37">
        <v>122.58</v>
      </c>
      <c r="D582" s="37">
        <v>297.94099999999997</v>
      </c>
      <c r="E582" s="43">
        <v>729.47900000000004</v>
      </c>
      <c r="F582" s="37">
        <v>1150</v>
      </c>
      <c r="G582" s="37">
        <v>100</v>
      </c>
      <c r="H582" s="45">
        <v>600</v>
      </c>
      <c r="I582" s="37">
        <v>695</v>
      </c>
      <c r="J582" s="37">
        <v>50</v>
      </c>
      <c r="K582" s="38"/>
      <c r="L582" s="38"/>
      <c r="M582" s="38"/>
      <c r="N582" s="38"/>
      <c r="O582" s="38"/>
      <c r="P582" s="38"/>
      <c r="Q582" s="38"/>
      <c r="R582" s="38"/>
      <c r="S582" s="38"/>
      <c r="T582" s="38"/>
    </row>
    <row r="583" spans="1:20" ht="15.75">
      <c r="A583" s="13">
        <v>58893</v>
      </c>
      <c r="B583" s="46">
        <v>31</v>
      </c>
      <c r="C583" s="37">
        <v>122.58</v>
      </c>
      <c r="D583" s="37">
        <v>297.94099999999997</v>
      </c>
      <c r="E583" s="43">
        <v>729.47900000000004</v>
      </c>
      <c r="F583" s="37">
        <v>1150</v>
      </c>
      <c r="G583" s="37">
        <v>100</v>
      </c>
      <c r="H583" s="45">
        <v>600</v>
      </c>
      <c r="I583" s="37">
        <v>695</v>
      </c>
      <c r="J583" s="37">
        <v>50</v>
      </c>
      <c r="K583" s="38"/>
      <c r="L583" s="38"/>
      <c r="M583" s="38"/>
      <c r="N583" s="38"/>
      <c r="O583" s="38"/>
      <c r="P583" s="38"/>
      <c r="Q583" s="38"/>
      <c r="R583" s="38"/>
      <c r="S583" s="38"/>
      <c r="T583" s="38"/>
    </row>
    <row r="584" spans="1:20" ht="15.75">
      <c r="A584" s="13">
        <v>58926</v>
      </c>
      <c r="B584" s="46">
        <v>30</v>
      </c>
      <c r="C584" s="37">
        <v>141.29300000000001</v>
      </c>
      <c r="D584" s="37">
        <v>267.99299999999999</v>
      </c>
      <c r="E584" s="43">
        <v>829.71400000000006</v>
      </c>
      <c r="F584" s="37">
        <v>1239</v>
      </c>
      <c r="G584" s="37">
        <v>100</v>
      </c>
      <c r="H584" s="45">
        <v>600</v>
      </c>
      <c r="I584" s="37">
        <v>695</v>
      </c>
      <c r="J584" s="37">
        <v>50</v>
      </c>
      <c r="K584" s="38"/>
      <c r="L584" s="38"/>
      <c r="M584" s="38"/>
      <c r="N584" s="38"/>
      <c r="O584" s="38"/>
      <c r="P584" s="38"/>
      <c r="Q584" s="38"/>
      <c r="R584" s="38"/>
      <c r="S584" s="38"/>
      <c r="T584" s="38"/>
    </row>
    <row r="585" spans="1:20" ht="15.75">
      <c r="A585" s="13">
        <v>58957</v>
      </c>
      <c r="B585" s="46">
        <v>31</v>
      </c>
      <c r="C585" s="37">
        <v>194.20500000000001</v>
      </c>
      <c r="D585" s="37">
        <v>267.46600000000001</v>
      </c>
      <c r="E585" s="43">
        <v>812.32899999999995</v>
      </c>
      <c r="F585" s="37">
        <v>1274</v>
      </c>
      <c r="G585" s="37">
        <v>75</v>
      </c>
      <c r="H585" s="45">
        <v>600</v>
      </c>
      <c r="I585" s="37">
        <v>695</v>
      </c>
      <c r="J585" s="37">
        <v>50</v>
      </c>
      <c r="K585" s="38"/>
      <c r="L585" s="38"/>
      <c r="M585" s="38"/>
      <c r="N585" s="38"/>
      <c r="O585" s="38"/>
      <c r="P585" s="38"/>
      <c r="Q585" s="38"/>
      <c r="R585" s="38"/>
      <c r="S585" s="38"/>
      <c r="T585" s="38"/>
    </row>
    <row r="586" spans="1:20" ht="15.75">
      <c r="A586" s="13">
        <v>58987</v>
      </c>
      <c r="B586" s="46">
        <v>30</v>
      </c>
      <c r="C586" s="37">
        <v>194.20500000000001</v>
      </c>
      <c r="D586" s="37">
        <v>267.46600000000001</v>
      </c>
      <c r="E586" s="43">
        <v>812.32899999999995</v>
      </c>
      <c r="F586" s="37">
        <v>1274</v>
      </c>
      <c r="G586" s="37">
        <v>50</v>
      </c>
      <c r="H586" s="45">
        <v>600</v>
      </c>
      <c r="I586" s="37">
        <v>695</v>
      </c>
      <c r="J586" s="37">
        <v>50</v>
      </c>
      <c r="K586" s="38"/>
      <c r="L586" s="38"/>
      <c r="M586" s="38"/>
      <c r="N586" s="38"/>
      <c r="O586" s="38"/>
      <c r="P586" s="38"/>
      <c r="Q586" s="38"/>
      <c r="R586" s="38"/>
      <c r="S586" s="38"/>
      <c r="T586" s="38"/>
    </row>
    <row r="587" spans="1:20" ht="15.75">
      <c r="A587" s="13">
        <v>59018</v>
      </c>
      <c r="B587" s="46">
        <v>31</v>
      </c>
      <c r="C587" s="37">
        <v>194.20500000000001</v>
      </c>
      <c r="D587" s="37">
        <v>267.46600000000001</v>
      </c>
      <c r="E587" s="43">
        <v>812.32899999999995</v>
      </c>
      <c r="F587" s="37">
        <v>1274</v>
      </c>
      <c r="G587" s="37">
        <v>50</v>
      </c>
      <c r="H587" s="45">
        <v>600</v>
      </c>
      <c r="I587" s="37">
        <v>695</v>
      </c>
      <c r="J587" s="37">
        <v>0</v>
      </c>
      <c r="K587" s="38"/>
      <c r="L587" s="38"/>
      <c r="M587" s="38"/>
      <c r="N587" s="38"/>
      <c r="O587" s="38"/>
      <c r="P587" s="38"/>
      <c r="Q587" s="38"/>
      <c r="R587" s="38"/>
      <c r="S587" s="38"/>
      <c r="T587" s="38"/>
    </row>
    <row r="588" spans="1:20" ht="15.75">
      <c r="A588" s="13">
        <v>59049</v>
      </c>
      <c r="B588" s="46">
        <v>31</v>
      </c>
      <c r="C588" s="37">
        <v>194.20500000000001</v>
      </c>
      <c r="D588" s="37">
        <v>267.46600000000001</v>
      </c>
      <c r="E588" s="43">
        <v>812.32899999999995</v>
      </c>
      <c r="F588" s="37">
        <v>1274</v>
      </c>
      <c r="G588" s="37">
        <v>50</v>
      </c>
      <c r="H588" s="45">
        <v>600</v>
      </c>
      <c r="I588" s="37">
        <v>695</v>
      </c>
      <c r="J588" s="37">
        <v>0</v>
      </c>
      <c r="K588" s="38"/>
      <c r="L588" s="38"/>
      <c r="M588" s="38"/>
      <c r="N588" s="38"/>
      <c r="O588" s="38"/>
      <c r="P588" s="38"/>
      <c r="Q588" s="38"/>
      <c r="R588" s="38"/>
      <c r="S588" s="38"/>
      <c r="T588" s="38"/>
    </row>
    <row r="589" spans="1:20" ht="15.75">
      <c r="A589" s="13">
        <v>59079</v>
      </c>
      <c r="B589" s="46">
        <v>30</v>
      </c>
      <c r="C589" s="37">
        <v>194.20500000000001</v>
      </c>
      <c r="D589" s="37">
        <v>267.46600000000001</v>
      </c>
      <c r="E589" s="43">
        <v>812.32899999999995</v>
      </c>
      <c r="F589" s="37">
        <v>1274</v>
      </c>
      <c r="G589" s="37">
        <v>50</v>
      </c>
      <c r="H589" s="45">
        <v>600</v>
      </c>
      <c r="I589" s="37">
        <v>695</v>
      </c>
      <c r="J589" s="37">
        <v>0</v>
      </c>
      <c r="K589" s="38"/>
      <c r="L589" s="38"/>
      <c r="M589" s="38"/>
      <c r="N589" s="38"/>
      <c r="O589" s="38"/>
      <c r="P589" s="38"/>
      <c r="Q589" s="38"/>
      <c r="R589" s="38"/>
      <c r="S589" s="38"/>
      <c r="T589" s="38"/>
    </row>
    <row r="590" spans="1:20" ht="15.75">
      <c r="A590" s="13">
        <v>59110</v>
      </c>
      <c r="B590" s="46">
        <v>31</v>
      </c>
      <c r="C590" s="37">
        <v>131.881</v>
      </c>
      <c r="D590" s="37">
        <v>277.16699999999997</v>
      </c>
      <c r="E590" s="43">
        <v>829.952</v>
      </c>
      <c r="F590" s="37">
        <v>1239</v>
      </c>
      <c r="G590" s="37">
        <v>75</v>
      </c>
      <c r="H590" s="45">
        <v>600</v>
      </c>
      <c r="I590" s="37">
        <v>695</v>
      </c>
      <c r="J590" s="37">
        <v>0</v>
      </c>
      <c r="K590" s="38"/>
      <c r="L590" s="38"/>
      <c r="M590" s="38"/>
      <c r="N590" s="38"/>
      <c r="O590" s="38"/>
      <c r="P590" s="38"/>
      <c r="Q590" s="38"/>
      <c r="R590" s="38"/>
      <c r="S590" s="38"/>
      <c r="T590" s="38"/>
    </row>
    <row r="591" spans="1:20" ht="15.75">
      <c r="A591" s="13">
        <v>59140</v>
      </c>
      <c r="B591" s="46">
        <v>30</v>
      </c>
      <c r="C591" s="37">
        <v>122.58</v>
      </c>
      <c r="D591" s="37">
        <v>297.94099999999997</v>
      </c>
      <c r="E591" s="43">
        <v>729.47900000000004</v>
      </c>
      <c r="F591" s="37">
        <v>1150</v>
      </c>
      <c r="G591" s="37">
        <v>100</v>
      </c>
      <c r="H591" s="45">
        <v>600</v>
      </c>
      <c r="I591" s="37">
        <v>695</v>
      </c>
      <c r="J591" s="37">
        <v>50</v>
      </c>
      <c r="K591" s="38"/>
      <c r="L591" s="38"/>
      <c r="M591" s="38"/>
      <c r="N591" s="38"/>
      <c r="O591" s="38"/>
      <c r="P591" s="38"/>
      <c r="Q591" s="38"/>
      <c r="R591" s="38"/>
      <c r="S591" s="38"/>
      <c r="T591" s="38"/>
    </row>
    <row r="592" spans="1:20" ht="15.75">
      <c r="A592" s="13">
        <v>59171</v>
      </c>
      <c r="B592" s="46">
        <v>31</v>
      </c>
      <c r="C592" s="37">
        <v>122.58</v>
      </c>
      <c r="D592" s="37">
        <v>297.94099999999997</v>
      </c>
      <c r="E592" s="43">
        <v>729.47900000000004</v>
      </c>
      <c r="F592" s="37">
        <v>1150</v>
      </c>
      <c r="G592" s="37">
        <v>100</v>
      </c>
      <c r="H592" s="45">
        <v>600</v>
      </c>
      <c r="I592" s="37">
        <v>695</v>
      </c>
      <c r="J592" s="37">
        <v>50</v>
      </c>
      <c r="K592" s="38"/>
      <c r="L592" s="38"/>
      <c r="M592" s="38"/>
      <c r="N592" s="38"/>
      <c r="O592" s="38"/>
      <c r="P592" s="38"/>
      <c r="Q592" s="38"/>
      <c r="R592" s="38"/>
      <c r="S592" s="38"/>
      <c r="T592" s="38"/>
    </row>
    <row r="593" spans="1:20" ht="15.75">
      <c r="A593" s="13">
        <v>59202</v>
      </c>
      <c r="B593" s="46">
        <f t="shared" ref="B593:B656" si="0">EOMONTH(A593,0)-EOMONTH(A593,-1)</f>
        <v>31</v>
      </c>
      <c r="C593" s="37">
        <v>122.58</v>
      </c>
      <c r="D593" s="37">
        <v>297.94099999999997</v>
      </c>
      <c r="E593" s="43">
        <v>729.47900000000004</v>
      </c>
      <c r="F593" s="37">
        <v>1150</v>
      </c>
      <c r="G593" s="37">
        <v>100</v>
      </c>
      <c r="H593" s="45">
        <v>600</v>
      </c>
      <c r="I593" s="37">
        <v>695</v>
      </c>
      <c r="J593" s="37">
        <v>50</v>
      </c>
      <c r="K593" s="38"/>
      <c r="L593" s="38"/>
      <c r="M593" s="38"/>
      <c r="N593" s="38"/>
      <c r="O593" s="38"/>
      <c r="P593" s="38"/>
      <c r="Q593" s="38"/>
      <c r="R593" s="38"/>
      <c r="S593" s="38"/>
      <c r="T593" s="38"/>
    </row>
    <row r="594" spans="1:20" ht="15.75">
      <c r="A594" s="13">
        <v>59230</v>
      </c>
      <c r="B594" s="46">
        <f t="shared" si="0"/>
        <v>28</v>
      </c>
      <c r="C594" s="37">
        <v>122.58</v>
      </c>
      <c r="D594" s="37">
        <v>297.94099999999997</v>
      </c>
      <c r="E594" s="43">
        <v>729.47900000000004</v>
      </c>
      <c r="F594" s="37">
        <v>1150</v>
      </c>
      <c r="G594" s="37">
        <v>100</v>
      </c>
      <c r="H594" s="45">
        <v>600</v>
      </c>
      <c r="I594" s="37">
        <v>695</v>
      </c>
      <c r="J594" s="37">
        <v>50</v>
      </c>
      <c r="K594" s="38"/>
      <c r="L594" s="38"/>
      <c r="M594" s="38"/>
      <c r="N594" s="38"/>
      <c r="O594" s="38"/>
      <c r="P594" s="38"/>
      <c r="Q594" s="38"/>
      <c r="R594" s="38"/>
      <c r="S594" s="38"/>
      <c r="T594" s="38"/>
    </row>
    <row r="595" spans="1:20" ht="15.75">
      <c r="A595" s="13">
        <v>59261</v>
      </c>
      <c r="B595" s="46">
        <f t="shared" si="0"/>
        <v>31</v>
      </c>
      <c r="C595" s="37">
        <v>122.58</v>
      </c>
      <c r="D595" s="37">
        <v>297.94099999999997</v>
      </c>
      <c r="E595" s="43">
        <v>729.47900000000004</v>
      </c>
      <c r="F595" s="37">
        <v>1150</v>
      </c>
      <c r="G595" s="37">
        <v>100</v>
      </c>
      <c r="H595" s="45">
        <v>600</v>
      </c>
      <c r="I595" s="37">
        <v>695</v>
      </c>
      <c r="J595" s="37">
        <v>50</v>
      </c>
      <c r="K595" s="38"/>
      <c r="L595" s="38"/>
      <c r="M595" s="38"/>
      <c r="N595" s="38"/>
      <c r="O595" s="38"/>
      <c r="P595" s="38"/>
      <c r="Q595" s="38"/>
      <c r="R595" s="38"/>
      <c r="S595" s="38"/>
      <c r="T595" s="38"/>
    </row>
    <row r="596" spans="1:20" ht="15.75">
      <c r="A596" s="13">
        <v>59291</v>
      </c>
      <c r="B596" s="46">
        <f t="shared" si="0"/>
        <v>30</v>
      </c>
      <c r="C596" s="37">
        <v>141.29300000000001</v>
      </c>
      <c r="D596" s="37">
        <v>267.99299999999999</v>
      </c>
      <c r="E596" s="43">
        <v>829.71400000000006</v>
      </c>
      <c r="F596" s="37">
        <v>1239</v>
      </c>
      <c r="G596" s="37">
        <v>100</v>
      </c>
      <c r="H596" s="45">
        <v>600</v>
      </c>
      <c r="I596" s="37">
        <v>695</v>
      </c>
      <c r="J596" s="37">
        <v>50</v>
      </c>
      <c r="K596" s="38"/>
      <c r="L596" s="38"/>
      <c r="M596" s="38"/>
      <c r="N596" s="38"/>
      <c r="O596" s="38"/>
      <c r="P596" s="38"/>
      <c r="Q596" s="38"/>
      <c r="R596" s="38"/>
      <c r="S596" s="38"/>
      <c r="T596" s="38"/>
    </row>
    <row r="597" spans="1:20" ht="15.75">
      <c r="A597" s="13">
        <v>59322</v>
      </c>
      <c r="B597" s="46">
        <f t="shared" si="0"/>
        <v>31</v>
      </c>
      <c r="C597" s="37">
        <v>194.20500000000001</v>
      </c>
      <c r="D597" s="37">
        <v>267.46600000000001</v>
      </c>
      <c r="E597" s="43">
        <v>812.32899999999995</v>
      </c>
      <c r="F597" s="37">
        <v>1274</v>
      </c>
      <c r="G597" s="37">
        <v>75</v>
      </c>
      <c r="H597" s="45">
        <v>600</v>
      </c>
      <c r="I597" s="37">
        <v>695</v>
      </c>
      <c r="J597" s="37">
        <v>50</v>
      </c>
      <c r="K597" s="38"/>
      <c r="L597" s="38"/>
      <c r="M597" s="38"/>
      <c r="N597" s="38"/>
      <c r="O597" s="38"/>
      <c r="P597" s="38"/>
      <c r="Q597" s="38"/>
      <c r="R597" s="38"/>
      <c r="S597" s="38"/>
      <c r="T597" s="38"/>
    </row>
    <row r="598" spans="1:20" ht="15.75">
      <c r="A598" s="13">
        <v>59352</v>
      </c>
      <c r="B598" s="46">
        <f t="shared" si="0"/>
        <v>30</v>
      </c>
      <c r="C598" s="37">
        <v>194.20500000000001</v>
      </c>
      <c r="D598" s="37">
        <v>267.46600000000001</v>
      </c>
      <c r="E598" s="43">
        <v>812.32899999999995</v>
      </c>
      <c r="F598" s="37">
        <v>1274</v>
      </c>
      <c r="G598" s="37">
        <v>50</v>
      </c>
      <c r="H598" s="45">
        <v>600</v>
      </c>
      <c r="I598" s="37">
        <v>695</v>
      </c>
      <c r="J598" s="37">
        <v>50</v>
      </c>
      <c r="K598" s="38"/>
      <c r="L598" s="38"/>
      <c r="M598" s="38"/>
      <c r="N598" s="38"/>
      <c r="O598" s="38"/>
      <c r="P598" s="38"/>
      <c r="Q598" s="38"/>
      <c r="R598" s="38"/>
      <c r="S598" s="38"/>
      <c r="T598" s="38"/>
    </row>
    <row r="599" spans="1:20" ht="15.75">
      <c r="A599" s="13">
        <v>59383</v>
      </c>
      <c r="B599" s="46">
        <f t="shared" si="0"/>
        <v>31</v>
      </c>
      <c r="C599" s="37">
        <v>194.20500000000001</v>
      </c>
      <c r="D599" s="37">
        <v>267.46600000000001</v>
      </c>
      <c r="E599" s="43">
        <v>812.32899999999995</v>
      </c>
      <c r="F599" s="37">
        <v>1274</v>
      </c>
      <c r="G599" s="37">
        <v>50</v>
      </c>
      <c r="H599" s="45">
        <v>600</v>
      </c>
      <c r="I599" s="37">
        <v>695</v>
      </c>
      <c r="J599" s="37">
        <v>0</v>
      </c>
      <c r="K599" s="38"/>
      <c r="L599" s="38"/>
      <c r="M599" s="38"/>
      <c r="N599" s="38"/>
      <c r="O599" s="38"/>
      <c r="P599" s="38"/>
      <c r="Q599" s="38"/>
      <c r="R599" s="38"/>
      <c r="S599" s="38"/>
      <c r="T599" s="38"/>
    </row>
    <row r="600" spans="1:20" ht="15.75">
      <c r="A600" s="13">
        <v>59414</v>
      </c>
      <c r="B600" s="46">
        <f t="shared" si="0"/>
        <v>31</v>
      </c>
      <c r="C600" s="37">
        <v>194.20500000000001</v>
      </c>
      <c r="D600" s="37">
        <v>267.46600000000001</v>
      </c>
      <c r="E600" s="43">
        <v>812.32899999999995</v>
      </c>
      <c r="F600" s="37">
        <v>1274</v>
      </c>
      <c r="G600" s="37">
        <v>50</v>
      </c>
      <c r="H600" s="45">
        <v>600</v>
      </c>
      <c r="I600" s="37">
        <v>695</v>
      </c>
      <c r="J600" s="37">
        <v>0</v>
      </c>
      <c r="K600" s="38"/>
      <c r="L600" s="38"/>
      <c r="M600" s="38"/>
      <c r="N600" s="38"/>
      <c r="O600" s="38"/>
      <c r="P600" s="38"/>
      <c r="Q600" s="38"/>
      <c r="R600" s="38"/>
      <c r="S600" s="38"/>
      <c r="T600" s="38"/>
    </row>
    <row r="601" spans="1:20" ht="15.75">
      <c r="A601" s="13">
        <v>59444</v>
      </c>
      <c r="B601" s="46">
        <f t="shared" si="0"/>
        <v>30</v>
      </c>
      <c r="C601" s="37">
        <v>194.20500000000001</v>
      </c>
      <c r="D601" s="37">
        <v>267.46600000000001</v>
      </c>
      <c r="E601" s="43">
        <v>812.32899999999995</v>
      </c>
      <c r="F601" s="37">
        <v>1274</v>
      </c>
      <c r="G601" s="37">
        <v>50</v>
      </c>
      <c r="H601" s="45">
        <v>600</v>
      </c>
      <c r="I601" s="37">
        <v>695</v>
      </c>
      <c r="J601" s="37">
        <v>0</v>
      </c>
      <c r="K601" s="38"/>
      <c r="L601" s="38"/>
      <c r="M601" s="38"/>
      <c r="N601" s="38"/>
      <c r="O601" s="38"/>
      <c r="P601" s="38"/>
      <c r="Q601" s="38"/>
      <c r="R601" s="38"/>
      <c r="S601" s="38"/>
      <c r="T601" s="38"/>
    </row>
    <row r="602" spans="1:20" ht="15.75">
      <c r="A602" s="13">
        <v>59475</v>
      </c>
      <c r="B602" s="46">
        <f t="shared" si="0"/>
        <v>31</v>
      </c>
      <c r="C602" s="37">
        <v>131.881</v>
      </c>
      <c r="D602" s="37">
        <v>277.16699999999997</v>
      </c>
      <c r="E602" s="43">
        <v>829.952</v>
      </c>
      <c r="F602" s="37">
        <v>1239</v>
      </c>
      <c r="G602" s="37">
        <v>75</v>
      </c>
      <c r="H602" s="45">
        <v>600</v>
      </c>
      <c r="I602" s="37">
        <v>695</v>
      </c>
      <c r="J602" s="37">
        <v>0</v>
      </c>
      <c r="K602" s="38"/>
      <c r="L602" s="38"/>
      <c r="M602" s="38"/>
      <c r="N602" s="38"/>
      <c r="O602" s="38"/>
      <c r="P602" s="38"/>
      <c r="Q602" s="38"/>
      <c r="R602" s="38"/>
      <c r="S602" s="38"/>
      <c r="T602" s="38"/>
    </row>
    <row r="603" spans="1:20" ht="15.75">
      <c r="A603" s="13">
        <v>59505</v>
      </c>
      <c r="B603" s="46">
        <f t="shared" si="0"/>
        <v>30</v>
      </c>
      <c r="C603" s="37">
        <v>122.58</v>
      </c>
      <c r="D603" s="37">
        <v>297.94099999999997</v>
      </c>
      <c r="E603" s="43">
        <v>729.47900000000004</v>
      </c>
      <c r="F603" s="37">
        <v>1150</v>
      </c>
      <c r="G603" s="37">
        <v>100</v>
      </c>
      <c r="H603" s="45">
        <v>600</v>
      </c>
      <c r="I603" s="37">
        <v>695</v>
      </c>
      <c r="J603" s="37">
        <v>50</v>
      </c>
      <c r="K603" s="38"/>
      <c r="L603" s="38"/>
      <c r="M603" s="38"/>
      <c r="N603" s="38"/>
      <c r="O603" s="38"/>
      <c r="P603" s="38"/>
      <c r="Q603" s="38"/>
      <c r="R603" s="38"/>
      <c r="S603" s="38"/>
      <c r="T603" s="38"/>
    </row>
    <row r="604" spans="1:20" ht="15.75">
      <c r="A604" s="13">
        <v>59536</v>
      </c>
      <c r="B604" s="46">
        <f t="shared" si="0"/>
        <v>31</v>
      </c>
      <c r="C604" s="37">
        <v>122.58</v>
      </c>
      <c r="D604" s="37">
        <v>297.94099999999997</v>
      </c>
      <c r="E604" s="43">
        <v>729.47900000000004</v>
      </c>
      <c r="F604" s="37">
        <v>1150</v>
      </c>
      <c r="G604" s="37">
        <v>100</v>
      </c>
      <c r="H604" s="45">
        <v>600</v>
      </c>
      <c r="I604" s="37">
        <v>695</v>
      </c>
      <c r="J604" s="37">
        <v>50</v>
      </c>
      <c r="K604" s="38"/>
      <c r="L604" s="38"/>
      <c r="M604" s="38"/>
      <c r="N604" s="38"/>
      <c r="O604" s="38"/>
      <c r="P604" s="38"/>
      <c r="Q604" s="38"/>
      <c r="R604" s="38"/>
      <c r="S604" s="38"/>
      <c r="T604" s="38"/>
    </row>
    <row r="605" spans="1:20" ht="15.75">
      <c r="A605" s="13">
        <v>59567</v>
      </c>
      <c r="B605" s="46">
        <f t="shared" si="0"/>
        <v>31</v>
      </c>
      <c r="C605" s="37">
        <v>122.58</v>
      </c>
      <c r="D605" s="37">
        <v>297.94099999999997</v>
      </c>
      <c r="E605" s="43">
        <v>729.47900000000004</v>
      </c>
      <c r="F605" s="37">
        <v>1150</v>
      </c>
      <c r="G605" s="37">
        <v>100</v>
      </c>
      <c r="H605" s="45">
        <v>600</v>
      </c>
      <c r="I605" s="37">
        <v>695</v>
      </c>
      <c r="J605" s="37">
        <v>50</v>
      </c>
      <c r="K605" s="38"/>
      <c r="L605" s="38"/>
      <c r="M605" s="38"/>
      <c r="N605" s="38"/>
      <c r="O605" s="38"/>
      <c r="P605" s="38"/>
      <c r="Q605" s="38"/>
      <c r="R605" s="38"/>
      <c r="S605" s="38"/>
      <c r="T605" s="38"/>
    </row>
    <row r="606" spans="1:20" ht="15.75">
      <c r="A606" s="13">
        <v>59595</v>
      </c>
      <c r="B606" s="46">
        <f t="shared" si="0"/>
        <v>28</v>
      </c>
      <c r="C606" s="37">
        <v>122.58</v>
      </c>
      <c r="D606" s="37">
        <v>297.94099999999997</v>
      </c>
      <c r="E606" s="43">
        <v>729.47900000000004</v>
      </c>
      <c r="F606" s="37">
        <v>1150</v>
      </c>
      <c r="G606" s="37">
        <v>100</v>
      </c>
      <c r="H606" s="45">
        <v>600</v>
      </c>
      <c r="I606" s="37">
        <v>695</v>
      </c>
      <c r="J606" s="37">
        <v>50</v>
      </c>
      <c r="K606" s="38"/>
      <c r="L606" s="38"/>
      <c r="M606" s="38"/>
      <c r="N606" s="38"/>
      <c r="O606" s="38"/>
      <c r="P606" s="38"/>
      <c r="Q606" s="38"/>
      <c r="R606" s="38"/>
      <c r="S606" s="38"/>
      <c r="T606" s="38"/>
    </row>
    <row r="607" spans="1:20" ht="15.75">
      <c r="A607" s="13">
        <v>59626</v>
      </c>
      <c r="B607" s="46">
        <f t="shared" si="0"/>
        <v>31</v>
      </c>
      <c r="C607" s="37">
        <v>122.58</v>
      </c>
      <c r="D607" s="37">
        <v>297.94099999999997</v>
      </c>
      <c r="E607" s="43">
        <v>729.47900000000004</v>
      </c>
      <c r="F607" s="37">
        <v>1150</v>
      </c>
      <c r="G607" s="37">
        <v>100</v>
      </c>
      <c r="H607" s="45">
        <v>600</v>
      </c>
      <c r="I607" s="37">
        <v>695</v>
      </c>
      <c r="J607" s="37">
        <v>50</v>
      </c>
      <c r="K607" s="38"/>
      <c r="L607" s="38"/>
      <c r="M607" s="38"/>
      <c r="N607" s="38"/>
      <c r="O607" s="38"/>
      <c r="P607" s="38"/>
      <c r="Q607" s="38"/>
      <c r="R607" s="38"/>
      <c r="S607" s="38"/>
      <c r="T607" s="38"/>
    </row>
    <row r="608" spans="1:20" ht="15.75">
      <c r="A608" s="13">
        <v>59656</v>
      </c>
      <c r="B608" s="46">
        <f t="shared" si="0"/>
        <v>30</v>
      </c>
      <c r="C608" s="37">
        <v>141.29300000000001</v>
      </c>
      <c r="D608" s="37">
        <v>267.99299999999999</v>
      </c>
      <c r="E608" s="43">
        <v>829.71400000000006</v>
      </c>
      <c r="F608" s="37">
        <v>1239</v>
      </c>
      <c r="G608" s="37">
        <v>100</v>
      </c>
      <c r="H608" s="45">
        <v>600</v>
      </c>
      <c r="I608" s="37">
        <v>695</v>
      </c>
      <c r="J608" s="37">
        <v>50</v>
      </c>
      <c r="K608" s="38"/>
      <c r="L608" s="38"/>
      <c r="M608" s="38"/>
      <c r="N608" s="38"/>
      <c r="O608" s="38"/>
      <c r="P608" s="38"/>
      <c r="Q608" s="38"/>
      <c r="R608" s="38"/>
      <c r="S608" s="38"/>
      <c r="T608" s="38"/>
    </row>
    <row r="609" spans="1:20" ht="15.75">
      <c r="A609" s="13">
        <v>59687</v>
      </c>
      <c r="B609" s="46">
        <f t="shared" si="0"/>
        <v>31</v>
      </c>
      <c r="C609" s="37">
        <v>194.20500000000001</v>
      </c>
      <c r="D609" s="37">
        <v>267.46600000000001</v>
      </c>
      <c r="E609" s="43">
        <v>812.32899999999995</v>
      </c>
      <c r="F609" s="37">
        <v>1274</v>
      </c>
      <c r="G609" s="37">
        <v>75</v>
      </c>
      <c r="H609" s="45">
        <v>600</v>
      </c>
      <c r="I609" s="37">
        <v>695</v>
      </c>
      <c r="J609" s="37">
        <v>50</v>
      </c>
      <c r="K609" s="38"/>
      <c r="L609" s="38"/>
      <c r="M609" s="38"/>
      <c r="N609" s="38"/>
      <c r="O609" s="38"/>
      <c r="P609" s="38"/>
      <c r="Q609" s="38"/>
      <c r="R609" s="38"/>
      <c r="S609" s="38"/>
      <c r="T609" s="38"/>
    </row>
    <row r="610" spans="1:20" ht="15.75">
      <c r="A610" s="13">
        <v>59717</v>
      </c>
      <c r="B610" s="46">
        <f t="shared" si="0"/>
        <v>30</v>
      </c>
      <c r="C610" s="37">
        <v>194.20500000000001</v>
      </c>
      <c r="D610" s="37">
        <v>267.46600000000001</v>
      </c>
      <c r="E610" s="43">
        <v>812.32899999999995</v>
      </c>
      <c r="F610" s="37">
        <v>1274</v>
      </c>
      <c r="G610" s="37">
        <v>50</v>
      </c>
      <c r="H610" s="45">
        <v>600</v>
      </c>
      <c r="I610" s="37">
        <v>695</v>
      </c>
      <c r="J610" s="37">
        <v>50</v>
      </c>
      <c r="K610" s="38"/>
      <c r="L610" s="38"/>
      <c r="M610" s="38"/>
      <c r="N610" s="38"/>
      <c r="O610" s="38"/>
      <c r="P610" s="38"/>
      <c r="Q610" s="38"/>
      <c r="R610" s="38"/>
      <c r="S610" s="38"/>
      <c r="T610" s="38"/>
    </row>
    <row r="611" spans="1:20" ht="15.75">
      <c r="A611" s="13">
        <v>59748</v>
      </c>
      <c r="B611" s="46">
        <f t="shared" si="0"/>
        <v>31</v>
      </c>
      <c r="C611" s="37">
        <v>194.20500000000001</v>
      </c>
      <c r="D611" s="37">
        <v>267.46600000000001</v>
      </c>
      <c r="E611" s="43">
        <v>812.32899999999995</v>
      </c>
      <c r="F611" s="37">
        <v>1274</v>
      </c>
      <c r="G611" s="37">
        <v>50</v>
      </c>
      <c r="H611" s="45">
        <v>600</v>
      </c>
      <c r="I611" s="37">
        <v>695</v>
      </c>
      <c r="J611" s="37">
        <v>0</v>
      </c>
      <c r="K611" s="38"/>
      <c r="L611" s="38"/>
      <c r="M611" s="38"/>
      <c r="N611" s="38"/>
      <c r="O611" s="38"/>
      <c r="P611" s="38"/>
      <c r="Q611" s="38"/>
      <c r="R611" s="38"/>
      <c r="S611" s="38"/>
      <c r="T611" s="38"/>
    </row>
    <row r="612" spans="1:20" ht="15.75">
      <c r="A612" s="13">
        <v>59779</v>
      </c>
      <c r="B612" s="46">
        <f t="shared" si="0"/>
        <v>31</v>
      </c>
      <c r="C612" s="37">
        <v>194.20500000000001</v>
      </c>
      <c r="D612" s="37">
        <v>267.46600000000001</v>
      </c>
      <c r="E612" s="43">
        <v>812.32899999999995</v>
      </c>
      <c r="F612" s="37">
        <v>1274</v>
      </c>
      <c r="G612" s="37">
        <v>50</v>
      </c>
      <c r="H612" s="45">
        <v>600</v>
      </c>
      <c r="I612" s="37">
        <v>695</v>
      </c>
      <c r="J612" s="37">
        <v>0</v>
      </c>
      <c r="K612" s="38"/>
      <c r="L612" s="38"/>
      <c r="M612" s="38"/>
      <c r="N612" s="38"/>
      <c r="O612" s="38"/>
      <c r="P612" s="38"/>
      <c r="Q612" s="38"/>
      <c r="R612" s="38"/>
      <c r="S612" s="38"/>
      <c r="T612" s="38"/>
    </row>
    <row r="613" spans="1:20" ht="15.75">
      <c r="A613" s="13">
        <v>59809</v>
      </c>
      <c r="B613" s="46">
        <f t="shared" si="0"/>
        <v>30</v>
      </c>
      <c r="C613" s="37">
        <v>194.20500000000001</v>
      </c>
      <c r="D613" s="37">
        <v>267.46600000000001</v>
      </c>
      <c r="E613" s="43">
        <v>812.32899999999995</v>
      </c>
      <c r="F613" s="37">
        <v>1274</v>
      </c>
      <c r="G613" s="37">
        <v>50</v>
      </c>
      <c r="H613" s="45">
        <v>600</v>
      </c>
      <c r="I613" s="37">
        <v>695</v>
      </c>
      <c r="J613" s="37">
        <v>0</v>
      </c>
      <c r="K613" s="38"/>
      <c r="L613" s="38"/>
      <c r="M613" s="38"/>
      <c r="N613" s="38"/>
      <c r="O613" s="38"/>
      <c r="P613" s="38"/>
      <c r="Q613" s="38"/>
      <c r="R613" s="38"/>
      <c r="S613" s="38"/>
      <c r="T613" s="38"/>
    </row>
    <row r="614" spans="1:20" ht="15.75">
      <c r="A614" s="13">
        <v>59840</v>
      </c>
      <c r="B614" s="46">
        <f t="shared" si="0"/>
        <v>31</v>
      </c>
      <c r="C614" s="37">
        <v>131.881</v>
      </c>
      <c r="D614" s="37">
        <v>277.16699999999997</v>
      </c>
      <c r="E614" s="43">
        <v>829.952</v>
      </c>
      <c r="F614" s="37">
        <v>1239</v>
      </c>
      <c r="G614" s="37">
        <v>75</v>
      </c>
      <c r="H614" s="45">
        <v>600</v>
      </c>
      <c r="I614" s="37">
        <v>695</v>
      </c>
      <c r="J614" s="37">
        <v>0</v>
      </c>
      <c r="K614" s="38"/>
      <c r="L614" s="38"/>
      <c r="M614" s="38"/>
      <c r="N614" s="38"/>
      <c r="O614" s="38"/>
      <c r="P614" s="38"/>
      <c r="Q614" s="38"/>
      <c r="R614" s="38"/>
      <c r="S614" s="38"/>
      <c r="T614" s="38"/>
    </row>
    <row r="615" spans="1:20" ht="15.75">
      <c r="A615" s="13">
        <v>59870</v>
      </c>
      <c r="B615" s="46">
        <f t="shared" si="0"/>
        <v>30</v>
      </c>
      <c r="C615" s="37">
        <v>122.58</v>
      </c>
      <c r="D615" s="37">
        <v>297.94099999999997</v>
      </c>
      <c r="E615" s="43">
        <v>729.47900000000004</v>
      </c>
      <c r="F615" s="37">
        <v>1150</v>
      </c>
      <c r="G615" s="37">
        <v>100</v>
      </c>
      <c r="H615" s="45">
        <v>600</v>
      </c>
      <c r="I615" s="37">
        <v>695</v>
      </c>
      <c r="J615" s="37">
        <v>50</v>
      </c>
      <c r="K615" s="38"/>
      <c r="L615" s="38"/>
      <c r="M615" s="38"/>
      <c r="N615" s="38"/>
      <c r="O615" s="38"/>
      <c r="P615" s="38"/>
      <c r="Q615" s="38"/>
      <c r="R615" s="38"/>
      <c r="S615" s="38"/>
      <c r="T615" s="38"/>
    </row>
    <row r="616" spans="1:20" ht="15.75">
      <c r="A616" s="13">
        <v>59901</v>
      </c>
      <c r="B616" s="46">
        <f t="shared" si="0"/>
        <v>31</v>
      </c>
      <c r="C616" s="37">
        <v>122.58</v>
      </c>
      <c r="D616" s="37">
        <v>297.94099999999997</v>
      </c>
      <c r="E616" s="43">
        <v>729.47900000000004</v>
      </c>
      <c r="F616" s="37">
        <v>1150</v>
      </c>
      <c r="G616" s="37">
        <v>100</v>
      </c>
      <c r="H616" s="45">
        <v>600</v>
      </c>
      <c r="I616" s="37">
        <v>695</v>
      </c>
      <c r="J616" s="37">
        <v>50</v>
      </c>
      <c r="K616" s="38"/>
      <c r="L616" s="38"/>
      <c r="M616" s="38"/>
      <c r="N616" s="38"/>
      <c r="O616" s="38"/>
      <c r="P616" s="38"/>
      <c r="Q616" s="38"/>
      <c r="R616" s="38"/>
      <c r="S616" s="38"/>
      <c r="T616" s="38"/>
    </row>
    <row r="617" spans="1:20" ht="15.75">
      <c r="A617" s="13">
        <v>59932</v>
      </c>
      <c r="B617" s="46">
        <f t="shared" si="0"/>
        <v>31</v>
      </c>
      <c r="C617" s="37">
        <v>122.58</v>
      </c>
      <c r="D617" s="37">
        <v>297.94099999999997</v>
      </c>
      <c r="E617" s="43">
        <v>729.47900000000004</v>
      </c>
      <c r="F617" s="37">
        <v>1150</v>
      </c>
      <c r="G617" s="37">
        <v>100</v>
      </c>
      <c r="H617" s="45">
        <v>600</v>
      </c>
      <c r="I617" s="37">
        <v>695</v>
      </c>
      <c r="J617" s="37">
        <v>50</v>
      </c>
      <c r="K617" s="38"/>
      <c r="L617" s="38"/>
      <c r="M617" s="38"/>
      <c r="N617" s="38"/>
      <c r="O617" s="38"/>
      <c r="P617" s="38"/>
      <c r="Q617" s="38"/>
      <c r="R617" s="38"/>
      <c r="S617" s="38"/>
      <c r="T617" s="38"/>
    </row>
    <row r="618" spans="1:20" ht="15.75">
      <c r="A618" s="13">
        <v>59961</v>
      </c>
      <c r="B618" s="46">
        <f t="shared" si="0"/>
        <v>29</v>
      </c>
      <c r="C618" s="37">
        <v>122.58</v>
      </c>
      <c r="D618" s="37">
        <v>297.94099999999997</v>
      </c>
      <c r="E618" s="43">
        <v>729.47900000000004</v>
      </c>
      <c r="F618" s="37">
        <v>1150</v>
      </c>
      <c r="G618" s="37">
        <v>100</v>
      </c>
      <c r="H618" s="45">
        <v>600</v>
      </c>
      <c r="I618" s="37">
        <v>695</v>
      </c>
      <c r="J618" s="37">
        <v>50</v>
      </c>
      <c r="K618" s="38"/>
      <c r="L618" s="38"/>
      <c r="M618" s="38"/>
      <c r="N618" s="38"/>
      <c r="O618" s="38"/>
      <c r="P618" s="38"/>
      <c r="Q618" s="38"/>
      <c r="R618" s="38"/>
      <c r="S618" s="38"/>
      <c r="T618" s="38"/>
    </row>
    <row r="619" spans="1:20" ht="15.75">
      <c r="A619" s="13">
        <v>59992</v>
      </c>
      <c r="B619" s="46">
        <f t="shared" si="0"/>
        <v>31</v>
      </c>
      <c r="C619" s="37">
        <v>122.58</v>
      </c>
      <c r="D619" s="37">
        <v>297.94099999999997</v>
      </c>
      <c r="E619" s="43">
        <v>729.47900000000004</v>
      </c>
      <c r="F619" s="37">
        <v>1150</v>
      </c>
      <c r="G619" s="37">
        <v>100</v>
      </c>
      <c r="H619" s="45">
        <v>600</v>
      </c>
      <c r="I619" s="37">
        <v>695</v>
      </c>
      <c r="J619" s="37">
        <v>50</v>
      </c>
      <c r="K619" s="38"/>
      <c r="L619" s="38"/>
      <c r="M619" s="38"/>
      <c r="N619" s="38"/>
      <c r="O619" s="38"/>
      <c r="P619" s="38"/>
      <c r="Q619" s="38"/>
      <c r="R619" s="38"/>
      <c r="S619" s="38"/>
      <c r="T619" s="38"/>
    </row>
    <row r="620" spans="1:20" ht="15.75">
      <c r="A620" s="13">
        <v>60022</v>
      </c>
      <c r="B620" s="46">
        <f t="shared" si="0"/>
        <v>30</v>
      </c>
      <c r="C620" s="37">
        <v>141.29300000000001</v>
      </c>
      <c r="D620" s="37">
        <v>267.99299999999999</v>
      </c>
      <c r="E620" s="43">
        <v>829.71400000000006</v>
      </c>
      <c r="F620" s="37">
        <v>1239</v>
      </c>
      <c r="G620" s="37">
        <v>100</v>
      </c>
      <c r="H620" s="45">
        <v>600</v>
      </c>
      <c r="I620" s="37">
        <v>695</v>
      </c>
      <c r="J620" s="37">
        <v>50</v>
      </c>
      <c r="K620" s="38"/>
      <c r="L620" s="38"/>
      <c r="M620" s="38"/>
      <c r="N620" s="38"/>
      <c r="O620" s="38"/>
      <c r="P620" s="38"/>
      <c r="Q620" s="38"/>
      <c r="R620" s="38"/>
      <c r="S620" s="38"/>
      <c r="T620" s="38"/>
    </row>
    <row r="621" spans="1:20" ht="15.75">
      <c r="A621" s="13">
        <v>60053</v>
      </c>
      <c r="B621" s="46">
        <f t="shared" si="0"/>
        <v>31</v>
      </c>
      <c r="C621" s="37">
        <v>194.20500000000001</v>
      </c>
      <c r="D621" s="37">
        <v>267.46600000000001</v>
      </c>
      <c r="E621" s="43">
        <v>812.32899999999995</v>
      </c>
      <c r="F621" s="37">
        <v>1274</v>
      </c>
      <c r="G621" s="37">
        <v>75</v>
      </c>
      <c r="H621" s="45">
        <v>600</v>
      </c>
      <c r="I621" s="37">
        <v>695</v>
      </c>
      <c r="J621" s="37">
        <v>50</v>
      </c>
      <c r="K621" s="38"/>
      <c r="L621" s="38"/>
      <c r="M621" s="38"/>
      <c r="N621" s="38"/>
      <c r="O621" s="38"/>
      <c r="P621" s="38"/>
      <c r="Q621" s="38"/>
      <c r="R621" s="38"/>
      <c r="S621" s="38"/>
      <c r="T621" s="38"/>
    </row>
    <row r="622" spans="1:20" ht="15.75">
      <c r="A622" s="13">
        <v>60083</v>
      </c>
      <c r="B622" s="46">
        <f t="shared" si="0"/>
        <v>30</v>
      </c>
      <c r="C622" s="37">
        <v>194.20500000000001</v>
      </c>
      <c r="D622" s="37">
        <v>267.46600000000001</v>
      </c>
      <c r="E622" s="43">
        <v>812.32899999999995</v>
      </c>
      <c r="F622" s="37">
        <v>1274</v>
      </c>
      <c r="G622" s="37">
        <v>50</v>
      </c>
      <c r="H622" s="45">
        <v>600</v>
      </c>
      <c r="I622" s="37">
        <v>695</v>
      </c>
      <c r="J622" s="37">
        <v>50</v>
      </c>
      <c r="K622" s="38"/>
      <c r="L622" s="38"/>
      <c r="M622" s="38"/>
      <c r="N622" s="38"/>
      <c r="O622" s="38"/>
      <c r="P622" s="38"/>
      <c r="Q622" s="38"/>
      <c r="R622" s="38"/>
      <c r="S622" s="38"/>
      <c r="T622" s="38"/>
    </row>
    <row r="623" spans="1:20" ht="15.75">
      <c r="A623" s="13">
        <v>60114</v>
      </c>
      <c r="B623" s="46">
        <f t="shared" si="0"/>
        <v>31</v>
      </c>
      <c r="C623" s="37">
        <v>194.20500000000001</v>
      </c>
      <c r="D623" s="37">
        <v>267.46600000000001</v>
      </c>
      <c r="E623" s="43">
        <v>812.32899999999995</v>
      </c>
      <c r="F623" s="37">
        <v>1274</v>
      </c>
      <c r="G623" s="37">
        <v>50</v>
      </c>
      <c r="H623" s="45">
        <v>600</v>
      </c>
      <c r="I623" s="37">
        <v>695</v>
      </c>
      <c r="J623" s="37">
        <v>0</v>
      </c>
      <c r="K623" s="38"/>
      <c r="L623" s="38"/>
      <c r="M623" s="38"/>
      <c r="N623" s="38"/>
      <c r="O623" s="38"/>
      <c r="P623" s="38"/>
      <c r="Q623" s="38"/>
      <c r="R623" s="38"/>
      <c r="S623" s="38"/>
      <c r="T623" s="38"/>
    </row>
    <row r="624" spans="1:20" ht="15.75">
      <c r="A624" s="13">
        <v>60145</v>
      </c>
      <c r="B624" s="46">
        <f t="shared" si="0"/>
        <v>31</v>
      </c>
      <c r="C624" s="37">
        <v>194.20500000000001</v>
      </c>
      <c r="D624" s="37">
        <v>267.46600000000001</v>
      </c>
      <c r="E624" s="43">
        <v>812.32899999999995</v>
      </c>
      <c r="F624" s="37">
        <v>1274</v>
      </c>
      <c r="G624" s="37">
        <v>50</v>
      </c>
      <c r="H624" s="45">
        <v>600</v>
      </c>
      <c r="I624" s="37">
        <v>695</v>
      </c>
      <c r="J624" s="37">
        <v>0</v>
      </c>
      <c r="K624" s="38"/>
      <c r="L624" s="38"/>
      <c r="M624" s="38"/>
      <c r="N624" s="38"/>
      <c r="O624" s="38"/>
      <c r="P624" s="38"/>
      <c r="Q624" s="38"/>
      <c r="R624" s="38"/>
      <c r="S624" s="38"/>
      <c r="T624" s="38"/>
    </row>
    <row r="625" spans="1:20" ht="15.75">
      <c r="A625" s="13">
        <v>60175</v>
      </c>
      <c r="B625" s="46">
        <f t="shared" si="0"/>
        <v>30</v>
      </c>
      <c r="C625" s="37">
        <v>194.20500000000001</v>
      </c>
      <c r="D625" s="37">
        <v>267.46600000000001</v>
      </c>
      <c r="E625" s="43">
        <v>812.32899999999995</v>
      </c>
      <c r="F625" s="37">
        <v>1274</v>
      </c>
      <c r="G625" s="37">
        <v>50</v>
      </c>
      <c r="H625" s="45">
        <v>600</v>
      </c>
      <c r="I625" s="37">
        <v>695</v>
      </c>
      <c r="J625" s="37">
        <v>0</v>
      </c>
      <c r="K625" s="38"/>
      <c r="L625" s="38"/>
      <c r="M625" s="38"/>
      <c r="N625" s="38"/>
      <c r="O625" s="38"/>
      <c r="P625" s="38"/>
      <c r="Q625" s="38"/>
      <c r="R625" s="38"/>
      <c r="S625" s="38"/>
      <c r="T625" s="38"/>
    </row>
    <row r="626" spans="1:20" ht="15.75">
      <c r="A626" s="13">
        <v>60206</v>
      </c>
      <c r="B626" s="46">
        <f t="shared" si="0"/>
        <v>31</v>
      </c>
      <c r="C626" s="37">
        <v>131.881</v>
      </c>
      <c r="D626" s="37">
        <v>277.16699999999997</v>
      </c>
      <c r="E626" s="43">
        <v>829.952</v>
      </c>
      <c r="F626" s="37">
        <v>1239</v>
      </c>
      <c r="G626" s="37">
        <v>75</v>
      </c>
      <c r="H626" s="45">
        <v>600</v>
      </c>
      <c r="I626" s="37">
        <v>695</v>
      </c>
      <c r="J626" s="37">
        <v>0</v>
      </c>
      <c r="K626" s="38"/>
      <c r="L626" s="38"/>
      <c r="M626" s="38"/>
      <c r="N626" s="38"/>
      <c r="O626" s="38"/>
      <c r="P626" s="38"/>
      <c r="Q626" s="38"/>
      <c r="R626" s="38"/>
      <c r="S626" s="38"/>
      <c r="T626" s="38"/>
    </row>
    <row r="627" spans="1:20" ht="15.75">
      <c r="A627" s="13">
        <v>60236</v>
      </c>
      <c r="B627" s="46">
        <f t="shared" si="0"/>
        <v>30</v>
      </c>
      <c r="C627" s="37">
        <v>122.58</v>
      </c>
      <c r="D627" s="37">
        <v>297.94099999999997</v>
      </c>
      <c r="E627" s="43">
        <v>729.47900000000004</v>
      </c>
      <c r="F627" s="37">
        <v>1150</v>
      </c>
      <c r="G627" s="37">
        <v>100</v>
      </c>
      <c r="H627" s="45">
        <v>600</v>
      </c>
      <c r="I627" s="37">
        <v>695</v>
      </c>
      <c r="J627" s="37">
        <v>50</v>
      </c>
      <c r="K627" s="38"/>
      <c r="L627" s="38"/>
      <c r="M627" s="38"/>
      <c r="N627" s="38"/>
      <c r="O627" s="38"/>
      <c r="P627" s="38"/>
      <c r="Q627" s="38"/>
      <c r="R627" s="38"/>
      <c r="S627" s="38"/>
      <c r="T627" s="38"/>
    </row>
    <row r="628" spans="1:20" ht="15.75">
      <c r="A628" s="13">
        <v>60267</v>
      </c>
      <c r="B628" s="46">
        <f t="shared" si="0"/>
        <v>31</v>
      </c>
      <c r="C628" s="37">
        <v>122.58</v>
      </c>
      <c r="D628" s="37">
        <v>297.94099999999997</v>
      </c>
      <c r="E628" s="43">
        <v>729.47900000000004</v>
      </c>
      <c r="F628" s="37">
        <v>1150</v>
      </c>
      <c r="G628" s="37">
        <v>100</v>
      </c>
      <c r="H628" s="45">
        <v>600</v>
      </c>
      <c r="I628" s="37">
        <v>695</v>
      </c>
      <c r="J628" s="37">
        <v>50</v>
      </c>
      <c r="K628" s="38"/>
      <c r="L628" s="38"/>
      <c r="M628" s="38"/>
      <c r="N628" s="38"/>
      <c r="O628" s="38"/>
      <c r="P628" s="38"/>
      <c r="Q628" s="38"/>
      <c r="R628" s="38"/>
      <c r="S628" s="38"/>
      <c r="T628" s="38"/>
    </row>
    <row r="629" spans="1:20" ht="15.75">
      <c r="A629" s="13">
        <v>60298</v>
      </c>
      <c r="B629" s="46">
        <f t="shared" si="0"/>
        <v>31</v>
      </c>
      <c r="C629" s="37">
        <v>122.58</v>
      </c>
      <c r="D629" s="37">
        <v>297.94099999999997</v>
      </c>
      <c r="E629" s="43">
        <v>729.47900000000004</v>
      </c>
      <c r="F629" s="37">
        <v>1150</v>
      </c>
      <c r="G629" s="37">
        <v>100</v>
      </c>
      <c r="H629" s="45">
        <v>600</v>
      </c>
      <c r="I629" s="37">
        <v>695</v>
      </c>
      <c r="J629" s="37">
        <v>50</v>
      </c>
      <c r="K629" s="38"/>
      <c r="L629" s="38"/>
      <c r="M629" s="38"/>
      <c r="N629" s="38"/>
      <c r="O629" s="38"/>
      <c r="P629" s="38"/>
      <c r="Q629" s="38"/>
      <c r="R629" s="38"/>
      <c r="S629" s="38"/>
      <c r="T629" s="38"/>
    </row>
    <row r="630" spans="1:20" ht="15.75">
      <c r="A630" s="13">
        <v>60326</v>
      </c>
      <c r="B630" s="46">
        <f t="shared" si="0"/>
        <v>28</v>
      </c>
      <c r="C630" s="37">
        <v>122.58</v>
      </c>
      <c r="D630" s="37">
        <v>297.94099999999997</v>
      </c>
      <c r="E630" s="43">
        <v>729.47900000000004</v>
      </c>
      <c r="F630" s="37">
        <v>1150</v>
      </c>
      <c r="G630" s="37">
        <v>100</v>
      </c>
      <c r="H630" s="45">
        <v>600</v>
      </c>
      <c r="I630" s="37">
        <v>695</v>
      </c>
      <c r="J630" s="37">
        <v>50</v>
      </c>
      <c r="K630" s="38"/>
      <c r="L630" s="38"/>
      <c r="M630" s="38"/>
      <c r="N630" s="38"/>
      <c r="O630" s="38"/>
      <c r="P630" s="38"/>
      <c r="Q630" s="38"/>
      <c r="R630" s="38"/>
      <c r="S630" s="38"/>
      <c r="T630" s="38"/>
    </row>
    <row r="631" spans="1:20" ht="15.75">
      <c r="A631" s="13">
        <v>60357</v>
      </c>
      <c r="B631" s="46">
        <f t="shared" si="0"/>
        <v>31</v>
      </c>
      <c r="C631" s="37">
        <v>122.58</v>
      </c>
      <c r="D631" s="37">
        <v>297.94099999999997</v>
      </c>
      <c r="E631" s="43">
        <v>729.47900000000004</v>
      </c>
      <c r="F631" s="37">
        <v>1150</v>
      </c>
      <c r="G631" s="37">
        <v>100</v>
      </c>
      <c r="H631" s="45">
        <v>600</v>
      </c>
      <c r="I631" s="37">
        <v>695</v>
      </c>
      <c r="J631" s="37">
        <v>50</v>
      </c>
      <c r="K631" s="38"/>
      <c r="L631" s="38"/>
      <c r="M631" s="38"/>
      <c r="N631" s="38"/>
      <c r="O631" s="38"/>
      <c r="P631" s="38"/>
      <c r="Q631" s="38"/>
      <c r="R631" s="38"/>
      <c r="S631" s="38"/>
      <c r="T631" s="38"/>
    </row>
    <row r="632" spans="1:20" ht="15.75">
      <c r="A632" s="13">
        <v>60387</v>
      </c>
      <c r="B632" s="46">
        <f t="shared" si="0"/>
        <v>30</v>
      </c>
      <c r="C632" s="37">
        <v>141.29300000000001</v>
      </c>
      <c r="D632" s="37">
        <v>267.99299999999999</v>
      </c>
      <c r="E632" s="43">
        <v>829.71400000000006</v>
      </c>
      <c r="F632" s="37">
        <v>1239</v>
      </c>
      <c r="G632" s="37">
        <v>100</v>
      </c>
      <c r="H632" s="45">
        <v>600</v>
      </c>
      <c r="I632" s="37">
        <v>695</v>
      </c>
      <c r="J632" s="37">
        <v>50</v>
      </c>
      <c r="K632" s="38"/>
      <c r="L632" s="38"/>
      <c r="M632" s="38"/>
      <c r="N632" s="38"/>
      <c r="O632" s="38"/>
      <c r="P632" s="38"/>
      <c r="Q632" s="38"/>
      <c r="R632" s="38"/>
      <c r="S632" s="38"/>
      <c r="T632" s="38"/>
    </row>
    <row r="633" spans="1:20" ht="15.75">
      <c r="A633" s="13">
        <v>60418</v>
      </c>
      <c r="B633" s="46">
        <f t="shared" si="0"/>
        <v>31</v>
      </c>
      <c r="C633" s="37">
        <v>194.20500000000001</v>
      </c>
      <c r="D633" s="37">
        <v>267.46600000000001</v>
      </c>
      <c r="E633" s="43">
        <v>812.32899999999995</v>
      </c>
      <c r="F633" s="37">
        <v>1274</v>
      </c>
      <c r="G633" s="37">
        <v>75</v>
      </c>
      <c r="H633" s="45">
        <v>600</v>
      </c>
      <c r="I633" s="37">
        <v>695</v>
      </c>
      <c r="J633" s="37">
        <v>50</v>
      </c>
      <c r="K633" s="38"/>
      <c r="L633" s="38"/>
      <c r="M633" s="38"/>
      <c r="N633" s="38"/>
      <c r="O633" s="38"/>
      <c r="P633" s="38"/>
      <c r="Q633" s="38"/>
      <c r="R633" s="38"/>
      <c r="S633" s="38"/>
      <c r="T633" s="38"/>
    </row>
    <row r="634" spans="1:20" ht="15.75">
      <c r="A634" s="13">
        <v>60448</v>
      </c>
      <c r="B634" s="46">
        <f t="shared" si="0"/>
        <v>30</v>
      </c>
      <c r="C634" s="37">
        <v>194.20500000000001</v>
      </c>
      <c r="D634" s="37">
        <v>267.46600000000001</v>
      </c>
      <c r="E634" s="43">
        <v>812.32899999999995</v>
      </c>
      <c r="F634" s="37">
        <v>1274</v>
      </c>
      <c r="G634" s="37">
        <v>50</v>
      </c>
      <c r="H634" s="45">
        <v>600</v>
      </c>
      <c r="I634" s="37">
        <v>695</v>
      </c>
      <c r="J634" s="37">
        <v>50</v>
      </c>
      <c r="K634" s="38"/>
      <c r="L634" s="38"/>
      <c r="M634" s="38"/>
      <c r="N634" s="38"/>
      <c r="O634" s="38"/>
      <c r="P634" s="38"/>
      <c r="Q634" s="38"/>
      <c r="R634" s="38"/>
      <c r="S634" s="38"/>
      <c r="T634" s="38"/>
    </row>
    <row r="635" spans="1:20" ht="15.75">
      <c r="A635" s="13">
        <v>60479</v>
      </c>
      <c r="B635" s="46">
        <f t="shared" si="0"/>
        <v>31</v>
      </c>
      <c r="C635" s="37">
        <v>194.20500000000001</v>
      </c>
      <c r="D635" s="37">
        <v>267.46600000000001</v>
      </c>
      <c r="E635" s="43">
        <v>812.32899999999995</v>
      </c>
      <c r="F635" s="37">
        <v>1274</v>
      </c>
      <c r="G635" s="37">
        <v>50</v>
      </c>
      <c r="H635" s="45">
        <v>600</v>
      </c>
      <c r="I635" s="37">
        <v>695</v>
      </c>
      <c r="J635" s="37">
        <v>0</v>
      </c>
      <c r="K635" s="38"/>
      <c r="L635" s="38"/>
      <c r="M635" s="38"/>
      <c r="N635" s="38"/>
      <c r="O635" s="38"/>
      <c r="P635" s="38"/>
      <c r="Q635" s="38"/>
      <c r="R635" s="38"/>
      <c r="S635" s="38"/>
      <c r="T635" s="38"/>
    </row>
    <row r="636" spans="1:20" ht="15.75">
      <c r="A636" s="13">
        <v>60510</v>
      </c>
      <c r="B636" s="46">
        <f t="shared" si="0"/>
        <v>31</v>
      </c>
      <c r="C636" s="37">
        <v>194.20500000000001</v>
      </c>
      <c r="D636" s="37">
        <v>267.46600000000001</v>
      </c>
      <c r="E636" s="43">
        <v>812.32899999999995</v>
      </c>
      <c r="F636" s="37">
        <v>1274</v>
      </c>
      <c r="G636" s="37">
        <v>50</v>
      </c>
      <c r="H636" s="45">
        <v>600</v>
      </c>
      <c r="I636" s="37">
        <v>695</v>
      </c>
      <c r="J636" s="37">
        <v>0</v>
      </c>
      <c r="K636" s="38"/>
      <c r="L636" s="38"/>
      <c r="M636" s="38"/>
      <c r="N636" s="38"/>
      <c r="O636" s="38"/>
      <c r="P636" s="38"/>
      <c r="Q636" s="38"/>
      <c r="R636" s="38"/>
      <c r="S636" s="38"/>
      <c r="T636" s="38"/>
    </row>
    <row r="637" spans="1:20" ht="15.75">
      <c r="A637" s="13">
        <v>60540</v>
      </c>
      <c r="B637" s="46">
        <f t="shared" si="0"/>
        <v>30</v>
      </c>
      <c r="C637" s="37">
        <v>194.20500000000001</v>
      </c>
      <c r="D637" s="37">
        <v>267.46600000000001</v>
      </c>
      <c r="E637" s="43">
        <v>812.32899999999995</v>
      </c>
      <c r="F637" s="37">
        <v>1274</v>
      </c>
      <c r="G637" s="37">
        <v>50</v>
      </c>
      <c r="H637" s="45">
        <v>600</v>
      </c>
      <c r="I637" s="37">
        <v>695</v>
      </c>
      <c r="J637" s="37">
        <v>0</v>
      </c>
      <c r="K637" s="38"/>
      <c r="L637" s="38"/>
      <c r="M637" s="38"/>
      <c r="N637" s="38"/>
      <c r="O637" s="38"/>
      <c r="P637" s="38"/>
      <c r="Q637" s="38"/>
      <c r="R637" s="38"/>
      <c r="S637" s="38"/>
      <c r="T637" s="38"/>
    </row>
    <row r="638" spans="1:20" ht="15.75">
      <c r="A638" s="13">
        <v>60571</v>
      </c>
      <c r="B638" s="46">
        <f t="shared" si="0"/>
        <v>31</v>
      </c>
      <c r="C638" s="37">
        <v>131.881</v>
      </c>
      <c r="D638" s="37">
        <v>277.16699999999997</v>
      </c>
      <c r="E638" s="43">
        <v>829.952</v>
      </c>
      <c r="F638" s="37">
        <v>1239</v>
      </c>
      <c r="G638" s="37">
        <v>75</v>
      </c>
      <c r="H638" s="45">
        <v>600</v>
      </c>
      <c r="I638" s="37">
        <v>695</v>
      </c>
      <c r="J638" s="37">
        <v>0</v>
      </c>
      <c r="K638" s="38"/>
      <c r="L638" s="38"/>
      <c r="M638" s="38"/>
      <c r="N638" s="38"/>
      <c r="O638" s="38"/>
      <c r="P638" s="38"/>
      <c r="Q638" s="38"/>
      <c r="R638" s="38"/>
      <c r="S638" s="38"/>
      <c r="T638" s="38"/>
    </row>
    <row r="639" spans="1:20" ht="15.75">
      <c r="A639" s="13">
        <v>60601</v>
      </c>
      <c r="B639" s="46">
        <f t="shared" si="0"/>
        <v>30</v>
      </c>
      <c r="C639" s="37">
        <v>122.58</v>
      </c>
      <c r="D639" s="37">
        <v>297.94099999999997</v>
      </c>
      <c r="E639" s="43">
        <v>729.47900000000004</v>
      </c>
      <c r="F639" s="37">
        <v>1150</v>
      </c>
      <c r="G639" s="37">
        <v>100</v>
      </c>
      <c r="H639" s="45">
        <v>600</v>
      </c>
      <c r="I639" s="37">
        <v>695</v>
      </c>
      <c r="J639" s="37">
        <v>50</v>
      </c>
      <c r="K639" s="38"/>
      <c r="L639" s="38"/>
      <c r="M639" s="38"/>
      <c r="N639" s="38"/>
      <c r="O639" s="38"/>
      <c r="P639" s="38"/>
      <c r="Q639" s="38"/>
      <c r="R639" s="38"/>
      <c r="S639" s="38"/>
      <c r="T639" s="38"/>
    </row>
    <row r="640" spans="1:20" ht="15.75">
      <c r="A640" s="13">
        <v>60632</v>
      </c>
      <c r="B640" s="46">
        <f t="shared" si="0"/>
        <v>31</v>
      </c>
      <c r="C640" s="37">
        <v>122.58</v>
      </c>
      <c r="D640" s="37">
        <v>297.94099999999997</v>
      </c>
      <c r="E640" s="43">
        <v>729.47900000000004</v>
      </c>
      <c r="F640" s="37">
        <v>1150</v>
      </c>
      <c r="G640" s="37">
        <v>100</v>
      </c>
      <c r="H640" s="45">
        <v>600</v>
      </c>
      <c r="I640" s="37">
        <v>695</v>
      </c>
      <c r="J640" s="37">
        <v>50</v>
      </c>
      <c r="K640" s="38"/>
      <c r="L640" s="38"/>
      <c r="M640" s="38"/>
      <c r="N640" s="38"/>
      <c r="O640" s="38"/>
      <c r="P640" s="38"/>
      <c r="Q640" s="38"/>
      <c r="R640" s="38"/>
      <c r="S640" s="38"/>
      <c r="T640" s="38"/>
    </row>
    <row r="641" spans="1:20" ht="15.75">
      <c r="A641" s="13">
        <v>60663</v>
      </c>
      <c r="B641" s="46">
        <f t="shared" si="0"/>
        <v>31</v>
      </c>
      <c r="C641" s="37">
        <v>122.58</v>
      </c>
      <c r="D641" s="37">
        <v>297.94099999999997</v>
      </c>
      <c r="E641" s="43">
        <v>729.47900000000004</v>
      </c>
      <c r="F641" s="37">
        <v>1150</v>
      </c>
      <c r="G641" s="37">
        <v>100</v>
      </c>
      <c r="H641" s="45">
        <v>600</v>
      </c>
      <c r="I641" s="37">
        <v>695</v>
      </c>
      <c r="J641" s="37">
        <v>50</v>
      </c>
      <c r="K641" s="38"/>
      <c r="L641" s="38"/>
      <c r="M641" s="38"/>
      <c r="N641" s="38"/>
      <c r="O641" s="38"/>
      <c r="P641" s="38"/>
      <c r="Q641" s="38"/>
      <c r="R641" s="38"/>
      <c r="S641" s="38"/>
      <c r="T641" s="38"/>
    </row>
    <row r="642" spans="1:20" ht="15.75">
      <c r="A642" s="13">
        <v>60691</v>
      </c>
      <c r="B642" s="46">
        <f t="shared" si="0"/>
        <v>28</v>
      </c>
      <c r="C642" s="37">
        <v>122.58</v>
      </c>
      <c r="D642" s="37">
        <v>297.94099999999997</v>
      </c>
      <c r="E642" s="43">
        <v>729.47900000000004</v>
      </c>
      <c r="F642" s="37">
        <v>1150</v>
      </c>
      <c r="G642" s="37">
        <v>100</v>
      </c>
      <c r="H642" s="45">
        <v>600</v>
      </c>
      <c r="I642" s="37">
        <v>695</v>
      </c>
      <c r="J642" s="37">
        <v>50</v>
      </c>
      <c r="K642" s="38"/>
      <c r="L642" s="38"/>
      <c r="M642" s="38"/>
      <c r="N642" s="38"/>
      <c r="O642" s="38"/>
      <c r="P642" s="38"/>
      <c r="Q642" s="38"/>
      <c r="R642" s="38"/>
      <c r="S642" s="38"/>
      <c r="T642" s="38"/>
    </row>
    <row r="643" spans="1:20" ht="15.75">
      <c r="A643" s="13">
        <v>60722</v>
      </c>
      <c r="B643" s="46">
        <f t="shared" si="0"/>
        <v>31</v>
      </c>
      <c r="C643" s="37">
        <v>122.58</v>
      </c>
      <c r="D643" s="37">
        <v>297.94099999999997</v>
      </c>
      <c r="E643" s="43">
        <v>729.47900000000004</v>
      </c>
      <c r="F643" s="37">
        <v>1150</v>
      </c>
      <c r="G643" s="37">
        <v>100</v>
      </c>
      <c r="H643" s="45">
        <v>600</v>
      </c>
      <c r="I643" s="37">
        <v>695</v>
      </c>
      <c r="J643" s="37">
        <v>50</v>
      </c>
      <c r="K643" s="38"/>
      <c r="L643" s="38"/>
      <c r="M643" s="38"/>
      <c r="N643" s="38"/>
      <c r="O643" s="38"/>
      <c r="P643" s="38"/>
      <c r="Q643" s="38"/>
      <c r="R643" s="38"/>
      <c r="S643" s="38"/>
      <c r="T643" s="38"/>
    </row>
    <row r="644" spans="1:20" ht="15.75">
      <c r="A644" s="13">
        <v>60752</v>
      </c>
      <c r="B644" s="46">
        <f t="shared" si="0"/>
        <v>30</v>
      </c>
      <c r="C644" s="37">
        <v>141.29300000000001</v>
      </c>
      <c r="D644" s="37">
        <v>267.99299999999999</v>
      </c>
      <c r="E644" s="43">
        <v>829.71400000000006</v>
      </c>
      <c r="F644" s="37">
        <v>1239</v>
      </c>
      <c r="G644" s="37">
        <v>100</v>
      </c>
      <c r="H644" s="45">
        <v>600</v>
      </c>
      <c r="I644" s="37">
        <v>695</v>
      </c>
      <c r="J644" s="37">
        <v>50</v>
      </c>
      <c r="K644" s="38"/>
      <c r="L644" s="38"/>
      <c r="M644" s="38"/>
      <c r="N644" s="38"/>
      <c r="O644" s="38"/>
      <c r="P644" s="38"/>
      <c r="Q644" s="38"/>
      <c r="R644" s="38"/>
      <c r="S644" s="38"/>
      <c r="T644" s="38"/>
    </row>
    <row r="645" spans="1:20" ht="15.75">
      <c r="A645" s="13">
        <v>60783</v>
      </c>
      <c r="B645" s="46">
        <f t="shared" si="0"/>
        <v>31</v>
      </c>
      <c r="C645" s="37">
        <v>194.20500000000001</v>
      </c>
      <c r="D645" s="37">
        <v>267.46600000000001</v>
      </c>
      <c r="E645" s="43">
        <v>812.32899999999995</v>
      </c>
      <c r="F645" s="37">
        <v>1274</v>
      </c>
      <c r="G645" s="37">
        <v>75</v>
      </c>
      <c r="H645" s="45">
        <v>600</v>
      </c>
      <c r="I645" s="37">
        <v>695</v>
      </c>
      <c r="J645" s="37">
        <v>50</v>
      </c>
      <c r="K645" s="38"/>
      <c r="L645" s="38"/>
      <c r="M645" s="38"/>
      <c r="N645" s="38"/>
      <c r="O645" s="38"/>
      <c r="P645" s="38"/>
      <c r="Q645" s="38"/>
      <c r="R645" s="38"/>
      <c r="S645" s="38"/>
      <c r="T645" s="38"/>
    </row>
    <row r="646" spans="1:20" ht="15.75">
      <c r="A646" s="13">
        <v>60813</v>
      </c>
      <c r="B646" s="46">
        <f t="shared" si="0"/>
        <v>30</v>
      </c>
      <c r="C646" s="37">
        <v>194.20500000000001</v>
      </c>
      <c r="D646" s="37">
        <v>267.46600000000001</v>
      </c>
      <c r="E646" s="43">
        <v>812.32899999999995</v>
      </c>
      <c r="F646" s="37">
        <v>1274</v>
      </c>
      <c r="G646" s="37">
        <v>50</v>
      </c>
      <c r="H646" s="45">
        <v>600</v>
      </c>
      <c r="I646" s="37">
        <v>695</v>
      </c>
      <c r="J646" s="37">
        <v>50</v>
      </c>
      <c r="K646" s="38"/>
      <c r="L646" s="38"/>
      <c r="M646" s="38"/>
      <c r="N646" s="38"/>
      <c r="O646" s="38"/>
      <c r="P646" s="38"/>
      <c r="Q646" s="38"/>
      <c r="R646" s="38"/>
      <c r="S646" s="38"/>
      <c r="T646" s="38"/>
    </row>
    <row r="647" spans="1:20" ht="15.75">
      <c r="A647" s="13">
        <v>60844</v>
      </c>
      <c r="B647" s="46">
        <f t="shared" si="0"/>
        <v>31</v>
      </c>
      <c r="C647" s="37">
        <v>194.20500000000001</v>
      </c>
      <c r="D647" s="37">
        <v>267.46600000000001</v>
      </c>
      <c r="E647" s="43">
        <v>812.32899999999995</v>
      </c>
      <c r="F647" s="37">
        <v>1274</v>
      </c>
      <c r="G647" s="37">
        <v>50</v>
      </c>
      <c r="H647" s="45">
        <v>600</v>
      </c>
      <c r="I647" s="37">
        <v>695</v>
      </c>
      <c r="J647" s="37">
        <v>0</v>
      </c>
      <c r="K647" s="38"/>
      <c r="L647" s="38"/>
      <c r="M647" s="38"/>
      <c r="N647" s="38"/>
      <c r="O647" s="38"/>
      <c r="P647" s="38"/>
      <c r="Q647" s="38"/>
      <c r="R647" s="38"/>
      <c r="S647" s="38"/>
      <c r="T647" s="38"/>
    </row>
    <row r="648" spans="1:20" ht="15.75">
      <c r="A648" s="13">
        <v>60875</v>
      </c>
      <c r="B648" s="46">
        <f t="shared" si="0"/>
        <v>31</v>
      </c>
      <c r="C648" s="37">
        <v>194.20500000000001</v>
      </c>
      <c r="D648" s="37">
        <v>267.46600000000001</v>
      </c>
      <c r="E648" s="43">
        <v>812.32899999999995</v>
      </c>
      <c r="F648" s="37">
        <v>1274</v>
      </c>
      <c r="G648" s="37">
        <v>50</v>
      </c>
      <c r="H648" s="45">
        <v>600</v>
      </c>
      <c r="I648" s="37">
        <v>695</v>
      </c>
      <c r="J648" s="37">
        <v>0</v>
      </c>
      <c r="K648" s="38"/>
      <c r="L648" s="38"/>
      <c r="M648" s="38"/>
      <c r="N648" s="38"/>
      <c r="O648" s="38"/>
      <c r="P648" s="38"/>
      <c r="Q648" s="38"/>
      <c r="R648" s="38"/>
      <c r="S648" s="38"/>
      <c r="T648" s="38"/>
    </row>
    <row r="649" spans="1:20" ht="15.75">
      <c r="A649" s="13">
        <v>60905</v>
      </c>
      <c r="B649" s="46">
        <f t="shared" si="0"/>
        <v>30</v>
      </c>
      <c r="C649" s="37">
        <v>194.20500000000001</v>
      </c>
      <c r="D649" s="37">
        <v>267.46600000000001</v>
      </c>
      <c r="E649" s="43">
        <v>812.32899999999995</v>
      </c>
      <c r="F649" s="37">
        <v>1274</v>
      </c>
      <c r="G649" s="37">
        <v>50</v>
      </c>
      <c r="H649" s="45">
        <v>600</v>
      </c>
      <c r="I649" s="37">
        <v>695</v>
      </c>
      <c r="J649" s="37">
        <v>0</v>
      </c>
      <c r="K649" s="38"/>
      <c r="L649" s="38"/>
      <c r="M649" s="38"/>
      <c r="N649" s="38"/>
      <c r="O649" s="38"/>
      <c r="P649" s="38"/>
      <c r="Q649" s="38"/>
      <c r="R649" s="38"/>
      <c r="S649" s="38"/>
      <c r="T649" s="38"/>
    </row>
    <row r="650" spans="1:20" ht="15.75">
      <c r="A650" s="13">
        <v>60936</v>
      </c>
      <c r="B650" s="46">
        <f t="shared" si="0"/>
        <v>31</v>
      </c>
      <c r="C650" s="37">
        <v>131.881</v>
      </c>
      <c r="D650" s="37">
        <v>277.16699999999997</v>
      </c>
      <c r="E650" s="43">
        <v>829.952</v>
      </c>
      <c r="F650" s="37">
        <v>1239</v>
      </c>
      <c r="G650" s="37">
        <v>75</v>
      </c>
      <c r="H650" s="45">
        <v>600</v>
      </c>
      <c r="I650" s="37">
        <v>695</v>
      </c>
      <c r="J650" s="37">
        <v>0</v>
      </c>
      <c r="K650" s="38"/>
      <c r="L650" s="38"/>
      <c r="M650" s="38"/>
      <c r="N650" s="38"/>
      <c r="O650" s="38"/>
      <c r="P650" s="38"/>
      <c r="Q650" s="38"/>
      <c r="R650" s="38"/>
      <c r="S650" s="38"/>
      <c r="T650" s="38"/>
    </row>
    <row r="651" spans="1:20" ht="15.75">
      <c r="A651" s="13">
        <v>60966</v>
      </c>
      <c r="B651" s="46">
        <f t="shared" si="0"/>
        <v>30</v>
      </c>
      <c r="C651" s="37">
        <v>122.58</v>
      </c>
      <c r="D651" s="37">
        <v>297.94099999999997</v>
      </c>
      <c r="E651" s="43">
        <v>729.47900000000004</v>
      </c>
      <c r="F651" s="37">
        <v>1150</v>
      </c>
      <c r="G651" s="37">
        <v>100</v>
      </c>
      <c r="H651" s="45">
        <v>600</v>
      </c>
      <c r="I651" s="37">
        <v>695</v>
      </c>
      <c r="J651" s="37">
        <v>50</v>
      </c>
      <c r="K651" s="38"/>
      <c r="L651" s="38"/>
      <c r="M651" s="38"/>
      <c r="N651" s="38"/>
      <c r="O651" s="38"/>
      <c r="P651" s="38"/>
      <c r="Q651" s="38"/>
      <c r="R651" s="38"/>
      <c r="S651" s="38"/>
      <c r="T651" s="38"/>
    </row>
    <row r="652" spans="1:20" ht="15.75">
      <c r="A652" s="13">
        <v>60997</v>
      </c>
      <c r="B652" s="46">
        <f t="shared" si="0"/>
        <v>31</v>
      </c>
      <c r="C652" s="37">
        <v>122.58</v>
      </c>
      <c r="D652" s="37">
        <v>297.94099999999997</v>
      </c>
      <c r="E652" s="43">
        <v>729.47900000000004</v>
      </c>
      <c r="F652" s="37">
        <v>1150</v>
      </c>
      <c r="G652" s="37">
        <v>100</v>
      </c>
      <c r="H652" s="45">
        <v>600</v>
      </c>
      <c r="I652" s="37">
        <v>695</v>
      </c>
      <c r="J652" s="37">
        <v>50</v>
      </c>
      <c r="K652" s="38"/>
      <c r="L652" s="38"/>
      <c r="M652" s="38"/>
      <c r="N652" s="38"/>
      <c r="O652" s="38"/>
      <c r="P652" s="38"/>
      <c r="Q652" s="38"/>
      <c r="R652" s="38"/>
      <c r="S652" s="38"/>
      <c r="T652" s="38"/>
    </row>
    <row r="653" spans="1:20" ht="15.75">
      <c r="A653" s="13">
        <v>61028</v>
      </c>
      <c r="B653" s="46">
        <f t="shared" si="0"/>
        <v>31</v>
      </c>
      <c r="C653" s="37">
        <v>122.58</v>
      </c>
      <c r="D653" s="37">
        <v>297.94099999999997</v>
      </c>
      <c r="E653" s="43">
        <v>729.47900000000004</v>
      </c>
      <c r="F653" s="37">
        <v>1150</v>
      </c>
      <c r="G653" s="37">
        <v>100</v>
      </c>
      <c r="H653" s="45">
        <v>600</v>
      </c>
      <c r="I653" s="37">
        <v>695</v>
      </c>
      <c r="J653" s="37">
        <v>50</v>
      </c>
      <c r="K653" s="38"/>
      <c r="L653" s="38"/>
      <c r="M653" s="38"/>
      <c r="N653" s="38"/>
      <c r="O653" s="38"/>
      <c r="P653" s="38"/>
      <c r="Q653" s="38"/>
      <c r="R653" s="38"/>
      <c r="S653" s="38"/>
      <c r="T653" s="38"/>
    </row>
    <row r="654" spans="1:20" ht="15.75">
      <c r="A654" s="13">
        <v>61056</v>
      </c>
      <c r="B654" s="46">
        <f t="shared" si="0"/>
        <v>28</v>
      </c>
      <c r="C654" s="37">
        <v>122.58</v>
      </c>
      <c r="D654" s="37">
        <v>297.94099999999997</v>
      </c>
      <c r="E654" s="43">
        <v>729.47900000000004</v>
      </c>
      <c r="F654" s="37">
        <v>1150</v>
      </c>
      <c r="G654" s="37">
        <v>100</v>
      </c>
      <c r="H654" s="45">
        <v>600</v>
      </c>
      <c r="I654" s="37">
        <v>695</v>
      </c>
      <c r="J654" s="37">
        <v>50</v>
      </c>
      <c r="K654" s="38"/>
      <c r="L654" s="38"/>
      <c r="M654" s="38"/>
      <c r="N654" s="38"/>
      <c r="O654" s="38"/>
      <c r="P654" s="38"/>
      <c r="Q654" s="38"/>
      <c r="R654" s="38"/>
      <c r="S654" s="38"/>
      <c r="T654" s="38"/>
    </row>
    <row r="655" spans="1:20" ht="15.75">
      <c r="A655" s="13">
        <v>61087</v>
      </c>
      <c r="B655" s="46">
        <f t="shared" si="0"/>
        <v>31</v>
      </c>
      <c r="C655" s="37">
        <v>122.58</v>
      </c>
      <c r="D655" s="37">
        <v>297.94099999999997</v>
      </c>
      <c r="E655" s="43">
        <v>729.47900000000004</v>
      </c>
      <c r="F655" s="37">
        <v>1150</v>
      </c>
      <c r="G655" s="37">
        <v>100</v>
      </c>
      <c r="H655" s="45">
        <v>600</v>
      </c>
      <c r="I655" s="37">
        <v>695</v>
      </c>
      <c r="J655" s="37">
        <v>50</v>
      </c>
      <c r="K655" s="38"/>
      <c r="L655" s="38"/>
      <c r="M655" s="38"/>
      <c r="N655" s="38"/>
      <c r="O655" s="38"/>
      <c r="P655" s="38"/>
      <c r="Q655" s="38"/>
      <c r="R655" s="38"/>
      <c r="S655" s="38"/>
      <c r="T655" s="38"/>
    </row>
    <row r="656" spans="1:20" ht="15.75">
      <c r="A656" s="13">
        <v>61117</v>
      </c>
      <c r="B656" s="46">
        <f t="shared" si="0"/>
        <v>30</v>
      </c>
      <c r="C656" s="37">
        <v>141.29300000000001</v>
      </c>
      <c r="D656" s="37">
        <v>267.99299999999999</v>
      </c>
      <c r="E656" s="43">
        <v>829.71400000000006</v>
      </c>
      <c r="F656" s="37">
        <v>1239</v>
      </c>
      <c r="G656" s="37">
        <v>100</v>
      </c>
      <c r="H656" s="45">
        <v>600</v>
      </c>
      <c r="I656" s="37">
        <v>695</v>
      </c>
      <c r="J656" s="37">
        <v>50</v>
      </c>
      <c r="K656" s="38"/>
      <c r="L656" s="38"/>
      <c r="M656" s="38"/>
      <c r="N656" s="38"/>
      <c r="O656" s="38"/>
      <c r="P656" s="38"/>
      <c r="Q656" s="38"/>
      <c r="R656" s="38"/>
      <c r="S656" s="38"/>
      <c r="T656" s="38"/>
    </row>
    <row r="657" spans="1:20" ht="15.75">
      <c r="A657" s="13">
        <v>61148</v>
      </c>
      <c r="B657" s="46">
        <f t="shared" ref="B657:B720" si="1">EOMONTH(A657,0)-EOMONTH(A657,-1)</f>
        <v>31</v>
      </c>
      <c r="C657" s="37">
        <v>194.20500000000001</v>
      </c>
      <c r="D657" s="37">
        <v>267.46600000000001</v>
      </c>
      <c r="E657" s="43">
        <v>812.32899999999995</v>
      </c>
      <c r="F657" s="37">
        <v>1274</v>
      </c>
      <c r="G657" s="37">
        <v>75</v>
      </c>
      <c r="H657" s="45">
        <v>600</v>
      </c>
      <c r="I657" s="37">
        <v>695</v>
      </c>
      <c r="J657" s="37">
        <v>50</v>
      </c>
      <c r="K657" s="38"/>
      <c r="L657" s="38"/>
      <c r="M657" s="38"/>
      <c r="N657" s="38"/>
      <c r="O657" s="38"/>
      <c r="P657" s="38"/>
      <c r="Q657" s="38"/>
      <c r="R657" s="38"/>
      <c r="S657" s="38"/>
      <c r="T657" s="38"/>
    </row>
    <row r="658" spans="1:20" ht="15.75">
      <c r="A658" s="13">
        <v>61178</v>
      </c>
      <c r="B658" s="46">
        <f t="shared" si="1"/>
        <v>30</v>
      </c>
      <c r="C658" s="37">
        <v>194.20500000000001</v>
      </c>
      <c r="D658" s="37">
        <v>267.46600000000001</v>
      </c>
      <c r="E658" s="43">
        <v>812.32899999999995</v>
      </c>
      <c r="F658" s="37">
        <v>1274</v>
      </c>
      <c r="G658" s="37">
        <v>50</v>
      </c>
      <c r="H658" s="45">
        <v>600</v>
      </c>
      <c r="I658" s="37">
        <v>695</v>
      </c>
      <c r="J658" s="37">
        <v>50</v>
      </c>
      <c r="K658" s="38"/>
      <c r="L658" s="38"/>
      <c r="M658" s="38"/>
      <c r="N658" s="38"/>
      <c r="O658" s="38"/>
      <c r="P658" s="38"/>
      <c r="Q658" s="38"/>
      <c r="R658" s="38"/>
      <c r="S658" s="38"/>
      <c r="T658" s="38"/>
    </row>
    <row r="659" spans="1:20" ht="15.75">
      <c r="A659" s="13">
        <v>61209</v>
      </c>
      <c r="B659" s="46">
        <f t="shared" si="1"/>
        <v>31</v>
      </c>
      <c r="C659" s="37">
        <v>194.20500000000001</v>
      </c>
      <c r="D659" s="37">
        <v>267.46600000000001</v>
      </c>
      <c r="E659" s="43">
        <v>812.32899999999995</v>
      </c>
      <c r="F659" s="37">
        <v>1274</v>
      </c>
      <c r="G659" s="37">
        <v>50</v>
      </c>
      <c r="H659" s="45">
        <v>600</v>
      </c>
      <c r="I659" s="37">
        <v>695</v>
      </c>
      <c r="J659" s="37">
        <v>0</v>
      </c>
      <c r="K659" s="38"/>
      <c r="L659" s="38"/>
      <c r="M659" s="38"/>
      <c r="N659" s="38"/>
      <c r="O659" s="38"/>
      <c r="P659" s="38"/>
      <c r="Q659" s="38"/>
      <c r="R659" s="38"/>
      <c r="S659" s="38"/>
      <c r="T659" s="38"/>
    </row>
    <row r="660" spans="1:20" ht="15.75">
      <c r="A660" s="13">
        <v>61240</v>
      </c>
      <c r="B660" s="46">
        <f t="shared" si="1"/>
        <v>31</v>
      </c>
      <c r="C660" s="37">
        <v>194.20500000000001</v>
      </c>
      <c r="D660" s="37">
        <v>267.46600000000001</v>
      </c>
      <c r="E660" s="43">
        <v>812.32899999999995</v>
      </c>
      <c r="F660" s="37">
        <v>1274</v>
      </c>
      <c r="G660" s="37">
        <v>50</v>
      </c>
      <c r="H660" s="45">
        <v>600</v>
      </c>
      <c r="I660" s="37">
        <v>695</v>
      </c>
      <c r="J660" s="37">
        <v>0</v>
      </c>
      <c r="K660" s="38"/>
      <c r="L660" s="38"/>
      <c r="M660" s="38"/>
      <c r="N660" s="38"/>
      <c r="O660" s="38"/>
      <c r="P660" s="38"/>
      <c r="Q660" s="38"/>
      <c r="R660" s="38"/>
      <c r="S660" s="38"/>
      <c r="T660" s="38"/>
    </row>
    <row r="661" spans="1:20" ht="15.75">
      <c r="A661" s="13">
        <v>61270</v>
      </c>
      <c r="B661" s="46">
        <f t="shared" si="1"/>
        <v>30</v>
      </c>
      <c r="C661" s="37">
        <v>194.20500000000001</v>
      </c>
      <c r="D661" s="37">
        <v>267.46600000000001</v>
      </c>
      <c r="E661" s="43">
        <v>812.32899999999995</v>
      </c>
      <c r="F661" s="37">
        <v>1274</v>
      </c>
      <c r="G661" s="37">
        <v>50</v>
      </c>
      <c r="H661" s="45">
        <v>600</v>
      </c>
      <c r="I661" s="37">
        <v>695</v>
      </c>
      <c r="J661" s="37">
        <v>0</v>
      </c>
      <c r="K661" s="38"/>
      <c r="L661" s="38"/>
      <c r="M661" s="38"/>
      <c r="N661" s="38"/>
      <c r="O661" s="38"/>
      <c r="P661" s="38"/>
      <c r="Q661" s="38"/>
      <c r="R661" s="38"/>
      <c r="S661" s="38"/>
      <c r="T661" s="38"/>
    </row>
    <row r="662" spans="1:20" ht="15.75">
      <c r="A662" s="13">
        <v>61301</v>
      </c>
      <c r="B662" s="46">
        <f t="shared" si="1"/>
        <v>31</v>
      </c>
      <c r="C662" s="37">
        <v>131.881</v>
      </c>
      <c r="D662" s="37">
        <v>277.16699999999997</v>
      </c>
      <c r="E662" s="43">
        <v>829.952</v>
      </c>
      <c r="F662" s="37">
        <v>1239</v>
      </c>
      <c r="G662" s="37">
        <v>75</v>
      </c>
      <c r="H662" s="45">
        <v>600</v>
      </c>
      <c r="I662" s="37">
        <v>695</v>
      </c>
      <c r="J662" s="37">
        <v>0</v>
      </c>
      <c r="K662" s="38"/>
      <c r="L662" s="38"/>
      <c r="M662" s="38"/>
      <c r="N662" s="38"/>
      <c r="O662" s="38"/>
      <c r="P662" s="38"/>
      <c r="Q662" s="38"/>
      <c r="R662" s="38"/>
      <c r="S662" s="38"/>
      <c r="T662" s="38"/>
    </row>
    <row r="663" spans="1:20" ht="15.75">
      <c r="A663" s="13">
        <v>61331</v>
      </c>
      <c r="B663" s="46">
        <f t="shared" si="1"/>
        <v>30</v>
      </c>
      <c r="C663" s="37">
        <v>122.58</v>
      </c>
      <c r="D663" s="37">
        <v>297.94099999999997</v>
      </c>
      <c r="E663" s="43">
        <v>729.47900000000004</v>
      </c>
      <c r="F663" s="37">
        <v>1150</v>
      </c>
      <c r="G663" s="37">
        <v>100</v>
      </c>
      <c r="H663" s="45">
        <v>600</v>
      </c>
      <c r="I663" s="37">
        <v>695</v>
      </c>
      <c r="J663" s="37">
        <v>50</v>
      </c>
      <c r="K663" s="38"/>
      <c r="L663" s="38"/>
      <c r="M663" s="38"/>
      <c r="N663" s="38"/>
      <c r="O663" s="38"/>
      <c r="P663" s="38"/>
      <c r="Q663" s="38"/>
      <c r="R663" s="38"/>
      <c r="S663" s="38"/>
      <c r="T663" s="38"/>
    </row>
    <row r="664" spans="1:20" ht="15.75">
      <c r="A664" s="13">
        <v>61362</v>
      </c>
      <c r="B664" s="46">
        <f t="shared" si="1"/>
        <v>31</v>
      </c>
      <c r="C664" s="37">
        <v>122.58</v>
      </c>
      <c r="D664" s="37">
        <v>297.94099999999997</v>
      </c>
      <c r="E664" s="43">
        <v>729.47900000000004</v>
      </c>
      <c r="F664" s="37">
        <v>1150</v>
      </c>
      <c r="G664" s="37">
        <v>100</v>
      </c>
      <c r="H664" s="45">
        <v>600</v>
      </c>
      <c r="I664" s="37">
        <v>695</v>
      </c>
      <c r="J664" s="37">
        <v>50</v>
      </c>
      <c r="K664" s="38"/>
      <c r="L664" s="38"/>
      <c r="M664" s="38"/>
      <c r="N664" s="38"/>
      <c r="O664" s="38"/>
      <c r="P664" s="38"/>
      <c r="Q664" s="38"/>
      <c r="R664" s="38"/>
      <c r="S664" s="38"/>
      <c r="T664" s="38"/>
    </row>
    <row r="665" spans="1:20" ht="15.75">
      <c r="A665" s="13">
        <v>61393</v>
      </c>
      <c r="B665" s="46">
        <f t="shared" si="1"/>
        <v>31</v>
      </c>
      <c r="C665" s="37">
        <v>122.58</v>
      </c>
      <c r="D665" s="37">
        <v>297.94099999999997</v>
      </c>
      <c r="E665" s="43">
        <v>729.47900000000004</v>
      </c>
      <c r="F665" s="37">
        <v>1150</v>
      </c>
      <c r="G665" s="37">
        <v>100</v>
      </c>
      <c r="H665" s="45">
        <v>600</v>
      </c>
      <c r="I665" s="37">
        <v>695</v>
      </c>
      <c r="J665" s="37">
        <v>50</v>
      </c>
      <c r="K665" s="38"/>
      <c r="L665" s="38"/>
      <c r="M665" s="38"/>
      <c r="N665" s="38"/>
      <c r="O665" s="38"/>
      <c r="P665" s="38"/>
      <c r="Q665" s="38"/>
      <c r="R665" s="38"/>
      <c r="S665" s="38"/>
      <c r="T665" s="38"/>
    </row>
    <row r="666" spans="1:20" ht="15.75">
      <c r="A666" s="13">
        <v>61422</v>
      </c>
      <c r="B666" s="46">
        <f t="shared" si="1"/>
        <v>29</v>
      </c>
      <c r="C666" s="37">
        <v>122.58</v>
      </c>
      <c r="D666" s="37">
        <v>297.94099999999997</v>
      </c>
      <c r="E666" s="43">
        <v>729.47900000000004</v>
      </c>
      <c r="F666" s="37">
        <v>1150</v>
      </c>
      <c r="G666" s="37">
        <v>100</v>
      </c>
      <c r="H666" s="45">
        <v>600</v>
      </c>
      <c r="I666" s="37">
        <v>695</v>
      </c>
      <c r="J666" s="37">
        <v>50</v>
      </c>
      <c r="K666" s="38"/>
      <c r="L666" s="38"/>
      <c r="M666" s="38"/>
      <c r="N666" s="38"/>
      <c r="O666" s="38"/>
      <c r="P666" s="38"/>
      <c r="Q666" s="38"/>
      <c r="R666" s="38"/>
      <c r="S666" s="38"/>
      <c r="T666" s="38"/>
    </row>
    <row r="667" spans="1:20" ht="15.75">
      <c r="A667" s="13">
        <v>61453</v>
      </c>
      <c r="B667" s="46">
        <f t="shared" si="1"/>
        <v>31</v>
      </c>
      <c r="C667" s="37">
        <v>122.58</v>
      </c>
      <c r="D667" s="37">
        <v>297.94099999999997</v>
      </c>
      <c r="E667" s="43">
        <v>729.47900000000004</v>
      </c>
      <c r="F667" s="37">
        <v>1150</v>
      </c>
      <c r="G667" s="37">
        <v>100</v>
      </c>
      <c r="H667" s="45">
        <v>600</v>
      </c>
      <c r="I667" s="37">
        <v>695</v>
      </c>
      <c r="J667" s="37">
        <v>50</v>
      </c>
      <c r="K667" s="38"/>
      <c r="L667" s="38"/>
      <c r="M667" s="38"/>
      <c r="N667" s="38"/>
      <c r="O667" s="38"/>
      <c r="P667" s="38"/>
      <c r="Q667" s="38"/>
      <c r="R667" s="38"/>
      <c r="S667" s="38"/>
      <c r="T667" s="38"/>
    </row>
    <row r="668" spans="1:20" ht="15.75">
      <c r="A668" s="13">
        <v>61483</v>
      </c>
      <c r="B668" s="46">
        <f t="shared" si="1"/>
        <v>30</v>
      </c>
      <c r="C668" s="37">
        <v>141.29300000000001</v>
      </c>
      <c r="D668" s="37">
        <v>267.99299999999999</v>
      </c>
      <c r="E668" s="43">
        <v>829.71400000000006</v>
      </c>
      <c r="F668" s="37">
        <v>1239</v>
      </c>
      <c r="G668" s="37">
        <v>100</v>
      </c>
      <c r="H668" s="45">
        <v>600</v>
      </c>
      <c r="I668" s="37">
        <v>695</v>
      </c>
      <c r="J668" s="37">
        <v>50</v>
      </c>
      <c r="K668" s="38"/>
      <c r="L668" s="38"/>
      <c r="M668" s="38"/>
      <c r="N668" s="38"/>
      <c r="O668" s="38"/>
      <c r="P668" s="38"/>
      <c r="Q668" s="38"/>
      <c r="R668" s="38"/>
      <c r="S668" s="38"/>
      <c r="T668" s="38"/>
    </row>
    <row r="669" spans="1:20" ht="15.75">
      <c r="A669" s="13">
        <v>61514</v>
      </c>
      <c r="B669" s="46">
        <f t="shared" si="1"/>
        <v>31</v>
      </c>
      <c r="C669" s="37">
        <v>194.20500000000001</v>
      </c>
      <c r="D669" s="37">
        <v>267.46600000000001</v>
      </c>
      <c r="E669" s="43">
        <v>812.32899999999995</v>
      </c>
      <c r="F669" s="37">
        <v>1274</v>
      </c>
      <c r="G669" s="37">
        <v>75</v>
      </c>
      <c r="H669" s="45">
        <v>600</v>
      </c>
      <c r="I669" s="37">
        <v>695</v>
      </c>
      <c r="J669" s="37">
        <v>50</v>
      </c>
      <c r="K669" s="38"/>
      <c r="L669" s="38"/>
      <c r="M669" s="38"/>
      <c r="N669" s="38"/>
      <c r="O669" s="38"/>
      <c r="P669" s="38"/>
      <c r="Q669" s="38"/>
      <c r="R669" s="38"/>
      <c r="S669" s="38"/>
      <c r="T669" s="38"/>
    </row>
    <row r="670" spans="1:20" ht="15.75">
      <c r="A670" s="13">
        <v>61544</v>
      </c>
      <c r="B670" s="46">
        <f t="shared" si="1"/>
        <v>30</v>
      </c>
      <c r="C670" s="37">
        <v>194.20500000000001</v>
      </c>
      <c r="D670" s="37">
        <v>267.46600000000001</v>
      </c>
      <c r="E670" s="43">
        <v>812.32899999999995</v>
      </c>
      <c r="F670" s="37">
        <v>1274</v>
      </c>
      <c r="G670" s="37">
        <v>50</v>
      </c>
      <c r="H670" s="45">
        <v>600</v>
      </c>
      <c r="I670" s="37">
        <v>695</v>
      </c>
      <c r="J670" s="37">
        <v>50</v>
      </c>
      <c r="K670" s="38"/>
      <c r="L670" s="38"/>
      <c r="M670" s="38"/>
      <c r="N670" s="38"/>
      <c r="O670" s="38"/>
      <c r="P670" s="38"/>
      <c r="Q670" s="38"/>
      <c r="R670" s="38"/>
      <c r="S670" s="38"/>
      <c r="T670" s="38"/>
    </row>
    <row r="671" spans="1:20" ht="15.75">
      <c r="A671" s="13">
        <v>61575</v>
      </c>
      <c r="B671" s="46">
        <f t="shared" si="1"/>
        <v>31</v>
      </c>
      <c r="C671" s="37">
        <v>194.20500000000001</v>
      </c>
      <c r="D671" s="37">
        <v>267.46600000000001</v>
      </c>
      <c r="E671" s="43">
        <v>812.32899999999995</v>
      </c>
      <c r="F671" s="37">
        <v>1274</v>
      </c>
      <c r="G671" s="37">
        <v>50</v>
      </c>
      <c r="H671" s="45">
        <v>600</v>
      </c>
      <c r="I671" s="37">
        <v>695</v>
      </c>
      <c r="J671" s="37">
        <v>0</v>
      </c>
      <c r="K671" s="38"/>
      <c r="L671" s="38"/>
      <c r="M671" s="38"/>
      <c r="N671" s="38"/>
      <c r="O671" s="38"/>
      <c r="P671" s="38"/>
      <c r="Q671" s="38"/>
      <c r="R671" s="38"/>
      <c r="S671" s="38"/>
      <c r="T671" s="38"/>
    </row>
    <row r="672" spans="1:20" ht="15.75">
      <c r="A672" s="13">
        <v>61606</v>
      </c>
      <c r="B672" s="46">
        <f t="shared" si="1"/>
        <v>31</v>
      </c>
      <c r="C672" s="37">
        <v>194.20500000000001</v>
      </c>
      <c r="D672" s="37">
        <v>267.46600000000001</v>
      </c>
      <c r="E672" s="43">
        <v>812.32899999999995</v>
      </c>
      <c r="F672" s="37">
        <v>1274</v>
      </c>
      <c r="G672" s="37">
        <v>50</v>
      </c>
      <c r="H672" s="45">
        <v>600</v>
      </c>
      <c r="I672" s="37">
        <v>695</v>
      </c>
      <c r="J672" s="37">
        <v>0</v>
      </c>
      <c r="K672" s="38"/>
      <c r="L672" s="38"/>
      <c r="M672" s="38"/>
      <c r="N672" s="38"/>
      <c r="O672" s="38"/>
      <c r="P672" s="38"/>
      <c r="Q672" s="38"/>
      <c r="R672" s="38"/>
      <c r="S672" s="38"/>
      <c r="T672" s="38"/>
    </row>
    <row r="673" spans="1:20" ht="15.75">
      <c r="A673" s="13">
        <v>61636</v>
      </c>
      <c r="B673" s="46">
        <f t="shared" si="1"/>
        <v>30</v>
      </c>
      <c r="C673" s="37">
        <v>194.20500000000001</v>
      </c>
      <c r="D673" s="37">
        <v>267.46600000000001</v>
      </c>
      <c r="E673" s="43">
        <v>812.32899999999995</v>
      </c>
      <c r="F673" s="37">
        <v>1274</v>
      </c>
      <c r="G673" s="37">
        <v>50</v>
      </c>
      <c r="H673" s="45">
        <v>600</v>
      </c>
      <c r="I673" s="37">
        <v>695</v>
      </c>
      <c r="J673" s="37">
        <v>0</v>
      </c>
      <c r="K673" s="38"/>
      <c r="L673" s="38"/>
      <c r="M673" s="38"/>
      <c r="N673" s="38"/>
      <c r="O673" s="38"/>
      <c r="P673" s="38"/>
      <c r="Q673" s="38"/>
      <c r="R673" s="38"/>
      <c r="S673" s="38"/>
      <c r="T673" s="38"/>
    </row>
    <row r="674" spans="1:20" ht="15.75">
      <c r="A674" s="13">
        <v>61667</v>
      </c>
      <c r="B674" s="46">
        <f t="shared" si="1"/>
        <v>31</v>
      </c>
      <c r="C674" s="37">
        <v>131.881</v>
      </c>
      <c r="D674" s="37">
        <v>277.16699999999997</v>
      </c>
      <c r="E674" s="43">
        <v>829.952</v>
      </c>
      <c r="F674" s="37">
        <v>1239</v>
      </c>
      <c r="G674" s="37">
        <v>75</v>
      </c>
      <c r="H674" s="45">
        <v>600</v>
      </c>
      <c r="I674" s="37">
        <v>695</v>
      </c>
      <c r="J674" s="37">
        <v>0</v>
      </c>
      <c r="K674" s="38"/>
      <c r="L674" s="38"/>
      <c r="M674" s="38"/>
      <c r="N674" s="38"/>
      <c r="O674" s="38"/>
      <c r="P674" s="38"/>
      <c r="Q674" s="38"/>
      <c r="R674" s="38"/>
      <c r="S674" s="38"/>
      <c r="T674" s="38"/>
    </row>
    <row r="675" spans="1:20" ht="15.75">
      <c r="A675" s="13">
        <v>61697</v>
      </c>
      <c r="B675" s="46">
        <f t="shared" si="1"/>
        <v>30</v>
      </c>
      <c r="C675" s="37">
        <v>122.58</v>
      </c>
      <c r="D675" s="37">
        <v>297.94099999999997</v>
      </c>
      <c r="E675" s="43">
        <v>729.47900000000004</v>
      </c>
      <c r="F675" s="37">
        <v>1150</v>
      </c>
      <c r="G675" s="37">
        <v>100</v>
      </c>
      <c r="H675" s="45">
        <v>600</v>
      </c>
      <c r="I675" s="37">
        <v>695</v>
      </c>
      <c r="J675" s="37">
        <v>50</v>
      </c>
      <c r="K675" s="38"/>
      <c r="L675" s="38"/>
      <c r="M675" s="38"/>
      <c r="N675" s="38"/>
      <c r="O675" s="38"/>
      <c r="P675" s="38"/>
      <c r="Q675" s="38"/>
      <c r="R675" s="38"/>
      <c r="S675" s="38"/>
      <c r="T675" s="38"/>
    </row>
    <row r="676" spans="1:20" ht="15.75">
      <c r="A676" s="13">
        <v>61728</v>
      </c>
      <c r="B676" s="46">
        <f t="shared" si="1"/>
        <v>31</v>
      </c>
      <c r="C676" s="37">
        <v>122.58</v>
      </c>
      <c r="D676" s="37">
        <v>297.94099999999997</v>
      </c>
      <c r="E676" s="43">
        <v>729.47900000000004</v>
      </c>
      <c r="F676" s="37">
        <v>1150</v>
      </c>
      <c r="G676" s="37">
        <v>100</v>
      </c>
      <c r="H676" s="45">
        <v>600</v>
      </c>
      <c r="I676" s="37">
        <v>695</v>
      </c>
      <c r="J676" s="37">
        <v>50</v>
      </c>
      <c r="K676" s="38"/>
      <c r="L676" s="38"/>
      <c r="M676" s="38"/>
      <c r="N676" s="38"/>
      <c r="O676" s="38"/>
      <c r="P676" s="38"/>
      <c r="Q676" s="38"/>
      <c r="R676" s="38"/>
      <c r="S676" s="38"/>
      <c r="T676" s="38"/>
    </row>
    <row r="677" spans="1:20" ht="15.75">
      <c r="A677" s="13">
        <v>61759</v>
      </c>
      <c r="B677" s="46">
        <f t="shared" si="1"/>
        <v>31</v>
      </c>
      <c r="C677" s="37">
        <v>122.58</v>
      </c>
      <c r="D677" s="37">
        <v>297.94099999999997</v>
      </c>
      <c r="E677" s="43">
        <v>729.47900000000004</v>
      </c>
      <c r="F677" s="37">
        <v>1150</v>
      </c>
      <c r="G677" s="37">
        <v>100</v>
      </c>
      <c r="H677" s="45">
        <v>600</v>
      </c>
      <c r="I677" s="37">
        <v>695</v>
      </c>
      <c r="J677" s="37">
        <v>50</v>
      </c>
      <c r="K677" s="38"/>
      <c r="L677" s="38"/>
      <c r="M677" s="38"/>
      <c r="N677" s="38"/>
      <c r="O677" s="38"/>
      <c r="P677" s="38"/>
      <c r="Q677" s="38"/>
      <c r="R677" s="38"/>
      <c r="S677" s="38"/>
      <c r="T677" s="38"/>
    </row>
    <row r="678" spans="1:20" ht="15.75">
      <c r="A678" s="13">
        <v>61787</v>
      </c>
      <c r="B678" s="46">
        <f t="shared" si="1"/>
        <v>28</v>
      </c>
      <c r="C678" s="37">
        <v>122.58</v>
      </c>
      <c r="D678" s="37">
        <v>297.94099999999997</v>
      </c>
      <c r="E678" s="43">
        <v>729.47900000000004</v>
      </c>
      <c r="F678" s="37">
        <v>1150</v>
      </c>
      <c r="G678" s="37">
        <v>100</v>
      </c>
      <c r="H678" s="45">
        <v>600</v>
      </c>
      <c r="I678" s="37">
        <v>695</v>
      </c>
      <c r="J678" s="37">
        <v>50</v>
      </c>
      <c r="K678" s="38"/>
      <c r="L678" s="38"/>
      <c r="M678" s="38"/>
      <c r="N678" s="38"/>
      <c r="O678" s="38"/>
      <c r="P678" s="38"/>
      <c r="Q678" s="38"/>
      <c r="R678" s="38"/>
      <c r="S678" s="38"/>
      <c r="T678" s="38"/>
    </row>
    <row r="679" spans="1:20" ht="15.75">
      <c r="A679" s="13">
        <v>61818</v>
      </c>
      <c r="B679" s="46">
        <f t="shared" si="1"/>
        <v>31</v>
      </c>
      <c r="C679" s="37">
        <v>122.58</v>
      </c>
      <c r="D679" s="37">
        <v>297.94099999999997</v>
      </c>
      <c r="E679" s="43">
        <v>729.47900000000004</v>
      </c>
      <c r="F679" s="37">
        <v>1150</v>
      </c>
      <c r="G679" s="37">
        <v>100</v>
      </c>
      <c r="H679" s="45">
        <v>600</v>
      </c>
      <c r="I679" s="37">
        <v>695</v>
      </c>
      <c r="J679" s="37">
        <v>50</v>
      </c>
      <c r="K679" s="38"/>
      <c r="L679" s="38"/>
      <c r="M679" s="38"/>
      <c r="N679" s="38"/>
      <c r="O679" s="38"/>
      <c r="P679" s="38"/>
      <c r="Q679" s="38"/>
      <c r="R679" s="38"/>
      <c r="S679" s="38"/>
      <c r="T679" s="38"/>
    </row>
    <row r="680" spans="1:20" ht="15.75">
      <c r="A680" s="13">
        <v>61848</v>
      </c>
      <c r="B680" s="46">
        <f t="shared" si="1"/>
        <v>30</v>
      </c>
      <c r="C680" s="37">
        <v>141.29300000000001</v>
      </c>
      <c r="D680" s="37">
        <v>267.99299999999999</v>
      </c>
      <c r="E680" s="43">
        <v>829.71400000000006</v>
      </c>
      <c r="F680" s="37">
        <v>1239</v>
      </c>
      <c r="G680" s="37">
        <v>100</v>
      </c>
      <c r="H680" s="45">
        <v>600</v>
      </c>
      <c r="I680" s="37">
        <v>695</v>
      </c>
      <c r="J680" s="37">
        <v>50</v>
      </c>
      <c r="K680" s="38"/>
      <c r="L680" s="38"/>
      <c r="M680" s="38"/>
      <c r="N680" s="38"/>
      <c r="O680" s="38"/>
      <c r="P680" s="38"/>
      <c r="Q680" s="38"/>
      <c r="R680" s="38"/>
      <c r="S680" s="38"/>
      <c r="T680" s="38"/>
    </row>
    <row r="681" spans="1:20" ht="15.75">
      <c r="A681" s="13">
        <v>61879</v>
      </c>
      <c r="B681" s="46">
        <f t="shared" si="1"/>
        <v>31</v>
      </c>
      <c r="C681" s="37">
        <v>194.20500000000001</v>
      </c>
      <c r="D681" s="37">
        <v>267.46600000000001</v>
      </c>
      <c r="E681" s="43">
        <v>812.32899999999995</v>
      </c>
      <c r="F681" s="37">
        <v>1274</v>
      </c>
      <c r="G681" s="37">
        <v>75</v>
      </c>
      <c r="H681" s="45">
        <v>600</v>
      </c>
      <c r="I681" s="37">
        <v>695</v>
      </c>
      <c r="J681" s="37">
        <v>50</v>
      </c>
      <c r="K681" s="38"/>
      <c r="L681" s="38"/>
      <c r="M681" s="38"/>
      <c r="N681" s="38"/>
      <c r="O681" s="38"/>
      <c r="P681" s="38"/>
      <c r="Q681" s="38"/>
      <c r="R681" s="38"/>
      <c r="S681" s="38"/>
      <c r="T681" s="38"/>
    </row>
    <row r="682" spans="1:20" ht="15.75">
      <c r="A682" s="13">
        <v>61909</v>
      </c>
      <c r="B682" s="46">
        <f t="shared" si="1"/>
        <v>30</v>
      </c>
      <c r="C682" s="37">
        <v>194.20500000000001</v>
      </c>
      <c r="D682" s="37">
        <v>267.46600000000001</v>
      </c>
      <c r="E682" s="43">
        <v>812.32899999999995</v>
      </c>
      <c r="F682" s="37">
        <v>1274</v>
      </c>
      <c r="G682" s="37">
        <v>50</v>
      </c>
      <c r="H682" s="45">
        <v>600</v>
      </c>
      <c r="I682" s="37">
        <v>695</v>
      </c>
      <c r="J682" s="37">
        <v>50</v>
      </c>
      <c r="K682" s="38"/>
      <c r="L682" s="38"/>
      <c r="M682" s="38"/>
      <c r="N682" s="38"/>
      <c r="O682" s="38"/>
      <c r="P682" s="38"/>
      <c r="Q682" s="38"/>
      <c r="R682" s="38"/>
      <c r="S682" s="38"/>
      <c r="T682" s="38"/>
    </row>
    <row r="683" spans="1:20" ht="15.75">
      <c r="A683" s="13">
        <v>61940</v>
      </c>
      <c r="B683" s="46">
        <f t="shared" si="1"/>
        <v>31</v>
      </c>
      <c r="C683" s="37">
        <v>194.20500000000001</v>
      </c>
      <c r="D683" s="37">
        <v>267.46600000000001</v>
      </c>
      <c r="E683" s="43">
        <v>812.32899999999995</v>
      </c>
      <c r="F683" s="37">
        <v>1274</v>
      </c>
      <c r="G683" s="37">
        <v>50</v>
      </c>
      <c r="H683" s="45">
        <v>600</v>
      </c>
      <c r="I683" s="37">
        <v>695</v>
      </c>
      <c r="J683" s="37">
        <v>0</v>
      </c>
      <c r="K683" s="38"/>
      <c r="L683" s="38"/>
      <c r="M683" s="38"/>
      <c r="N683" s="38"/>
      <c r="O683" s="38"/>
      <c r="P683" s="38"/>
      <c r="Q683" s="38"/>
      <c r="R683" s="38"/>
      <c r="S683" s="38"/>
      <c r="T683" s="38"/>
    </row>
    <row r="684" spans="1:20" ht="15.75">
      <c r="A684" s="13">
        <v>61971</v>
      </c>
      <c r="B684" s="46">
        <f t="shared" si="1"/>
        <v>31</v>
      </c>
      <c r="C684" s="37">
        <v>194.20500000000001</v>
      </c>
      <c r="D684" s="37">
        <v>267.46600000000001</v>
      </c>
      <c r="E684" s="43">
        <v>812.32899999999995</v>
      </c>
      <c r="F684" s="37">
        <v>1274</v>
      </c>
      <c r="G684" s="37">
        <v>50</v>
      </c>
      <c r="H684" s="45">
        <v>600</v>
      </c>
      <c r="I684" s="37">
        <v>695</v>
      </c>
      <c r="J684" s="37">
        <v>0</v>
      </c>
      <c r="K684" s="38"/>
      <c r="L684" s="38"/>
      <c r="M684" s="38"/>
      <c r="N684" s="38"/>
      <c r="O684" s="38"/>
      <c r="P684" s="38"/>
      <c r="Q684" s="38"/>
      <c r="R684" s="38"/>
      <c r="S684" s="38"/>
      <c r="T684" s="38"/>
    </row>
    <row r="685" spans="1:20" ht="15.75">
      <c r="A685" s="13">
        <v>62001</v>
      </c>
      <c r="B685" s="46">
        <f t="shared" si="1"/>
        <v>30</v>
      </c>
      <c r="C685" s="37">
        <v>194.20500000000001</v>
      </c>
      <c r="D685" s="37">
        <v>267.46600000000001</v>
      </c>
      <c r="E685" s="43">
        <v>812.32899999999995</v>
      </c>
      <c r="F685" s="37">
        <v>1274</v>
      </c>
      <c r="G685" s="37">
        <v>50</v>
      </c>
      <c r="H685" s="45">
        <v>600</v>
      </c>
      <c r="I685" s="37">
        <v>695</v>
      </c>
      <c r="J685" s="37">
        <v>0</v>
      </c>
      <c r="K685" s="38"/>
      <c r="L685" s="38"/>
      <c r="M685" s="38"/>
      <c r="N685" s="38"/>
      <c r="O685" s="38"/>
      <c r="P685" s="38"/>
      <c r="Q685" s="38"/>
      <c r="R685" s="38"/>
      <c r="S685" s="38"/>
      <c r="T685" s="38"/>
    </row>
    <row r="686" spans="1:20" ht="15.75">
      <c r="A686" s="13">
        <v>62032</v>
      </c>
      <c r="B686" s="46">
        <f t="shared" si="1"/>
        <v>31</v>
      </c>
      <c r="C686" s="37">
        <v>131.881</v>
      </c>
      <c r="D686" s="37">
        <v>277.16699999999997</v>
      </c>
      <c r="E686" s="43">
        <v>829.952</v>
      </c>
      <c r="F686" s="37">
        <v>1239</v>
      </c>
      <c r="G686" s="37">
        <v>75</v>
      </c>
      <c r="H686" s="45">
        <v>600</v>
      </c>
      <c r="I686" s="37">
        <v>695</v>
      </c>
      <c r="J686" s="37">
        <v>0</v>
      </c>
      <c r="K686" s="38"/>
      <c r="L686" s="38"/>
      <c r="M686" s="38"/>
      <c r="N686" s="38"/>
      <c r="O686" s="38"/>
      <c r="P686" s="38"/>
      <c r="Q686" s="38"/>
      <c r="R686" s="38"/>
      <c r="S686" s="38"/>
      <c r="T686" s="38"/>
    </row>
    <row r="687" spans="1:20" ht="15.75">
      <c r="A687" s="13">
        <v>62062</v>
      </c>
      <c r="B687" s="46">
        <f t="shared" si="1"/>
        <v>30</v>
      </c>
      <c r="C687" s="37">
        <v>122.58</v>
      </c>
      <c r="D687" s="37">
        <v>297.94099999999997</v>
      </c>
      <c r="E687" s="43">
        <v>729.47900000000004</v>
      </c>
      <c r="F687" s="37">
        <v>1150</v>
      </c>
      <c r="G687" s="37">
        <v>100</v>
      </c>
      <c r="H687" s="45">
        <v>600</v>
      </c>
      <c r="I687" s="37">
        <v>695</v>
      </c>
      <c r="J687" s="37">
        <v>50</v>
      </c>
      <c r="K687" s="38"/>
      <c r="L687" s="38"/>
      <c r="M687" s="38"/>
      <c r="N687" s="38"/>
      <c r="O687" s="38"/>
      <c r="P687" s="38"/>
      <c r="Q687" s="38"/>
      <c r="R687" s="38"/>
      <c r="S687" s="38"/>
      <c r="T687" s="38"/>
    </row>
    <row r="688" spans="1:20" ht="15.75">
      <c r="A688" s="13">
        <v>62093</v>
      </c>
      <c r="B688" s="46">
        <f t="shared" si="1"/>
        <v>31</v>
      </c>
      <c r="C688" s="37">
        <v>122.58</v>
      </c>
      <c r="D688" s="37">
        <v>297.94099999999997</v>
      </c>
      <c r="E688" s="43">
        <v>729.47900000000004</v>
      </c>
      <c r="F688" s="37">
        <v>1150</v>
      </c>
      <c r="G688" s="37">
        <v>100</v>
      </c>
      <c r="H688" s="45">
        <v>600</v>
      </c>
      <c r="I688" s="37">
        <v>695</v>
      </c>
      <c r="J688" s="37">
        <v>50</v>
      </c>
      <c r="K688" s="38"/>
      <c r="L688" s="38"/>
      <c r="M688" s="38"/>
      <c r="N688" s="38"/>
      <c r="O688" s="38"/>
      <c r="P688" s="38"/>
      <c r="Q688" s="38"/>
      <c r="R688" s="38"/>
      <c r="S688" s="38"/>
      <c r="T688" s="38"/>
    </row>
    <row r="689" spans="1:20" ht="15.75">
      <c r="A689" s="13">
        <v>62124</v>
      </c>
      <c r="B689" s="46">
        <f t="shared" si="1"/>
        <v>31</v>
      </c>
      <c r="C689" s="37">
        <v>122.58</v>
      </c>
      <c r="D689" s="37">
        <v>297.94099999999997</v>
      </c>
      <c r="E689" s="43">
        <v>729.47900000000004</v>
      </c>
      <c r="F689" s="37">
        <v>1150</v>
      </c>
      <c r="G689" s="37">
        <v>100</v>
      </c>
      <c r="H689" s="45">
        <v>600</v>
      </c>
      <c r="I689" s="37">
        <v>695</v>
      </c>
      <c r="J689" s="37">
        <v>50</v>
      </c>
      <c r="K689" s="38"/>
      <c r="L689" s="38"/>
      <c r="M689" s="38"/>
      <c r="N689" s="38"/>
      <c r="O689" s="38"/>
      <c r="P689" s="38"/>
      <c r="Q689" s="38"/>
      <c r="R689" s="38"/>
      <c r="S689" s="38"/>
      <c r="T689" s="38"/>
    </row>
    <row r="690" spans="1:20" ht="15.75">
      <c r="A690" s="13">
        <v>62152</v>
      </c>
      <c r="B690" s="46">
        <f t="shared" si="1"/>
        <v>28</v>
      </c>
      <c r="C690" s="37">
        <v>122.58</v>
      </c>
      <c r="D690" s="37">
        <v>297.94099999999997</v>
      </c>
      <c r="E690" s="43">
        <v>729.47900000000004</v>
      </c>
      <c r="F690" s="37">
        <v>1150</v>
      </c>
      <c r="G690" s="37">
        <v>100</v>
      </c>
      <c r="H690" s="45">
        <v>600</v>
      </c>
      <c r="I690" s="37">
        <v>695</v>
      </c>
      <c r="J690" s="37">
        <v>50</v>
      </c>
      <c r="K690" s="38"/>
      <c r="L690" s="38"/>
      <c r="M690" s="38"/>
      <c r="N690" s="38"/>
      <c r="O690" s="38"/>
      <c r="P690" s="38"/>
      <c r="Q690" s="38"/>
      <c r="R690" s="38"/>
      <c r="S690" s="38"/>
      <c r="T690" s="38"/>
    </row>
    <row r="691" spans="1:20" ht="15.75">
      <c r="A691" s="13">
        <v>62183</v>
      </c>
      <c r="B691" s="46">
        <f t="shared" si="1"/>
        <v>31</v>
      </c>
      <c r="C691" s="37">
        <v>122.58</v>
      </c>
      <c r="D691" s="37">
        <v>297.94099999999997</v>
      </c>
      <c r="E691" s="43">
        <v>729.47900000000004</v>
      </c>
      <c r="F691" s="37">
        <v>1150</v>
      </c>
      <c r="G691" s="37">
        <v>100</v>
      </c>
      <c r="H691" s="45">
        <v>600</v>
      </c>
      <c r="I691" s="37">
        <v>695</v>
      </c>
      <c r="J691" s="37">
        <v>50</v>
      </c>
      <c r="K691" s="38"/>
      <c r="L691" s="38"/>
      <c r="M691" s="38"/>
      <c r="N691" s="38"/>
      <c r="O691" s="38"/>
      <c r="P691" s="38"/>
      <c r="Q691" s="38"/>
      <c r="R691" s="38"/>
      <c r="S691" s="38"/>
      <c r="T691" s="38"/>
    </row>
    <row r="692" spans="1:20" ht="15.75">
      <c r="A692" s="13">
        <v>62213</v>
      </c>
      <c r="B692" s="46">
        <f t="shared" si="1"/>
        <v>30</v>
      </c>
      <c r="C692" s="37">
        <v>141.29300000000001</v>
      </c>
      <c r="D692" s="37">
        <v>267.99299999999999</v>
      </c>
      <c r="E692" s="43">
        <v>829.71400000000006</v>
      </c>
      <c r="F692" s="37">
        <v>1239</v>
      </c>
      <c r="G692" s="37">
        <v>100</v>
      </c>
      <c r="H692" s="45">
        <v>600</v>
      </c>
      <c r="I692" s="37">
        <v>695</v>
      </c>
      <c r="J692" s="37">
        <v>50</v>
      </c>
      <c r="K692" s="38"/>
      <c r="L692" s="38"/>
      <c r="M692" s="38"/>
      <c r="N692" s="38"/>
      <c r="O692" s="38"/>
      <c r="P692" s="38"/>
      <c r="Q692" s="38"/>
      <c r="R692" s="38"/>
      <c r="S692" s="38"/>
      <c r="T692" s="38"/>
    </row>
    <row r="693" spans="1:20" ht="15.75">
      <c r="A693" s="13">
        <v>62244</v>
      </c>
      <c r="B693" s="46">
        <f t="shared" si="1"/>
        <v>31</v>
      </c>
      <c r="C693" s="37">
        <v>194.20500000000001</v>
      </c>
      <c r="D693" s="37">
        <v>267.46600000000001</v>
      </c>
      <c r="E693" s="43">
        <v>812.32899999999995</v>
      </c>
      <c r="F693" s="37">
        <v>1274</v>
      </c>
      <c r="G693" s="37">
        <v>75</v>
      </c>
      <c r="H693" s="45">
        <v>600</v>
      </c>
      <c r="I693" s="37">
        <v>695</v>
      </c>
      <c r="J693" s="37">
        <v>50</v>
      </c>
      <c r="K693" s="38"/>
      <c r="L693" s="38"/>
      <c r="M693" s="38"/>
      <c r="N693" s="38"/>
      <c r="O693" s="38"/>
      <c r="P693" s="38"/>
      <c r="Q693" s="38"/>
      <c r="R693" s="38"/>
      <c r="S693" s="38"/>
      <c r="T693" s="38"/>
    </row>
    <row r="694" spans="1:20" ht="15.75">
      <c r="A694" s="13">
        <v>62274</v>
      </c>
      <c r="B694" s="46">
        <f t="shared" si="1"/>
        <v>30</v>
      </c>
      <c r="C694" s="37">
        <v>194.20500000000001</v>
      </c>
      <c r="D694" s="37">
        <v>267.46600000000001</v>
      </c>
      <c r="E694" s="43">
        <v>812.32899999999995</v>
      </c>
      <c r="F694" s="37">
        <v>1274</v>
      </c>
      <c r="G694" s="37">
        <v>50</v>
      </c>
      <c r="H694" s="45">
        <v>600</v>
      </c>
      <c r="I694" s="37">
        <v>695</v>
      </c>
      <c r="J694" s="37">
        <v>50</v>
      </c>
      <c r="K694" s="38"/>
      <c r="L694" s="38"/>
      <c r="M694" s="38"/>
      <c r="N694" s="38"/>
      <c r="O694" s="38"/>
      <c r="P694" s="38"/>
      <c r="Q694" s="38"/>
      <c r="R694" s="38"/>
      <c r="S694" s="38"/>
      <c r="T694" s="38"/>
    </row>
    <row r="695" spans="1:20" ht="15.75">
      <c r="A695" s="13">
        <v>62305</v>
      </c>
      <c r="B695" s="46">
        <f t="shared" si="1"/>
        <v>31</v>
      </c>
      <c r="C695" s="37">
        <v>194.20500000000001</v>
      </c>
      <c r="D695" s="37">
        <v>267.46600000000001</v>
      </c>
      <c r="E695" s="43">
        <v>812.32899999999995</v>
      </c>
      <c r="F695" s="37">
        <v>1274</v>
      </c>
      <c r="G695" s="37">
        <v>50</v>
      </c>
      <c r="H695" s="45">
        <v>600</v>
      </c>
      <c r="I695" s="37">
        <v>695</v>
      </c>
      <c r="J695" s="37">
        <v>0</v>
      </c>
      <c r="K695" s="38"/>
      <c r="L695" s="38"/>
      <c r="M695" s="38"/>
      <c r="N695" s="38"/>
      <c r="O695" s="38"/>
      <c r="P695" s="38"/>
      <c r="Q695" s="38"/>
      <c r="R695" s="38"/>
      <c r="S695" s="38"/>
      <c r="T695" s="38"/>
    </row>
    <row r="696" spans="1:20" ht="15.75">
      <c r="A696" s="13">
        <v>62336</v>
      </c>
      <c r="B696" s="46">
        <f t="shared" si="1"/>
        <v>31</v>
      </c>
      <c r="C696" s="37">
        <v>194.20500000000001</v>
      </c>
      <c r="D696" s="37">
        <v>267.46600000000001</v>
      </c>
      <c r="E696" s="43">
        <v>812.32899999999995</v>
      </c>
      <c r="F696" s="37">
        <v>1274</v>
      </c>
      <c r="G696" s="37">
        <v>50</v>
      </c>
      <c r="H696" s="45">
        <v>600</v>
      </c>
      <c r="I696" s="37">
        <v>695</v>
      </c>
      <c r="J696" s="37">
        <v>0</v>
      </c>
      <c r="K696" s="38"/>
      <c r="L696" s="38"/>
      <c r="M696" s="38"/>
      <c r="N696" s="38"/>
      <c r="O696" s="38"/>
      <c r="P696" s="38"/>
      <c r="Q696" s="38"/>
      <c r="R696" s="38"/>
      <c r="S696" s="38"/>
      <c r="T696" s="38"/>
    </row>
    <row r="697" spans="1:20" ht="15.75">
      <c r="A697" s="13">
        <v>62366</v>
      </c>
      <c r="B697" s="46">
        <f t="shared" si="1"/>
        <v>30</v>
      </c>
      <c r="C697" s="37">
        <v>194.20500000000001</v>
      </c>
      <c r="D697" s="37">
        <v>267.46600000000001</v>
      </c>
      <c r="E697" s="43">
        <v>812.32899999999995</v>
      </c>
      <c r="F697" s="37">
        <v>1274</v>
      </c>
      <c r="G697" s="37">
        <v>50</v>
      </c>
      <c r="H697" s="45">
        <v>600</v>
      </c>
      <c r="I697" s="37">
        <v>695</v>
      </c>
      <c r="J697" s="37">
        <v>0</v>
      </c>
      <c r="K697" s="38"/>
      <c r="L697" s="38"/>
      <c r="M697" s="38"/>
      <c r="N697" s="38"/>
      <c r="O697" s="38"/>
      <c r="P697" s="38"/>
      <c r="Q697" s="38"/>
      <c r="R697" s="38"/>
      <c r="S697" s="38"/>
      <c r="T697" s="38"/>
    </row>
    <row r="698" spans="1:20" ht="15.75">
      <c r="A698" s="13">
        <v>62397</v>
      </c>
      <c r="B698" s="46">
        <f t="shared" si="1"/>
        <v>31</v>
      </c>
      <c r="C698" s="37">
        <v>131.881</v>
      </c>
      <c r="D698" s="37">
        <v>277.16699999999997</v>
      </c>
      <c r="E698" s="43">
        <v>829.952</v>
      </c>
      <c r="F698" s="37">
        <v>1239</v>
      </c>
      <c r="G698" s="37">
        <v>75</v>
      </c>
      <c r="H698" s="45">
        <v>600</v>
      </c>
      <c r="I698" s="37">
        <v>695</v>
      </c>
      <c r="J698" s="37">
        <v>0</v>
      </c>
      <c r="K698" s="38"/>
      <c r="L698" s="38"/>
      <c r="M698" s="38"/>
      <c r="N698" s="38"/>
      <c r="O698" s="38"/>
      <c r="P698" s="38"/>
      <c r="Q698" s="38"/>
      <c r="R698" s="38"/>
      <c r="S698" s="38"/>
      <c r="T698" s="38"/>
    </row>
    <row r="699" spans="1:20" ht="15.75">
      <c r="A699" s="13">
        <v>62427</v>
      </c>
      <c r="B699" s="46">
        <f t="shared" si="1"/>
        <v>30</v>
      </c>
      <c r="C699" s="37">
        <v>122.58</v>
      </c>
      <c r="D699" s="37">
        <v>297.94099999999997</v>
      </c>
      <c r="E699" s="43">
        <v>729.47900000000004</v>
      </c>
      <c r="F699" s="37">
        <v>1150</v>
      </c>
      <c r="G699" s="37">
        <v>100</v>
      </c>
      <c r="H699" s="45">
        <v>600</v>
      </c>
      <c r="I699" s="37">
        <v>695</v>
      </c>
      <c r="J699" s="37">
        <v>50</v>
      </c>
      <c r="K699" s="38"/>
      <c r="L699" s="38"/>
      <c r="M699" s="38"/>
      <c r="N699" s="38"/>
      <c r="O699" s="38"/>
      <c r="P699" s="38"/>
      <c r="Q699" s="38"/>
      <c r="R699" s="38"/>
      <c r="S699" s="38"/>
      <c r="T699" s="38"/>
    </row>
    <row r="700" spans="1:20" ht="15.75">
      <c r="A700" s="13">
        <v>62458</v>
      </c>
      <c r="B700" s="46">
        <f t="shared" si="1"/>
        <v>31</v>
      </c>
      <c r="C700" s="37">
        <v>122.58</v>
      </c>
      <c r="D700" s="37">
        <v>297.94099999999997</v>
      </c>
      <c r="E700" s="43">
        <v>729.47900000000004</v>
      </c>
      <c r="F700" s="37">
        <v>1150</v>
      </c>
      <c r="G700" s="37">
        <v>100</v>
      </c>
      <c r="H700" s="45">
        <v>600</v>
      </c>
      <c r="I700" s="37">
        <v>695</v>
      </c>
      <c r="J700" s="37">
        <v>50</v>
      </c>
      <c r="K700" s="38"/>
      <c r="L700" s="38"/>
      <c r="M700" s="38"/>
      <c r="N700" s="38"/>
      <c r="O700" s="38"/>
      <c r="P700" s="38"/>
      <c r="Q700" s="38"/>
      <c r="R700" s="38"/>
      <c r="S700" s="38"/>
      <c r="T700" s="38"/>
    </row>
    <row r="701" spans="1:20" ht="15.75">
      <c r="A701" s="13">
        <v>62489</v>
      </c>
      <c r="B701" s="46">
        <f t="shared" si="1"/>
        <v>31</v>
      </c>
      <c r="C701" s="37">
        <v>122.58</v>
      </c>
      <c r="D701" s="37">
        <v>297.94099999999997</v>
      </c>
      <c r="E701" s="43">
        <v>729.47900000000004</v>
      </c>
      <c r="F701" s="37">
        <v>1150</v>
      </c>
      <c r="G701" s="37">
        <v>100</v>
      </c>
      <c r="H701" s="45">
        <v>600</v>
      </c>
      <c r="I701" s="37">
        <v>695</v>
      </c>
      <c r="J701" s="37">
        <v>50</v>
      </c>
      <c r="K701" s="38"/>
      <c r="L701" s="38"/>
      <c r="M701" s="38"/>
      <c r="N701" s="38"/>
      <c r="O701" s="38"/>
      <c r="P701" s="38"/>
      <c r="Q701" s="38"/>
      <c r="R701" s="38"/>
      <c r="S701" s="38"/>
      <c r="T701" s="38"/>
    </row>
    <row r="702" spans="1:20" ht="15.75">
      <c r="A702" s="13">
        <v>62517</v>
      </c>
      <c r="B702" s="46">
        <f t="shared" si="1"/>
        <v>28</v>
      </c>
      <c r="C702" s="37">
        <v>122.58</v>
      </c>
      <c r="D702" s="37">
        <v>297.94099999999997</v>
      </c>
      <c r="E702" s="43">
        <v>729.47900000000004</v>
      </c>
      <c r="F702" s="37">
        <v>1150</v>
      </c>
      <c r="G702" s="37">
        <v>100</v>
      </c>
      <c r="H702" s="45">
        <v>600</v>
      </c>
      <c r="I702" s="37">
        <v>695</v>
      </c>
      <c r="J702" s="37">
        <v>50</v>
      </c>
      <c r="K702" s="38"/>
      <c r="L702" s="38"/>
      <c r="M702" s="38"/>
      <c r="N702" s="38"/>
      <c r="O702" s="38"/>
      <c r="P702" s="38"/>
      <c r="Q702" s="38"/>
      <c r="R702" s="38"/>
      <c r="S702" s="38"/>
      <c r="T702" s="38"/>
    </row>
    <row r="703" spans="1:20" ht="15.75">
      <c r="A703" s="13">
        <v>62548</v>
      </c>
      <c r="B703" s="46">
        <f t="shared" si="1"/>
        <v>31</v>
      </c>
      <c r="C703" s="37">
        <v>122.58</v>
      </c>
      <c r="D703" s="37">
        <v>297.94099999999997</v>
      </c>
      <c r="E703" s="43">
        <v>729.47900000000004</v>
      </c>
      <c r="F703" s="37">
        <v>1150</v>
      </c>
      <c r="G703" s="37">
        <v>100</v>
      </c>
      <c r="H703" s="45">
        <v>600</v>
      </c>
      <c r="I703" s="37">
        <v>695</v>
      </c>
      <c r="J703" s="37">
        <v>50</v>
      </c>
      <c r="K703" s="38"/>
      <c r="L703" s="38"/>
      <c r="M703" s="38"/>
      <c r="N703" s="38"/>
      <c r="O703" s="38"/>
      <c r="P703" s="38"/>
      <c r="Q703" s="38"/>
      <c r="R703" s="38"/>
      <c r="S703" s="38"/>
      <c r="T703" s="38"/>
    </row>
    <row r="704" spans="1:20" ht="15.75">
      <c r="A704" s="13">
        <v>62578</v>
      </c>
      <c r="B704" s="46">
        <f t="shared" si="1"/>
        <v>30</v>
      </c>
      <c r="C704" s="37">
        <v>141.29300000000001</v>
      </c>
      <c r="D704" s="37">
        <v>267.99299999999999</v>
      </c>
      <c r="E704" s="43">
        <v>829.71400000000006</v>
      </c>
      <c r="F704" s="37">
        <v>1239</v>
      </c>
      <c r="G704" s="37">
        <v>100</v>
      </c>
      <c r="H704" s="45">
        <v>600</v>
      </c>
      <c r="I704" s="37">
        <v>695</v>
      </c>
      <c r="J704" s="37">
        <v>50</v>
      </c>
      <c r="K704" s="38"/>
      <c r="L704" s="38"/>
      <c r="M704" s="38"/>
      <c r="N704" s="38"/>
      <c r="O704" s="38"/>
      <c r="P704" s="38"/>
      <c r="Q704" s="38"/>
      <c r="R704" s="38"/>
      <c r="S704" s="38"/>
      <c r="T704" s="38"/>
    </row>
    <row r="705" spans="1:20" ht="15.75">
      <c r="A705" s="13">
        <v>62609</v>
      </c>
      <c r="B705" s="46">
        <f t="shared" si="1"/>
        <v>31</v>
      </c>
      <c r="C705" s="37">
        <v>194.20500000000001</v>
      </c>
      <c r="D705" s="37">
        <v>267.46600000000001</v>
      </c>
      <c r="E705" s="43">
        <v>812.32899999999995</v>
      </c>
      <c r="F705" s="37">
        <v>1274</v>
      </c>
      <c r="G705" s="37">
        <v>75</v>
      </c>
      <c r="H705" s="45">
        <v>600</v>
      </c>
      <c r="I705" s="37">
        <v>695</v>
      </c>
      <c r="J705" s="37">
        <v>50</v>
      </c>
      <c r="K705" s="38"/>
      <c r="L705" s="38"/>
      <c r="M705" s="38"/>
      <c r="N705" s="38"/>
      <c r="O705" s="38"/>
      <c r="P705" s="38"/>
      <c r="Q705" s="38"/>
      <c r="R705" s="38"/>
      <c r="S705" s="38"/>
      <c r="T705" s="38"/>
    </row>
    <row r="706" spans="1:20" ht="15.75">
      <c r="A706" s="13">
        <v>62639</v>
      </c>
      <c r="B706" s="46">
        <f t="shared" si="1"/>
        <v>30</v>
      </c>
      <c r="C706" s="37">
        <v>194.20500000000001</v>
      </c>
      <c r="D706" s="37">
        <v>267.46600000000001</v>
      </c>
      <c r="E706" s="43">
        <v>812.32899999999995</v>
      </c>
      <c r="F706" s="37">
        <v>1274</v>
      </c>
      <c r="G706" s="37">
        <v>50</v>
      </c>
      <c r="H706" s="45">
        <v>600</v>
      </c>
      <c r="I706" s="37">
        <v>695</v>
      </c>
      <c r="J706" s="37">
        <v>50</v>
      </c>
      <c r="K706" s="38"/>
      <c r="L706" s="38"/>
      <c r="M706" s="38"/>
      <c r="N706" s="38"/>
      <c r="O706" s="38"/>
      <c r="P706" s="38"/>
      <c r="Q706" s="38"/>
      <c r="R706" s="38"/>
      <c r="S706" s="38"/>
      <c r="T706" s="38"/>
    </row>
    <row r="707" spans="1:20" ht="15.75">
      <c r="A707" s="13">
        <v>62670</v>
      </c>
      <c r="B707" s="46">
        <f t="shared" si="1"/>
        <v>31</v>
      </c>
      <c r="C707" s="37">
        <v>194.20500000000001</v>
      </c>
      <c r="D707" s="37">
        <v>267.46600000000001</v>
      </c>
      <c r="E707" s="43">
        <v>812.32899999999995</v>
      </c>
      <c r="F707" s="37">
        <v>1274</v>
      </c>
      <c r="G707" s="37">
        <v>50</v>
      </c>
      <c r="H707" s="45">
        <v>600</v>
      </c>
      <c r="I707" s="37">
        <v>695</v>
      </c>
      <c r="J707" s="37">
        <v>0</v>
      </c>
      <c r="K707" s="38"/>
      <c r="L707" s="38"/>
      <c r="M707" s="38"/>
      <c r="N707" s="38"/>
      <c r="O707" s="38"/>
      <c r="P707" s="38"/>
      <c r="Q707" s="38"/>
      <c r="R707" s="38"/>
      <c r="S707" s="38"/>
      <c r="T707" s="38"/>
    </row>
    <row r="708" spans="1:20" ht="15.75">
      <c r="A708" s="13">
        <v>62701</v>
      </c>
      <c r="B708" s="46">
        <f t="shared" si="1"/>
        <v>31</v>
      </c>
      <c r="C708" s="37">
        <v>194.20500000000001</v>
      </c>
      <c r="D708" s="37">
        <v>267.46600000000001</v>
      </c>
      <c r="E708" s="43">
        <v>812.32899999999995</v>
      </c>
      <c r="F708" s="37">
        <v>1274</v>
      </c>
      <c r="G708" s="37">
        <v>50</v>
      </c>
      <c r="H708" s="45">
        <v>600</v>
      </c>
      <c r="I708" s="37">
        <v>695</v>
      </c>
      <c r="J708" s="37">
        <v>0</v>
      </c>
      <c r="K708" s="38"/>
      <c r="L708" s="38"/>
      <c r="M708" s="38"/>
      <c r="N708" s="38"/>
      <c r="O708" s="38"/>
      <c r="P708" s="38"/>
      <c r="Q708" s="38"/>
      <c r="R708" s="38"/>
      <c r="S708" s="38"/>
      <c r="T708" s="38"/>
    </row>
    <row r="709" spans="1:20" ht="15.75">
      <c r="A709" s="13">
        <v>62731</v>
      </c>
      <c r="B709" s="46">
        <f t="shared" si="1"/>
        <v>30</v>
      </c>
      <c r="C709" s="37">
        <v>194.20500000000001</v>
      </c>
      <c r="D709" s="37">
        <v>267.46600000000001</v>
      </c>
      <c r="E709" s="43">
        <v>812.32899999999995</v>
      </c>
      <c r="F709" s="37">
        <v>1274</v>
      </c>
      <c r="G709" s="37">
        <v>50</v>
      </c>
      <c r="H709" s="45">
        <v>600</v>
      </c>
      <c r="I709" s="37">
        <v>695</v>
      </c>
      <c r="J709" s="37">
        <v>0</v>
      </c>
      <c r="K709" s="38"/>
      <c r="L709" s="38"/>
      <c r="M709" s="38"/>
      <c r="N709" s="38"/>
      <c r="O709" s="38"/>
      <c r="P709" s="38"/>
      <c r="Q709" s="38"/>
      <c r="R709" s="38"/>
      <c r="S709" s="38"/>
      <c r="T709" s="38"/>
    </row>
    <row r="710" spans="1:20" ht="15.75">
      <c r="A710" s="13">
        <v>62762</v>
      </c>
      <c r="B710" s="46">
        <f t="shared" si="1"/>
        <v>31</v>
      </c>
      <c r="C710" s="37">
        <v>131.881</v>
      </c>
      <c r="D710" s="37">
        <v>277.16699999999997</v>
      </c>
      <c r="E710" s="43">
        <v>829.952</v>
      </c>
      <c r="F710" s="37">
        <v>1239</v>
      </c>
      <c r="G710" s="37">
        <v>75</v>
      </c>
      <c r="H710" s="45">
        <v>600</v>
      </c>
      <c r="I710" s="37">
        <v>695</v>
      </c>
      <c r="J710" s="37">
        <v>0</v>
      </c>
      <c r="K710" s="38"/>
      <c r="L710" s="38"/>
      <c r="M710" s="38"/>
      <c r="N710" s="38"/>
      <c r="O710" s="38"/>
      <c r="P710" s="38"/>
      <c r="Q710" s="38"/>
      <c r="R710" s="38"/>
      <c r="S710" s="38"/>
      <c r="T710" s="38"/>
    </row>
    <row r="711" spans="1:20" ht="15.75">
      <c r="A711" s="13">
        <v>62792</v>
      </c>
      <c r="B711" s="46">
        <f t="shared" si="1"/>
        <v>30</v>
      </c>
      <c r="C711" s="37">
        <v>122.58</v>
      </c>
      <c r="D711" s="37">
        <v>297.94099999999997</v>
      </c>
      <c r="E711" s="43">
        <v>729.47900000000004</v>
      </c>
      <c r="F711" s="37">
        <v>1150</v>
      </c>
      <c r="G711" s="37">
        <v>100</v>
      </c>
      <c r="H711" s="45">
        <v>600</v>
      </c>
      <c r="I711" s="37">
        <v>695</v>
      </c>
      <c r="J711" s="37">
        <v>50</v>
      </c>
      <c r="K711" s="38"/>
      <c r="L711" s="38"/>
      <c r="M711" s="38"/>
      <c r="N711" s="38"/>
      <c r="O711" s="38"/>
      <c r="P711" s="38"/>
      <c r="Q711" s="38"/>
      <c r="R711" s="38"/>
      <c r="S711" s="38"/>
      <c r="T711" s="38"/>
    </row>
    <row r="712" spans="1:20" ht="15.75">
      <c r="A712" s="13">
        <v>62823</v>
      </c>
      <c r="B712" s="46">
        <f t="shared" si="1"/>
        <v>31</v>
      </c>
      <c r="C712" s="37">
        <v>122.58</v>
      </c>
      <c r="D712" s="37">
        <v>297.94099999999997</v>
      </c>
      <c r="E712" s="43">
        <v>729.47900000000004</v>
      </c>
      <c r="F712" s="37">
        <v>1150</v>
      </c>
      <c r="G712" s="37">
        <v>100</v>
      </c>
      <c r="H712" s="45">
        <v>600</v>
      </c>
      <c r="I712" s="37">
        <v>695</v>
      </c>
      <c r="J712" s="37">
        <v>50</v>
      </c>
      <c r="K712" s="38"/>
      <c r="L712" s="38"/>
      <c r="M712" s="38"/>
      <c r="N712" s="38"/>
      <c r="O712" s="38"/>
      <c r="P712" s="38"/>
      <c r="Q712" s="38"/>
      <c r="R712" s="38"/>
      <c r="S712" s="38"/>
      <c r="T712" s="38"/>
    </row>
    <row r="713" spans="1:20" ht="15.75">
      <c r="A713" s="13">
        <v>62854</v>
      </c>
      <c r="B713" s="46">
        <f t="shared" si="1"/>
        <v>31</v>
      </c>
      <c r="C713" s="37">
        <v>122.58</v>
      </c>
      <c r="D713" s="37">
        <v>297.94099999999997</v>
      </c>
      <c r="E713" s="43">
        <v>729.47900000000004</v>
      </c>
      <c r="F713" s="37">
        <v>1150</v>
      </c>
      <c r="G713" s="37">
        <v>100</v>
      </c>
      <c r="H713" s="45">
        <v>600</v>
      </c>
      <c r="I713" s="37">
        <v>695</v>
      </c>
      <c r="J713" s="37">
        <v>50</v>
      </c>
      <c r="K713" s="38"/>
      <c r="L713" s="38"/>
      <c r="M713" s="38"/>
      <c r="N713" s="38"/>
      <c r="O713" s="38"/>
      <c r="P713" s="38"/>
      <c r="Q713" s="38"/>
      <c r="R713" s="38"/>
      <c r="S713" s="38"/>
      <c r="T713" s="38"/>
    </row>
    <row r="714" spans="1:20" ht="15.75">
      <c r="A714" s="13">
        <v>62883</v>
      </c>
      <c r="B714" s="46">
        <f t="shared" si="1"/>
        <v>29</v>
      </c>
      <c r="C714" s="37">
        <v>122.58</v>
      </c>
      <c r="D714" s="37">
        <v>297.94099999999997</v>
      </c>
      <c r="E714" s="43">
        <v>729.47900000000004</v>
      </c>
      <c r="F714" s="37">
        <v>1150</v>
      </c>
      <c r="G714" s="37">
        <v>100</v>
      </c>
      <c r="H714" s="45">
        <v>600</v>
      </c>
      <c r="I714" s="37">
        <v>695</v>
      </c>
      <c r="J714" s="37">
        <v>50</v>
      </c>
      <c r="K714" s="38"/>
      <c r="L714" s="38"/>
      <c r="M714" s="38"/>
      <c r="N714" s="38"/>
      <c r="O714" s="38"/>
      <c r="P714" s="38"/>
      <c r="Q714" s="38"/>
      <c r="R714" s="38"/>
      <c r="S714" s="38"/>
      <c r="T714" s="38"/>
    </row>
    <row r="715" spans="1:20" ht="15.75">
      <c r="A715" s="13">
        <v>62914</v>
      </c>
      <c r="B715" s="46">
        <f t="shared" si="1"/>
        <v>31</v>
      </c>
      <c r="C715" s="37">
        <v>122.58</v>
      </c>
      <c r="D715" s="37">
        <v>297.94099999999997</v>
      </c>
      <c r="E715" s="43">
        <v>729.47900000000004</v>
      </c>
      <c r="F715" s="37">
        <v>1150</v>
      </c>
      <c r="G715" s="37">
        <v>100</v>
      </c>
      <c r="H715" s="45">
        <v>600</v>
      </c>
      <c r="I715" s="37">
        <v>695</v>
      </c>
      <c r="J715" s="37">
        <v>50</v>
      </c>
      <c r="K715" s="38"/>
      <c r="L715" s="38"/>
      <c r="M715" s="38"/>
      <c r="N715" s="38"/>
      <c r="O715" s="38"/>
      <c r="P715" s="38"/>
      <c r="Q715" s="38"/>
      <c r="R715" s="38"/>
      <c r="S715" s="38"/>
      <c r="T715" s="38"/>
    </row>
    <row r="716" spans="1:20" ht="15.75">
      <c r="A716" s="13">
        <v>62944</v>
      </c>
      <c r="B716" s="46">
        <f t="shared" si="1"/>
        <v>30</v>
      </c>
      <c r="C716" s="37">
        <v>141.29300000000001</v>
      </c>
      <c r="D716" s="37">
        <v>267.99299999999999</v>
      </c>
      <c r="E716" s="43">
        <v>829.71400000000006</v>
      </c>
      <c r="F716" s="37">
        <v>1239</v>
      </c>
      <c r="G716" s="37">
        <v>100</v>
      </c>
      <c r="H716" s="45">
        <v>600</v>
      </c>
      <c r="I716" s="37">
        <v>695</v>
      </c>
      <c r="J716" s="37">
        <v>50</v>
      </c>
      <c r="K716" s="38"/>
      <c r="L716" s="38"/>
      <c r="M716" s="38"/>
      <c r="N716" s="38"/>
      <c r="O716" s="38"/>
      <c r="P716" s="38"/>
      <c r="Q716" s="38"/>
      <c r="R716" s="38"/>
      <c r="S716" s="38"/>
      <c r="T716" s="38"/>
    </row>
    <row r="717" spans="1:20" ht="15.75">
      <c r="A717" s="13">
        <v>62975</v>
      </c>
      <c r="B717" s="46">
        <f t="shared" si="1"/>
        <v>31</v>
      </c>
      <c r="C717" s="37">
        <v>194.20500000000001</v>
      </c>
      <c r="D717" s="37">
        <v>267.46600000000001</v>
      </c>
      <c r="E717" s="43">
        <v>812.32899999999995</v>
      </c>
      <c r="F717" s="37">
        <v>1274</v>
      </c>
      <c r="G717" s="37">
        <v>75</v>
      </c>
      <c r="H717" s="45">
        <v>600</v>
      </c>
      <c r="I717" s="37">
        <v>695</v>
      </c>
      <c r="J717" s="37">
        <v>50</v>
      </c>
      <c r="K717" s="38"/>
      <c r="L717" s="38"/>
      <c r="M717" s="38"/>
      <c r="N717" s="38"/>
      <c r="O717" s="38"/>
      <c r="P717" s="38"/>
      <c r="Q717" s="38"/>
      <c r="R717" s="38"/>
      <c r="S717" s="38"/>
      <c r="T717" s="38"/>
    </row>
    <row r="718" spans="1:20" ht="15.75">
      <c r="A718" s="13">
        <v>63005</v>
      </c>
      <c r="B718" s="46">
        <f t="shared" si="1"/>
        <v>30</v>
      </c>
      <c r="C718" s="37">
        <v>194.20500000000001</v>
      </c>
      <c r="D718" s="37">
        <v>267.46600000000001</v>
      </c>
      <c r="E718" s="43">
        <v>812.32899999999995</v>
      </c>
      <c r="F718" s="37">
        <v>1274</v>
      </c>
      <c r="G718" s="37">
        <v>50</v>
      </c>
      <c r="H718" s="45">
        <v>600</v>
      </c>
      <c r="I718" s="37">
        <v>695</v>
      </c>
      <c r="J718" s="37">
        <v>50</v>
      </c>
      <c r="K718" s="38"/>
      <c r="L718" s="38"/>
      <c r="M718" s="38"/>
      <c r="N718" s="38"/>
      <c r="O718" s="38"/>
      <c r="P718" s="38"/>
      <c r="Q718" s="38"/>
      <c r="R718" s="38"/>
      <c r="S718" s="38"/>
      <c r="T718" s="38"/>
    </row>
    <row r="719" spans="1:20" ht="15.75">
      <c r="A719" s="13">
        <v>63036</v>
      </c>
      <c r="B719" s="46">
        <f t="shared" si="1"/>
        <v>31</v>
      </c>
      <c r="C719" s="37">
        <v>194.20500000000001</v>
      </c>
      <c r="D719" s="37">
        <v>267.46600000000001</v>
      </c>
      <c r="E719" s="43">
        <v>812.32899999999995</v>
      </c>
      <c r="F719" s="37">
        <v>1274</v>
      </c>
      <c r="G719" s="37">
        <v>50</v>
      </c>
      <c r="H719" s="45">
        <v>600</v>
      </c>
      <c r="I719" s="37">
        <v>695</v>
      </c>
      <c r="J719" s="37">
        <v>0</v>
      </c>
      <c r="K719" s="38"/>
      <c r="L719" s="38"/>
      <c r="M719" s="38"/>
      <c r="N719" s="38"/>
      <c r="O719" s="38"/>
      <c r="P719" s="38"/>
      <c r="Q719" s="38"/>
      <c r="R719" s="38"/>
      <c r="S719" s="38"/>
      <c r="T719" s="38"/>
    </row>
    <row r="720" spans="1:20" ht="15.75">
      <c r="A720" s="13">
        <v>63067</v>
      </c>
      <c r="B720" s="46">
        <f t="shared" si="1"/>
        <v>31</v>
      </c>
      <c r="C720" s="37">
        <v>194.20500000000001</v>
      </c>
      <c r="D720" s="37">
        <v>267.46600000000001</v>
      </c>
      <c r="E720" s="43">
        <v>812.32899999999995</v>
      </c>
      <c r="F720" s="37">
        <v>1274</v>
      </c>
      <c r="G720" s="37">
        <v>50</v>
      </c>
      <c r="H720" s="45">
        <v>600</v>
      </c>
      <c r="I720" s="37">
        <v>695</v>
      </c>
      <c r="J720" s="37">
        <v>0</v>
      </c>
      <c r="K720" s="38"/>
      <c r="L720" s="38"/>
      <c r="M720" s="38"/>
      <c r="N720" s="38"/>
      <c r="O720" s="38"/>
      <c r="P720" s="38"/>
      <c r="Q720" s="38"/>
      <c r="R720" s="38"/>
      <c r="S720" s="38"/>
      <c r="T720" s="38"/>
    </row>
    <row r="721" spans="1:20" ht="15.75">
      <c r="A721" s="13">
        <v>63097</v>
      </c>
      <c r="B721" s="46">
        <f t="shared" ref="B721:B784" si="2">EOMONTH(A721,0)-EOMONTH(A721,-1)</f>
        <v>30</v>
      </c>
      <c r="C721" s="37">
        <v>194.20500000000001</v>
      </c>
      <c r="D721" s="37">
        <v>267.46600000000001</v>
      </c>
      <c r="E721" s="43">
        <v>812.32899999999995</v>
      </c>
      <c r="F721" s="37">
        <v>1274</v>
      </c>
      <c r="G721" s="37">
        <v>50</v>
      </c>
      <c r="H721" s="45">
        <v>600</v>
      </c>
      <c r="I721" s="37">
        <v>695</v>
      </c>
      <c r="J721" s="37">
        <v>0</v>
      </c>
      <c r="K721" s="38"/>
      <c r="L721" s="38"/>
      <c r="M721" s="38"/>
      <c r="N721" s="38"/>
      <c r="O721" s="38"/>
      <c r="P721" s="38"/>
      <c r="Q721" s="38"/>
      <c r="R721" s="38"/>
      <c r="S721" s="38"/>
      <c r="T721" s="38"/>
    </row>
    <row r="722" spans="1:20" ht="15.75">
      <c r="A722" s="13">
        <v>63128</v>
      </c>
      <c r="B722" s="46">
        <f t="shared" si="2"/>
        <v>31</v>
      </c>
      <c r="C722" s="37">
        <v>131.881</v>
      </c>
      <c r="D722" s="37">
        <v>277.16699999999997</v>
      </c>
      <c r="E722" s="43">
        <v>829.952</v>
      </c>
      <c r="F722" s="37">
        <v>1239</v>
      </c>
      <c r="G722" s="37">
        <v>75</v>
      </c>
      <c r="H722" s="45">
        <v>600</v>
      </c>
      <c r="I722" s="37">
        <v>695</v>
      </c>
      <c r="J722" s="37">
        <v>0</v>
      </c>
      <c r="K722" s="38"/>
      <c r="L722" s="38"/>
      <c r="M722" s="38"/>
      <c r="N722" s="38"/>
      <c r="O722" s="38"/>
      <c r="P722" s="38"/>
      <c r="Q722" s="38"/>
      <c r="R722" s="38"/>
      <c r="S722" s="38"/>
      <c r="T722" s="38"/>
    </row>
    <row r="723" spans="1:20" ht="15.75">
      <c r="A723" s="13">
        <v>63158</v>
      </c>
      <c r="B723" s="46">
        <f t="shared" si="2"/>
        <v>30</v>
      </c>
      <c r="C723" s="37">
        <v>122.58</v>
      </c>
      <c r="D723" s="37">
        <v>297.94099999999997</v>
      </c>
      <c r="E723" s="43">
        <v>729.47900000000004</v>
      </c>
      <c r="F723" s="37">
        <v>1150</v>
      </c>
      <c r="G723" s="37">
        <v>100</v>
      </c>
      <c r="H723" s="45">
        <v>600</v>
      </c>
      <c r="I723" s="37">
        <v>695</v>
      </c>
      <c r="J723" s="37">
        <v>50</v>
      </c>
      <c r="K723" s="38"/>
      <c r="L723" s="38"/>
      <c r="M723" s="38"/>
      <c r="N723" s="38"/>
      <c r="O723" s="38"/>
      <c r="P723" s="38"/>
      <c r="Q723" s="38"/>
      <c r="R723" s="38"/>
      <c r="S723" s="38"/>
      <c r="T723" s="38"/>
    </row>
    <row r="724" spans="1:20" ht="15.75">
      <c r="A724" s="13">
        <v>63189</v>
      </c>
      <c r="B724" s="46">
        <f t="shared" si="2"/>
        <v>31</v>
      </c>
      <c r="C724" s="37">
        <v>122.58</v>
      </c>
      <c r="D724" s="37">
        <v>297.94099999999997</v>
      </c>
      <c r="E724" s="43">
        <v>729.47900000000004</v>
      </c>
      <c r="F724" s="37">
        <v>1150</v>
      </c>
      <c r="G724" s="37">
        <v>100</v>
      </c>
      <c r="H724" s="45">
        <v>600</v>
      </c>
      <c r="I724" s="37">
        <v>695</v>
      </c>
      <c r="J724" s="37">
        <v>50</v>
      </c>
      <c r="K724" s="38"/>
      <c r="L724" s="38"/>
      <c r="M724" s="38"/>
      <c r="N724" s="38"/>
      <c r="O724" s="38"/>
      <c r="P724" s="38"/>
      <c r="Q724" s="38"/>
      <c r="R724" s="38"/>
      <c r="S724" s="38"/>
      <c r="T724" s="38"/>
    </row>
    <row r="725" spans="1:20" ht="15.75">
      <c r="A725" s="13">
        <v>63220</v>
      </c>
      <c r="B725" s="46">
        <f t="shared" si="2"/>
        <v>31</v>
      </c>
      <c r="C725" s="37">
        <v>122.58</v>
      </c>
      <c r="D725" s="37">
        <v>297.94099999999997</v>
      </c>
      <c r="E725" s="43">
        <v>729.47900000000004</v>
      </c>
      <c r="F725" s="37">
        <v>1150</v>
      </c>
      <c r="G725" s="37">
        <v>100</v>
      </c>
      <c r="H725" s="45">
        <v>600</v>
      </c>
      <c r="I725" s="37">
        <v>695</v>
      </c>
      <c r="J725" s="37">
        <v>50</v>
      </c>
      <c r="K725" s="38"/>
      <c r="L725" s="38"/>
      <c r="M725" s="38"/>
      <c r="N725" s="38"/>
      <c r="O725" s="38"/>
      <c r="P725" s="38"/>
      <c r="Q725" s="38"/>
      <c r="R725" s="38"/>
      <c r="S725" s="38"/>
      <c r="T725" s="38"/>
    </row>
    <row r="726" spans="1:20" ht="15.75">
      <c r="A726" s="13">
        <v>63248</v>
      </c>
      <c r="B726" s="46">
        <f t="shared" si="2"/>
        <v>28</v>
      </c>
      <c r="C726" s="37">
        <v>122.58</v>
      </c>
      <c r="D726" s="37">
        <v>297.94099999999997</v>
      </c>
      <c r="E726" s="43">
        <v>729.47900000000004</v>
      </c>
      <c r="F726" s="37">
        <v>1150</v>
      </c>
      <c r="G726" s="37">
        <v>100</v>
      </c>
      <c r="H726" s="45">
        <v>600</v>
      </c>
      <c r="I726" s="37">
        <v>695</v>
      </c>
      <c r="J726" s="37">
        <v>50</v>
      </c>
      <c r="K726" s="38"/>
      <c r="L726" s="38"/>
      <c r="M726" s="38"/>
      <c r="N726" s="38"/>
      <c r="O726" s="38"/>
      <c r="P726" s="38"/>
      <c r="Q726" s="38"/>
      <c r="R726" s="38"/>
      <c r="S726" s="38"/>
      <c r="T726" s="38"/>
    </row>
    <row r="727" spans="1:20" ht="15.75">
      <c r="A727" s="13">
        <v>63279</v>
      </c>
      <c r="B727" s="46">
        <f t="shared" si="2"/>
        <v>31</v>
      </c>
      <c r="C727" s="37">
        <v>122.58</v>
      </c>
      <c r="D727" s="37">
        <v>297.94099999999997</v>
      </c>
      <c r="E727" s="43">
        <v>729.47900000000004</v>
      </c>
      <c r="F727" s="37">
        <v>1150</v>
      </c>
      <c r="G727" s="37">
        <v>100</v>
      </c>
      <c r="H727" s="45">
        <v>600</v>
      </c>
      <c r="I727" s="37">
        <v>695</v>
      </c>
      <c r="J727" s="37">
        <v>50</v>
      </c>
      <c r="K727" s="38"/>
      <c r="L727" s="38"/>
      <c r="M727" s="38"/>
      <c r="N727" s="38"/>
      <c r="O727" s="38"/>
      <c r="P727" s="38"/>
      <c r="Q727" s="38"/>
      <c r="R727" s="38"/>
      <c r="S727" s="38"/>
      <c r="T727" s="38"/>
    </row>
    <row r="728" spans="1:20" ht="15.75">
      <c r="A728" s="13">
        <v>63309</v>
      </c>
      <c r="B728" s="46">
        <f t="shared" si="2"/>
        <v>30</v>
      </c>
      <c r="C728" s="37">
        <v>141.29300000000001</v>
      </c>
      <c r="D728" s="37">
        <v>267.99299999999999</v>
      </c>
      <c r="E728" s="43">
        <v>829.71400000000006</v>
      </c>
      <c r="F728" s="37">
        <v>1239</v>
      </c>
      <c r="G728" s="37">
        <v>100</v>
      </c>
      <c r="H728" s="45">
        <v>600</v>
      </c>
      <c r="I728" s="37">
        <v>695</v>
      </c>
      <c r="J728" s="37">
        <v>50</v>
      </c>
      <c r="K728" s="38"/>
      <c r="L728" s="38"/>
      <c r="M728" s="38"/>
      <c r="N728" s="38"/>
      <c r="O728" s="38"/>
      <c r="P728" s="38"/>
      <c r="Q728" s="38"/>
      <c r="R728" s="38"/>
      <c r="S728" s="38"/>
      <c r="T728" s="38"/>
    </row>
    <row r="729" spans="1:20" ht="15.75">
      <c r="A729" s="13">
        <v>63340</v>
      </c>
      <c r="B729" s="46">
        <f t="shared" si="2"/>
        <v>31</v>
      </c>
      <c r="C729" s="37">
        <v>194.20500000000001</v>
      </c>
      <c r="D729" s="37">
        <v>267.46600000000001</v>
      </c>
      <c r="E729" s="43">
        <v>812.32899999999995</v>
      </c>
      <c r="F729" s="37">
        <v>1274</v>
      </c>
      <c r="G729" s="37">
        <v>75</v>
      </c>
      <c r="H729" s="45">
        <v>600</v>
      </c>
      <c r="I729" s="37">
        <v>695</v>
      </c>
      <c r="J729" s="37">
        <v>50</v>
      </c>
      <c r="K729" s="38"/>
      <c r="L729" s="38"/>
      <c r="M729" s="38"/>
      <c r="N729" s="38"/>
      <c r="O729" s="38"/>
      <c r="P729" s="38"/>
      <c r="Q729" s="38"/>
      <c r="R729" s="38"/>
      <c r="S729" s="38"/>
      <c r="T729" s="38"/>
    </row>
    <row r="730" spans="1:20" ht="15.75">
      <c r="A730" s="13">
        <v>63370</v>
      </c>
      <c r="B730" s="46">
        <f t="shared" si="2"/>
        <v>30</v>
      </c>
      <c r="C730" s="37">
        <v>194.20500000000001</v>
      </c>
      <c r="D730" s="37">
        <v>267.46600000000001</v>
      </c>
      <c r="E730" s="43">
        <v>812.32899999999995</v>
      </c>
      <c r="F730" s="37">
        <v>1274</v>
      </c>
      <c r="G730" s="37">
        <v>50</v>
      </c>
      <c r="H730" s="45">
        <v>600</v>
      </c>
      <c r="I730" s="37">
        <v>695</v>
      </c>
      <c r="J730" s="37">
        <v>50</v>
      </c>
      <c r="K730" s="38"/>
      <c r="L730" s="38"/>
      <c r="M730" s="38"/>
      <c r="N730" s="38"/>
      <c r="O730" s="38"/>
      <c r="P730" s="38"/>
      <c r="Q730" s="38"/>
      <c r="R730" s="38"/>
      <c r="S730" s="38"/>
      <c r="T730" s="38"/>
    </row>
    <row r="731" spans="1:20" ht="15.75">
      <c r="A731" s="13">
        <v>63401</v>
      </c>
      <c r="B731" s="46">
        <f t="shared" si="2"/>
        <v>31</v>
      </c>
      <c r="C731" s="37">
        <v>194.20500000000001</v>
      </c>
      <c r="D731" s="37">
        <v>267.46600000000001</v>
      </c>
      <c r="E731" s="43">
        <v>812.32899999999995</v>
      </c>
      <c r="F731" s="37">
        <v>1274</v>
      </c>
      <c r="G731" s="37">
        <v>50</v>
      </c>
      <c r="H731" s="45">
        <v>600</v>
      </c>
      <c r="I731" s="37">
        <v>695</v>
      </c>
      <c r="J731" s="37">
        <v>0</v>
      </c>
      <c r="K731" s="38"/>
      <c r="L731" s="38"/>
      <c r="M731" s="38"/>
      <c r="N731" s="38"/>
      <c r="O731" s="38"/>
      <c r="P731" s="38"/>
      <c r="Q731" s="38"/>
      <c r="R731" s="38"/>
      <c r="S731" s="38"/>
      <c r="T731" s="38"/>
    </row>
    <row r="732" spans="1:20" ht="15.75">
      <c r="A732" s="13">
        <v>63432</v>
      </c>
      <c r="B732" s="46">
        <f t="shared" si="2"/>
        <v>31</v>
      </c>
      <c r="C732" s="37">
        <v>194.20500000000001</v>
      </c>
      <c r="D732" s="37">
        <v>267.46600000000001</v>
      </c>
      <c r="E732" s="43">
        <v>812.32899999999995</v>
      </c>
      <c r="F732" s="37">
        <v>1274</v>
      </c>
      <c r="G732" s="37">
        <v>50</v>
      </c>
      <c r="H732" s="45">
        <v>600</v>
      </c>
      <c r="I732" s="37">
        <v>695</v>
      </c>
      <c r="J732" s="37">
        <v>0</v>
      </c>
      <c r="K732" s="38"/>
      <c r="L732" s="38"/>
      <c r="M732" s="38"/>
      <c r="N732" s="38"/>
      <c r="O732" s="38"/>
      <c r="P732" s="38"/>
      <c r="Q732" s="38"/>
      <c r="R732" s="38"/>
      <c r="S732" s="38"/>
      <c r="T732" s="38"/>
    </row>
    <row r="733" spans="1:20" ht="15.75">
      <c r="A733" s="13">
        <v>63462</v>
      </c>
      <c r="B733" s="46">
        <f t="shared" si="2"/>
        <v>30</v>
      </c>
      <c r="C733" s="37">
        <v>194.20500000000001</v>
      </c>
      <c r="D733" s="37">
        <v>267.46600000000001</v>
      </c>
      <c r="E733" s="43">
        <v>812.32899999999995</v>
      </c>
      <c r="F733" s="37">
        <v>1274</v>
      </c>
      <c r="G733" s="37">
        <v>50</v>
      </c>
      <c r="H733" s="45">
        <v>600</v>
      </c>
      <c r="I733" s="37">
        <v>695</v>
      </c>
      <c r="J733" s="37">
        <v>0</v>
      </c>
      <c r="K733" s="38"/>
      <c r="L733" s="38"/>
      <c r="M733" s="38"/>
      <c r="N733" s="38"/>
      <c r="O733" s="38"/>
      <c r="P733" s="38"/>
      <c r="Q733" s="38"/>
      <c r="R733" s="38"/>
      <c r="S733" s="38"/>
      <c r="T733" s="38"/>
    </row>
    <row r="734" spans="1:20" ht="15.75">
      <c r="A734" s="13">
        <v>63493</v>
      </c>
      <c r="B734" s="46">
        <f t="shared" si="2"/>
        <v>31</v>
      </c>
      <c r="C734" s="37">
        <v>131.881</v>
      </c>
      <c r="D734" s="37">
        <v>277.16699999999997</v>
      </c>
      <c r="E734" s="43">
        <v>829.952</v>
      </c>
      <c r="F734" s="37">
        <v>1239</v>
      </c>
      <c r="G734" s="37">
        <v>75</v>
      </c>
      <c r="H734" s="45">
        <v>600</v>
      </c>
      <c r="I734" s="37">
        <v>695</v>
      </c>
      <c r="J734" s="37">
        <v>0</v>
      </c>
      <c r="K734" s="38"/>
      <c r="L734" s="38"/>
      <c r="M734" s="38"/>
      <c r="N734" s="38"/>
      <c r="O734" s="38"/>
      <c r="P734" s="38"/>
      <c r="Q734" s="38"/>
      <c r="R734" s="38"/>
      <c r="S734" s="38"/>
      <c r="T734" s="38"/>
    </row>
    <row r="735" spans="1:20" ht="15.75">
      <c r="A735" s="13">
        <v>63523</v>
      </c>
      <c r="B735" s="46">
        <f t="shared" si="2"/>
        <v>30</v>
      </c>
      <c r="C735" s="37">
        <v>122.58</v>
      </c>
      <c r="D735" s="37">
        <v>297.94099999999997</v>
      </c>
      <c r="E735" s="43">
        <v>729.47900000000004</v>
      </c>
      <c r="F735" s="37">
        <v>1150</v>
      </c>
      <c r="G735" s="37">
        <v>100</v>
      </c>
      <c r="H735" s="45">
        <v>600</v>
      </c>
      <c r="I735" s="37">
        <v>695</v>
      </c>
      <c r="J735" s="37">
        <v>50</v>
      </c>
      <c r="K735" s="38"/>
      <c r="L735" s="38"/>
      <c r="M735" s="38"/>
      <c r="N735" s="38"/>
      <c r="O735" s="38"/>
      <c r="P735" s="38"/>
      <c r="Q735" s="38"/>
      <c r="R735" s="38"/>
      <c r="S735" s="38"/>
      <c r="T735" s="38"/>
    </row>
    <row r="736" spans="1:20" ht="15.75">
      <c r="A736" s="13">
        <v>63554</v>
      </c>
      <c r="B736" s="46">
        <f t="shared" si="2"/>
        <v>31</v>
      </c>
      <c r="C736" s="37">
        <v>122.58</v>
      </c>
      <c r="D736" s="37">
        <v>297.94099999999997</v>
      </c>
      <c r="E736" s="43">
        <v>729.47900000000004</v>
      </c>
      <c r="F736" s="37">
        <v>1150</v>
      </c>
      <c r="G736" s="37">
        <v>100</v>
      </c>
      <c r="H736" s="45">
        <v>600</v>
      </c>
      <c r="I736" s="37">
        <v>695</v>
      </c>
      <c r="J736" s="37">
        <v>50</v>
      </c>
      <c r="K736" s="38"/>
      <c r="L736" s="38"/>
      <c r="M736" s="38"/>
      <c r="N736" s="38"/>
      <c r="O736" s="38"/>
      <c r="P736" s="38"/>
      <c r="Q736" s="38"/>
      <c r="R736" s="38"/>
      <c r="S736" s="38"/>
      <c r="T736" s="38"/>
    </row>
    <row r="737" spans="1:20" ht="15.75">
      <c r="A737" s="13">
        <v>63585</v>
      </c>
      <c r="B737" s="46">
        <f t="shared" si="2"/>
        <v>31</v>
      </c>
      <c r="C737" s="37">
        <v>122.58</v>
      </c>
      <c r="D737" s="37">
        <v>297.94099999999997</v>
      </c>
      <c r="E737" s="43">
        <v>729.47900000000004</v>
      </c>
      <c r="F737" s="37">
        <v>1150</v>
      </c>
      <c r="G737" s="37">
        <v>100</v>
      </c>
      <c r="H737" s="45">
        <v>600</v>
      </c>
      <c r="I737" s="37">
        <v>695</v>
      </c>
      <c r="J737" s="37">
        <v>50</v>
      </c>
      <c r="K737" s="38"/>
      <c r="L737" s="38"/>
      <c r="M737" s="38"/>
      <c r="N737" s="38"/>
      <c r="O737" s="38"/>
      <c r="P737" s="38"/>
      <c r="Q737" s="38"/>
      <c r="R737" s="38"/>
      <c r="S737" s="38"/>
      <c r="T737" s="38"/>
    </row>
    <row r="738" spans="1:20" ht="15.75">
      <c r="A738" s="13">
        <v>63613</v>
      </c>
      <c r="B738" s="46">
        <f t="shared" si="2"/>
        <v>28</v>
      </c>
      <c r="C738" s="37">
        <v>122.58</v>
      </c>
      <c r="D738" s="37">
        <v>297.94099999999997</v>
      </c>
      <c r="E738" s="43">
        <v>729.47900000000004</v>
      </c>
      <c r="F738" s="37">
        <v>1150</v>
      </c>
      <c r="G738" s="37">
        <v>100</v>
      </c>
      <c r="H738" s="45">
        <v>600</v>
      </c>
      <c r="I738" s="37">
        <v>695</v>
      </c>
      <c r="J738" s="37">
        <v>50</v>
      </c>
      <c r="K738" s="38"/>
      <c r="L738" s="38"/>
      <c r="M738" s="38"/>
      <c r="N738" s="38"/>
      <c r="O738" s="38"/>
      <c r="P738" s="38"/>
      <c r="Q738" s="38"/>
      <c r="R738" s="38"/>
      <c r="S738" s="38"/>
      <c r="T738" s="38"/>
    </row>
    <row r="739" spans="1:20" ht="15.75">
      <c r="A739" s="13">
        <v>63644</v>
      </c>
      <c r="B739" s="46">
        <f t="shared" si="2"/>
        <v>31</v>
      </c>
      <c r="C739" s="37">
        <v>122.58</v>
      </c>
      <c r="D739" s="37">
        <v>297.94099999999997</v>
      </c>
      <c r="E739" s="43">
        <v>729.47900000000004</v>
      </c>
      <c r="F739" s="37">
        <v>1150</v>
      </c>
      <c r="G739" s="37">
        <v>100</v>
      </c>
      <c r="H739" s="45">
        <v>600</v>
      </c>
      <c r="I739" s="37">
        <v>695</v>
      </c>
      <c r="J739" s="37">
        <v>50</v>
      </c>
      <c r="K739" s="38"/>
      <c r="L739" s="38"/>
      <c r="M739" s="38"/>
      <c r="N739" s="38"/>
      <c r="O739" s="38"/>
      <c r="P739" s="38"/>
      <c r="Q739" s="38"/>
      <c r="R739" s="38"/>
      <c r="S739" s="38"/>
      <c r="T739" s="38"/>
    </row>
    <row r="740" spans="1:20" ht="15.75">
      <c r="A740" s="13">
        <v>63674</v>
      </c>
      <c r="B740" s="46">
        <f t="shared" si="2"/>
        <v>30</v>
      </c>
      <c r="C740" s="37">
        <v>141.29300000000001</v>
      </c>
      <c r="D740" s="37">
        <v>267.99299999999999</v>
      </c>
      <c r="E740" s="43">
        <v>829.71400000000006</v>
      </c>
      <c r="F740" s="37">
        <v>1239</v>
      </c>
      <c r="G740" s="37">
        <v>100</v>
      </c>
      <c r="H740" s="45">
        <v>600</v>
      </c>
      <c r="I740" s="37">
        <v>695</v>
      </c>
      <c r="J740" s="37">
        <v>50</v>
      </c>
      <c r="K740" s="38"/>
      <c r="L740" s="38"/>
      <c r="M740" s="38"/>
      <c r="N740" s="38"/>
      <c r="O740" s="38"/>
      <c r="P740" s="38"/>
      <c r="Q740" s="38"/>
      <c r="R740" s="38"/>
      <c r="S740" s="38"/>
      <c r="T740" s="38"/>
    </row>
    <row r="741" spans="1:20" ht="15.75">
      <c r="A741" s="13">
        <v>63705</v>
      </c>
      <c r="B741" s="46">
        <f t="shared" si="2"/>
        <v>31</v>
      </c>
      <c r="C741" s="37">
        <v>194.20500000000001</v>
      </c>
      <c r="D741" s="37">
        <v>267.46600000000001</v>
      </c>
      <c r="E741" s="43">
        <v>812.32899999999995</v>
      </c>
      <c r="F741" s="37">
        <v>1274</v>
      </c>
      <c r="G741" s="37">
        <v>75</v>
      </c>
      <c r="H741" s="45">
        <v>600</v>
      </c>
      <c r="I741" s="37">
        <v>695</v>
      </c>
      <c r="J741" s="37">
        <v>50</v>
      </c>
      <c r="K741" s="38"/>
      <c r="L741" s="38"/>
      <c r="M741" s="38"/>
      <c r="N741" s="38"/>
      <c r="O741" s="38"/>
      <c r="P741" s="38"/>
      <c r="Q741" s="38"/>
      <c r="R741" s="38"/>
      <c r="S741" s="38"/>
      <c r="T741" s="38"/>
    </row>
    <row r="742" spans="1:20" ht="15.75">
      <c r="A742" s="13">
        <v>63735</v>
      </c>
      <c r="B742" s="46">
        <f t="shared" si="2"/>
        <v>30</v>
      </c>
      <c r="C742" s="37">
        <v>194.20500000000001</v>
      </c>
      <c r="D742" s="37">
        <v>267.46600000000001</v>
      </c>
      <c r="E742" s="43">
        <v>812.32899999999995</v>
      </c>
      <c r="F742" s="37">
        <v>1274</v>
      </c>
      <c r="G742" s="37">
        <v>50</v>
      </c>
      <c r="H742" s="45">
        <v>600</v>
      </c>
      <c r="I742" s="37">
        <v>695</v>
      </c>
      <c r="J742" s="37">
        <v>50</v>
      </c>
      <c r="K742" s="38"/>
      <c r="L742" s="38"/>
      <c r="M742" s="38"/>
      <c r="N742" s="38"/>
      <c r="O742" s="38"/>
      <c r="P742" s="38"/>
      <c r="Q742" s="38"/>
      <c r="R742" s="38"/>
      <c r="S742" s="38"/>
      <c r="T742" s="38"/>
    </row>
    <row r="743" spans="1:20" ht="15.75">
      <c r="A743" s="13">
        <v>63766</v>
      </c>
      <c r="B743" s="46">
        <f t="shared" si="2"/>
        <v>31</v>
      </c>
      <c r="C743" s="37">
        <v>194.20500000000001</v>
      </c>
      <c r="D743" s="37">
        <v>267.46600000000001</v>
      </c>
      <c r="E743" s="43">
        <v>812.32899999999995</v>
      </c>
      <c r="F743" s="37">
        <v>1274</v>
      </c>
      <c r="G743" s="37">
        <v>50</v>
      </c>
      <c r="H743" s="45">
        <v>600</v>
      </c>
      <c r="I743" s="37">
        <v>695</v>
      </c>
      <c r="J743" s="37">
        <v>0</v>
      </c>
      <c r="K743" s="38"/>
      <c r="L743" s="38"/>
      <c r="M743" s="38"/>
      <c r="N743" s="38"/>
      <c r="O743" s="38"/>
      <c r="P743" s="38"/>
      <c r="Q743" s="38"/>
      <c r="R743" s="38"/>
      <c r="S743" s="38"/>
      <c r="T743" s="38"/>
    </row>
    <row r="744" spans="1:20" ht="15.75">
      <c r="A744" s="13">
        <v>63797</v>
      </c>
      <c r="B744" s="46">
        <f t="shared" si="2"/>
        <v>31</v>
      </c>
      <c r="C744" s="37">
        <v>194.20500000000001</v>
      </c>
      <c r="D744" s="37">
        <v>267.46600000000001</v>
      </c>
      <c r="E744" s="43">
        <v>812.32899999999995</v>
      </c>
      <c r="F744" s="37">
        <v>1274</v>
      </c>
      <c r="G744" s="37">
        <v>50</v>
      </c>
      <c r="H744" s="45">
        <v>600</v>
      </c>
      <c r="I744" s="37">
        <v>695</v>
      </c>
      <c r="J744" s="37">
        <v>0</v>
      </c>
      <c r="K744" s="38"/>
      <c r="L744" s="38"/>
      <c r="M744" s="38"/>
      <c r="N744" s="38"/>
      <c r="O744" s="38"/>
      <c r="P744" s="38"/>
      <c r="Q744" s="38"/>
      <c r="R744" s="38"/>
      <c r="S744" s="38"/>
      <c r="T744" s="38"/>
    </row>
    <row r="745" spans="1:20" ht="15.75">
      <c r="A745" s="13">
        <v>63827</v>
      </c>
      <c r="B745" s="46">
        <f t="shared" si="2"/>
        <v>30</v>
      </c>
      <c r="C745" s="37">
        <v>194.20500000000001</v>
      </c>
      <c r="D745" s="37">
        <v>267.46600000000001</v>
      </c>
      <c r="E745" s="43">
        <v>812.32899999999995</v>
      </c>
      <c r="F745" s="37">
        <v>1274</v>
      </c>
      <c r="G745" s="37">
        <v>50</v>
      </c>
      <c r="H745" s="45">
        <v>600</v>
      </c>
      <c r="I745" s="37">
        <v>695</v>
      </c>
      <c r="J745" s="37">
        <v>0</v>
      </c>
      <c r="K745" s="38"/>
      <c r="L745" s="38"/>
      <c r="M745" s="38"/>
      <c r="N745" s="38"/>
      <c r="O745" s="38"/>
      <c r="P745" s="38"/>
      <c r="Q745" s="38"/>
      <c r="R745" s="38"/>
      <c r="S745" s="38"/>
      <c r="T745" s="38"/>
    </row>
    <row r="746" spans="1:20" ht="15.75">
      <c r="A746" s="13">
        <v>63858</v>
      </c>
      <c r="B746" s="46">
        <f t="shared" si="2"/>
        <v>31</v>
      </c>
      <c r="C746" s="37">
        <v>131.881</v>
      </c>
      <c r="D746" s="37">
        <v>277.16699999999997</v>
      </c>
      <c r="E746" s="43">
        <v>829.952</v>
      </c>
      <c r="F746" s="37">
        <v>1239</v>
      </c>
      <c r="G746" s="37">
        <v>75</v>
      </c>
      <c r="H746" s="45">
        <v>600</v>
      </c>
      <c r="I746" s="37">
        <v>695</v>
      </c>
      <c r="J746" s="37">
        <v>0</v>
      </c>
      <c r="K746" s="38"/>
      <c r="L746" s="38"/>
      <c r="M746" s="38"/>
      <c r="N746" s="38"/>
      <c r="O746" s="38"/>
      <c r="P746" s="38"/>
      <c r="Q746" s="38"/>
      <c r="R746" s="38"/>
      <c r="S746" s="38"/>
      <c r="T746" s="38"/>
    </row>
    <row r="747" spans="1:20" ht="15.75">
      <c r="A747" s="13">
        <v>63888</v>
      </c>
      <c r="B747" s="46">
        <f t="shared" si="2"/>
        <v>30</v>
      </c>
      <c r="C747" s="37">
        <v>122.58</v>
      </c>
      <c r="D747" s="37">
        <v>297.94099999999997</v>
      </c>
      <c r="E747" s="43">
        <v>729.47900000000004</v>
      </c>
      <c r="F747" s="37">
        <v>1150</v>
      </c>
      <c r="G747" s="37">
        <v>100</v>
      </c>
      <c r="H747" s="45">
        <v>600</v>
      </c>
      <c r="I747" s="37">
        <v>695</v>
      </c>
      <c r="J747" s="37">
        <v>50</v>
      </c>
      <c r="K747" s="38"/>
      <c r="L747" s="38"/>
      <c r="M747" s="38"/>
      <c r="N747" s="38"/>
      <c r="O747" s="38"/>
      <c r="P747" s="38"/>
      <c r="Q747" s="38"/>
      <c r="R747" s="38"/>
      <c r="S747" s="38"/>
      <c r="T747" s="38"/>
    </row>
    <row r="748" spans="1:20" ht="15.75">
      <c r="A748" s="13">
        <v>63919</v>
      </c>
      <c r="B748" s="46">
        <f t="shared" si="2"/>
        <v>31</v>
      </c>
      <c r="C748" s="37">
        <v>122.58</v>
      </c>
      <c r="D748" s="37">
        <v>297.94099999999997</v>
      </c>
      <c r="E748" s="43">
        <v>729.47900000000004</v>
      </c>
      <c r="F748" s="37">
        <v>1150</v>
      </c>
      <c r="G748" s="37">
        <v>100</v>
      </c>
      <c r="H748" s="45">
        <v>600</v>
      </c>
      <c r="I748" s="37">
        <v>695</v>
      </c>
      <c r="J748" s="37">
        <v>50</v>
      </c>
      <c r="K748" s="38"/>
      <c r="L748" s="38"/>
      <c r="M748" s="38"/>
      <c r="N748" s="38"/>
      <c r="O748" s="38"/>
      <c r="P748" s="38"/>
      <c r="Q748" s="38"/>
      <c r="R748" s="38"/>
      <c r="S748" s="38"/>
      <c r="T748" s="38"/>
    </row>
    <row r="749" spans="1:20" ht="15.75">
      <c r="A749" s="13">
        <v>63950</v>
      </c>
      <c r="B749" s="46">
        <f t="shared" si="2"/>
        <v>31</v>
      </c>
      <c r="C749" s="37">
        <v>122.58</v>
      </c>
      <c r="D749" s="37">
        <v>297.94099999999997</v>
      </c>
      <c r="E749" s="43">
        <v>729.47900000000004</v>
      </c>
      <c r="F749" s="37">
        <v>1150</v>
      </c>
      <c r="G749" s="37">
        <v>100</v>
      </c>
      <c r="H749" s="45">
        <v>600</v>
      </c>
      <c r="I749" s="37">
        <v>695</v>
      </c>
      <c r="J749" s="37">
        <v>50</v>
      </c>
      <c r="K749" s="38"/>
      <c r="L749" s="38"/>
      <c r="M749" s="38"/>
      <c r="N749" s="38"/>
      <c r="O749" s="38"/>
      <c r="P749" s="38"/>
      <c r="Q749" s="38"/>
      <c r="R749" s="38"/>
      <c r="S749" s="38"/>
      <c r="T749" s="38"/>
    </row>
    <row r="750" spans="1:20" ht="15.75">
      <c r="A750" s="13">
        <v>63978</v>
      </c>
      <c r="B750" s="46">
        <f t="shared" si="2"/>
        <v>28</v>
      </c>
      <c r="C750" s="37">
        <v>122.58</v>
      </c>
      <c r="D750" s="37">
        <v>297.94099999999997</v>
      </c>
      <c r="E750" s="43">
        <v>729.47900000000004</v>
      </c>
      <c r="F750" s="37">
        <v>1150</v>
      </c>
      <c r="G750" s="37">
        <v>100</v>
      </c>
      <c r="H750" s="45">
        <v>600</v>
      </c>
      <c r="I750" s="37">
        <v>695</v>
      </c>
      <c r="J750" s="37">
        <v>50</v>
      </c>
      <c r="K750" s="38"/>
      <c r="L750" s="38"/>
      <c r="M750" s="38"/>
      <c r="N750" s="38"/>
      <c r="O750" s="38"/>
      <c r="P750" s="38"/>
      <c r="Q750" s="38"/>
      <c r="R750" s="38"/>
      <c r="S750" s="38"/>
      <c r="T750" s="38"/>
    </row>
    <row r="751" spans="1:20" ht="15.75">
      <c r="A751" s="13">
        <v>64009</v>
      </c>
      <c r="B751" s="46">
        <f t="shared" si="2"/>
        <v>31</v>
      </c>
      <c r="C751" s="37">
        <v>122.58</v>
      </c>
      <c r="D751" s="37">
        <v>297.94099999999997</v>
      </c>
      <c r="E751" s="43">
        <v>729.47900000000004</v>
      </c>
      <c r="F751" s="37">
        <v>1150</v>
      </c>
      <c r="G751" s="37">
        <v>100</v>
      </c>
      <c r="H751" s="45">
        <v>600</v>
      </c>
      <c r="I751" s="37">
        <v>695</v>
      </c>
      <c r="J751" s="37">
        <v>50</v>
      </c>
      <c r="K751" s="38"/>
      <c r="L751" s="38"/>
      <c r="M751" s="38"/>
      <c r="N751" s="38"/>
      <c r="O751" s="38"/>
      <c r="P751" s="38"/>
      <c r="Q751" s="38"/>
      <c r="R751" s="38"/>
      <c r="S751" s="38"/>
      <c r="T751" s="38"/>
    </row>
    <row r="752" spans="1:20" ht="15.75">
      <c r="A752" s="13">
        <v>64039</v>
      </c>
      <c r="B752" s="46">
        <f t="shared" si="2"/>
        <v>30</v>
      </c>
      <c r="C752" s="37">
        <v>141.29300000000001</v>
      </c>
      <c r="D752" s="37">
        <v>267.99299999999999</v>
      </c>
      <c r="E752" s="43">
        <v>829.71400000000006</v>
      </c>
      <c r="F752" s="37">
        <v>1239</v>
      </c>
      <c r="G752" s="37">
        <v>100</v>
      </c>
      <c r="H752" s="45">
        <v>600</v>
      </c>
      <c r="I752" s="37">
        <v>695</v>
      </c>
      <c r="J752" s="37">
        <v>50</v>
      </c>
      <c r="K752" s="38"/>
      <c r="L752" s="38"/>
      <c r="M752" s="38"/>
      <c r="N752" s="38"/>
      <c r="O752" s="38"/>
      <c r="P752" s="38"/>
      <c r="Q752" s="38"/>
      <c r="R752" s="38"/>
      <c r="S752" s="38"/>
      <c r="T752" s="38"/>
    </row>
    <row r="753" spans="1:20" ht="15.75">
      <c r="A753" s="13">
        <v>64070</v>
      </c>
      <c r="B753" s="46">
        <f t="shared" si="2"/>
        <v>31</v>
      </c>
      <c r="C753" s="37">
        <v>194.20500000000001</v>
      </c>
      <c r="D753" s="37">
        <v>267.46600000000001</v>
      </c>
      <c r="E753" s="43">
        <v>812.32899999999995</v>
      </c>
      <c r="F753" s="37">
        <v>1274</v>
      </c>
      <c r="G753" s="37">
        <v>75</v>
      </c>
      <c r="H753" s="45">
        <v>600</v>
      </c>
      <c r="I753" s="37">
        <v>695</v>
      </c>
      <c r="J753" s="37">
        <v>50</v>
      </c>
      <c r="K753" s="38"/>
      <c r="L753" s="38"/>
      <c r="M753" s="38"/>
      <c r="N753" s="38"/>
      <c r="O753" s="38"/>
      <c r="P753" s="38"/>
      <c r="Q753" s="38"/>
      <c r="R753" s="38"/>
      <c r="S753" s="38"/>
      <c r="T753" s="38"/>
    </row>
    <row r="754" spans="1:20" ht="15.75">
      <c r="A754" s="13">
        <v>64100</v>
      </c>
      <c r="B754" s="46">
        <f t="shared" si="2"/>
        <v>30</v>
      </c>
      <c r="C754" s="37">
        <v>194.20500000000001</v>
      </c>
      <c r="D754" s="37">
        <v>267.46600000000001</v>
      </c>
      <c r="E754" s="43">
        <v>812.32899999999995</v>
      </c>
      <c r="F754" s="37">
        <v>1274</v>
      </c>
      <c r="G754" s="37">
        <v>50</v>
      </c>
      <c r="H754" s="45">
        <v>600</v>
      </c>
      <c r="I754" s="37">
        <v>695</v>
      </c>
      <c r="J754" s="37">
        <v>50</v>
      </c>
      <c r="K754" s="38"/>
      <c r="L754" s="38"/>
      <c r="M754" s="38"/>
      <c r="N754" s="38"/>
      <c r="O754" s="38"/>
      <c r="P754" s="38"/>
      <c r="Q754" s="38"/>
      <c r="R754" s="38"/>
      <c r="S754" s="38"/>
      <c r="T754" s="38"/>
    </row>
    <row r="755" spans="1:20" ht="15.75">
      <c r="A755" s="13">
        <v>64131</v>
      </c>
      <c r="B755" s="46">
        <f t="shared" si="2"/>
        <v>31</v>
      </c>
      <c r="C755" s="37">
        <v>194.20500000000001</v>
      </c>
      <c r="D755" s="37">
        <v>267.46600000000001</v>
      </c>
      <c r="E755" s="43">
        <v>812.32899999999995</v>
      </c>
      <c r="F755" s="37">
        <v>1274</v>
      </c>
      <c r="G755" s="37">
        <v>50</v>
      </c>
      <c r="H755" s="45">
        <v>600</v>
      </c>
      <c r="I755" s="37">
        <v>695</v>
      </c>
      <c r="J755" s="37">
        <v>0</v>
      </c>
      <c r="K755" s="38"/>
      <c r="L755" s="38"/>
      <c r="M755" s="38"/>
      <c r="N755" s="38"/>
      <c r="O755" s="38"/>
      <c r="P755" s="38"/>
      <c r="Q755" s="38"/>
      <c r="R755" s="38"/>
      <c r="S755" s="38"/>
      <c r="T755" s="38"/>
    </row>
    <row r="756" spans="1:20" ht="15.75">
      <c r="A756" s="13">
        <v>64162</v>
      </c>
      <c r="B756" s="46">
        <f t="shared" si="2"/>
        <v>31</v>
      </c>
      <c r="C756" s="37">
        <v>194.20500000000001</v>
      </c>
      <c r="D756" s="37">
        <v>267.46600000000001</v>
      </c>
      <c r="E756" s="43">
        <v>812.32899999999995</v>
      </c>
      <c r="F756" s="37">
        <v>1274</v>
      </c>
      <c r="G756" s="37">
        <v>50</v>
      </c>
      <c r="H756" s="45">
        <v>600</v>
      </c>
      <c r="I756" s="37">
        <v>695</v>
      </c>
      <c r="J756" s="37">
        <v>0</v>
      </c>
      <c r="K756" s="38"/>
      <c r="L756" s="38"/>
      <c r="M756" s="38"/>
      <c r="N756" s="38"/>
      <c r="O756" s="38"/>
      <c r="P756" s="38"/>
      <c r="Q756" s="38"/>
      <c r="R756" s="38"/>
      <c r="S756" s="38"/>
      <c r="T756" s="38"/>
    </row>
    <row r="757" spans="1:20" ht="15.75">
      <c r="A757" s="13">
        <v>64192</v>
      </c>
      <c r="B757" s="46">
        <f t="shared" si="2"/>
        <v>30</v>
      </c>
      <c r="C757" s="37">
        <v>194.20500000000001</v>
      </c>
      <c r="D757" s="37">
        <v>267.46600000000001</v>
      </c>
      <c r="E757" s="43">
        <v>812.32899999999995</v>
      </c>
      <c r="F757" s="37">
        <v>1274</v>
      </c>
      <c r="G757" s="37">
        <v>50</v>
      </c>
      <c r="H757" s="45">
        <v>600</v>
      </c>
      <c r="I757" s="37">
        <v>695</v>
      </c>
      <c r="J757" s="37">
        <v>0</v>
      </c>
      <c r="K757" s="38"/>
      <c r="L757" s="38"/>
      <c r="M757" s="38"/>
      <c r="N757" s="38"/>
      <c r="O757" s="38"/>
      <c r="P757" s="38"/>
      <c r="Q757" s="38"/>
      <c r="R757" s="38"/>
      <c r="S757" s="38"/>
      <c r="T757" s="38"/>
    </row>
    <row r="758" spans="1:20" ht="15.75">
      <c r="A758" s="13">
        <v>64223</v>
      </c>
      <c r="B758" s="46">
        <f t="shared" si="2"/>
        <v>31</v>
      </c>
      <c r="C758" s="37">
        <v>131.881</v>
      </c>
      <c r="D758" s="37">
        <v>277.16699999999997</v>
      </c>
      <c r="E758" s="43">
        <v>829.952</v>
      </c>
      <c r="F758" s="37">
        <v>1239</v>
      </c>
      <c r="G758" s="37">
        <v>75</v>
      </c>
      <c r="H758" s="45">
        <v>600</v>
      </c>
      <c r="I758" s="37">
        <v>695</v>
      </c>
      <c r="J758" s="37">
        <v>0</v>
      </c>
      <c r="K758" s="38"/>
      <c r="L758" s="38"/>
      <c r="M758" s="38"/>
      <c r="N758" s="38"/>
      <c r="O758" s="38"/>
      <c r="P758" s="38"/>
      <c r="Q758" s="38"/>
      <c r="R758" s="38"/>
      <c r="S758" s="38"/>
      <c r="T758" s="38"/>
    </row>
    <row r="759" spans="1:20" ht="15.75">
      <c r="A759" s="13">
        <v>64253</v>
      </c>
      <c r="B759" s="46">
        <f t="shared" si="2"/>
        <v>30</v>
      </c>
      <c r="C759" s="37">
        <v>122.58</v>
      </c>
      <c r="D759" s="37">
        <v>297.94099999999997</v>
      </c>
      <c r="E759" s="43">
        <v>729.47900000000004</v>
      </c>
      <c r="F759" s="37">
        <v>1150</v>
      </c>
      <c r="G759" s="37">
        <v>100</v>
      </c>
      <c r="H759" s="45">
        <v>600</v>
      </c>
      <c r="I759" s="37">
        <v>695</v>
      </c>
      <c r="J759" s="37">
        <v>50</v>
      </c>
      <c r="K759" s="38"/>
      <c r="L759" s="38"/>
      <c r="M759" s="38"/>
      <c r="N759" s="38"/>
      <c r="O759" s="38"/>
      <c r="P759" s="38"/>
      <c r="Q759" s="38"/>
      <c r="R759" s="38"/>
      <c r="S759" s="38"/>
      <c r="T759" s="38"/>
    </row>
    <row r="760" spans="1:20" ht="15.75">
      <c r="A760" s="13">
        <v>64284</v>
      </c>
      <c r="B760" s="46">
        <f t="shared" si="2"/>
        <v>31</v>
      </c>
      <c r="C760" s="37">
        <v>122.58</v>
      </c>
      <c r="D760" s="37">
        <v>297.94099999999997</v>
      </c>
      <c r="E760" s="43">
        <v>729.47900000000004</v>
      </c>
      <c r="F760" s="37">
        <v>1150</v>
      </c>
      <c r="G760" s="37">
        <v>100</v>
      </c>
      <c r="H760" s="45">
        <v>600</v>
      </c>
      <c r="I760" s="37">
        <v>695</v>
      </c>
      <c r="J760" s="37">
        <v>50</v>
      </c>
      <c r="K760" s="38"/>
      <c r="L760" s="38"/>
      <c r="M760" s="38"/>
      <c r="N760" s="38"/>
      <c r="O760" s="38"/>
      <c r="P760" s="38"/>
      <c r="Q760" s="38"/>
      <c r="R760" s="38"/>
      <c r="S760" s="38"/>
      <c r="T760" s="38"/>
    </row>
    <row r="761" spans="1:20" ht="15.75">
      <c r="A761" s="13">
        <v>64315</v>
      </c>
      <c r="B761" s="46">
        <f t="shared" si="2"/>
        <v>31</v>
      </c>
      <c r="C761" s="37">
        <v>122.58</v>
      </c>
      <c r="D761" s="37">
        <v>297.94099999999997</v>
      </c>
      <c r="E761" s="43">
        <v>729.47900000000004</v>
      </c>
      <c r="F761" s="37">
        <v>1150</v>
      </c>
      <c r="G761" s="37">
        <v>100</v>
      </c>
      <c r="H761" s="45">
        <v>600</v>
      </c>
      <c r="I761" s="37">
        <v>695</v>
      </c>
      <c r="J761" s="37">
        <v>50</v>
      </c>
      <c r="K761" s="38"/>
      <c r="L761" s="38"/>
      <c r="M761" s="38"/>
      <c r="N761" s="38"/>
      <c r="O761" s="38"/>
      <c r="P761" s="38"/>
      <c r="Q761" s="38"/>
      <c r="R761" s="38"/>
      <c r="S761" s="38"/>
      <c r="T761" s="38"/>
    </row>
    <row r="762" spans="1:20" ht="15.75">
      <c r="A762" s="13">
        <v>64344</v>
      </c>
      <c r="B762" s="46">
        <f t="shared" si="2"/>
        <v>29</v>
      </c>
      <c r="C762" s="37">
        <v>122.58</v>
      </c>
      <c r="D762" s="37">
        <v>297.94099999999997</v>
      </c>
      <c r="E762" s="43">
        <v>729.47900000000004</v>
      </c>
      <c r="F762" s="37">
        <v>1150</v>
      </c>
      <c r="G762" s="37">
        <v>100</v>
      </c>
      <c r="H762" s="45">
        <v>600</v>
      </c>
      <c r="I762" s="37">
        <v>695</v>
      </c>
      <c r="J762" s="37">
        <v>50</v>
      </c>
      <c r="K762" s="38"/>
      <c r="L762" s="38"/>
      <c r="M762" s="38"/>
      <c r="N762" s="38"/>
      <c r="O762" s="38"/>
      <c r="P762" s="38"/>
      <c r="Q762" s="38"/>
      <c r="R762" s="38"/>
      <c r="S762" s="38"/>
      <c r="T762" s="38"/>
    </row>
    <row r="763" spans="1:20" ht="15.75">
      <c r="A763" s="13">
        <v>64375</v>
      </c>
      <c r="B763" s="46">
        <f t="shared" si="2"/>
        <v>31</v>
      </c>
      <c r="C763" s="37">
        <v>122.58</v>
      </c>
      <c r="D763" s="37">
        <v>297.94099999999997</v>
      </c>
      <c r="E763" s="43">
        <v>729.47900000000004</v>
      </c>
      <c r="F763" s="37">
        <v>1150</v>
      </c>
      <c r="G763" s="37">
        <v>100</v>
      </c>
      <c r="H763" s="45">
        <v>600</v>
      </c>
      <c r="I763" s="37">
        <v>695</v>
      </c>
      <c r="J763" s="37">
        <v>50</v>
      </c>
      <c r="K763" s="38"/>
      <c r="L763" s="38"/>
      <c r="M763" s="38"/>
      <c r="N763" s="38"/>
      <c r="O763" s="38"/>
      <c r="P763" s="38"/>
      <c r="Q763" s="38"/>
      <c r="R763" s="38"/>
      <c r="S763" s="38"/>
      <c r="T763" s="38"/>
    </row>
    <row r="764" spans="1:20" ht="15.75">
      <c r="A764" s="13">
        <v>64405</v>
      </c>
      <c r="B764" s="46">
        <f t="shared" si="2"/>
        <v>30</v>
      </c>
      <c r="C764" s="37">
        <v>141.29300000000001</v>
      </c>
      <c r="D764" s="37">
        <v>267.99299999999999</v>
      </c>
      <c r="E764" s="43">
        <v>829.71400000000006</v>
      </c>
      <c r="F764" s="37">
        <v>1239</v>
      </c>
      <c r="G764" s="37">
        <v>100</v>
      </c>
      <c r="H764" s="45">
        <v>600</v>
      </c>
      <c r="I764" s="37">
        <v>695</v>
      </c>
      <c r="J764" s="37">
        <v>50</v>
      </c>
      <c r="K764" s="38"/>
      <c r="L764" s="38"/>
      <c r="M764" s="38"/>
      <c r="N764" s="38"/>
      <c r="O764" s="38"/>
      <c r="P764" s="38"/>
      <c r="Q764" s="38"/>
      <c r="R764" s="38"/>
      <c r="S764" s="38"/>
      <c r="T764" s="38"/>
    </row>
    <row r="765" spans="1:20" ht="15.75">
      <c r="A765" s="13">
        <v>64436</v>
      </c>
      <c r="B765" s="46">
        <f t="shared" si="2"/>
        <v>31</v>
      </c>
      <c r="C765" s="37">
        <v>194.20500000000001</v>
      </c>
      <c r="D765" s="37">
        <v>267.46600000000001</v>
      </c>
      <c r="E765" s="43">
        <v>812.32899999999995</v>
      </c>
      <c r="F765" s="37">
        <v>1274</v>
      </c>
      <c r="G765" s="37">
        <v>75</v>
      </c>
      <c r="H765" s="45">
        <v>600</v>
      </c>
      <c r="I765" s="37">
        <v>695</v>
      </c>
      <c r="J765" s="37">
        <v>50</v>
      </c>
      <c r="K765" s="38"/>
      <c r="L765" s="38"/>
      <c r="M765" s="38"/>
      <c r="N765" s="38"/>
      <c r="O765" s="38"/>
      <c r="P765" s="38"/>
      <c r="Q765" s="38"/>
      <c r="R765" s="38"/>
      <c r="S765" s="38"/>
      <c r="T765" s="38"/>
    </row>
    <row r="766" spans="1:20" ht="15.75">
      <c r="A766" s="13">
        <v>64466</v>
      </c>
      <c r="B766" s="46">
        <f t="shared" si="2"/>
        <v>30</v>
      </c>
      <c r="C766" s="37">
        <v>194.20500000000001</v>
      </c>
      <c r="D766" s="37">
        <v>267.46600000000001</v>
      </c>
      <c r="E766" s="43">
        <v>812.32899999999995</v>
      </c>
      <c r="F766" s="37">
        <v>1274</v>
      </c>
      <c r="G766" s="37">
        <v>50</v>
      </c>
      <c r="H766" s="45">
        <v>600</v>
      </c>
      <c r="I766" s="37">
        <v>695</v>
      </c>
      <c r="J766" s="37">
        <v>50</v>
      </c>
      <c r="K766" s="38"/>
      <c r="L766" s="38"/>
      <c r="M766" s="38"/>
      <c r="N766" s="38"/>
      <c r="O766" s="38"/>
      <c r="P766" s="38"/>
      <c r="Q766" s="38"/>
      <c r="R766" s="38"/>
      <c r="S766" s="38"/>
      <c r="T766" s="38"/>
    </row>
    <row r="767" spans="1:20" ht="15.75">
      <c r="A767" s="13">
        <v>64497</v>
      </c>
      <c r="B767" s="46">
        <f t="shared" si="2"/>
        <v>31</v>
      </c>
      <c r="C767" s="37">
        <v>194.20500000000001</v>
      </c>
      <c r="D767" s="37">
        <v>267.46600000000001</v>
      </c>
      <c r="E767" s="43">
        <v>812.32899999999995</v>
      </c>
      <c r="F767" s="37">
        <v>1274</v>
      </c>
      <c r="G767" s="37">
        <v>50</v>
      </c>
      <c r="H767" s="45">
        <v>600</v>
      </c>
      <c r="I767" s="37">
        <v>695</v>
      </c>
      <c r="J767" s="37">
        <v>0</v>
      </c>
      <c r="K767" s="38"/>
      <c r="L767" s="38"/>
      <c r="M767" s="38"/>
      <c r="N767" s="38"/>
      <c r="O767" s="38"/>
      <c r="P767" s="38"/>
      <c r="Q767" s="38"/>
      <c r="R767" s="38"/>
      <c r="S767" s="38"/>
      <c r="T767" s="38"/>
    </row>
    <row r="768" spans="1:20" ht="15.75">
      <c r="A768" s="13">
        <v>64528</v>
      </c>
      <c r="B768" s="46">
        <f t="shared" si="2"/>
        <v>31</v>
      </c>
      <c r="C768" s="37">
        <v>194.20500000000001</v>
      </c>
      <c r="D768" s="37">
        <v>267.46600000000001</v>
      </c>
      <c r="E768" s="43">
        <v>812.32899999999995</v>
      </c>
      <c r="F768" s="37">
        <v>1274</v>
      </c>
      <c r="G768" s="37">
        <v>50</v>
      </c>
      <c r="H768" s="45">
        <v>600</v>
      </c>
      <c r="I768" s="37">
        <v>695</v>
      </c>
      <c r="J768" s="37">
        <v>0</v>
      </c>
      <c r="K768" s="38"/>
      <c r="L768" s="38"/>
      <c r="M768" s="38"/>
      <c r="N768" s="38"/>
      <c r="O768" s="38"/>
      <c r="P768" s="38"/>
      <c r="Q768" s="38"/>
      <c r="R768" s="38"/>
      <c r="S768" s="38"/>
      <c r="T768" s="38"/>
    </row>
    <row r="769" spans="1:20" ht="15.75">
      <c r="A769" s="13">
        <v>64558</v>
      </c>
      <c r="B769" s="46">
        <f t="shared" si="2"/>
        <v>30</v>
      </c>
      <c r="C769" s="37">
        <v>194.20500000000001</v>
      </c>
      <c r="D769" s="37">
        <v>267.46600000000001</v>
      </c>
      <c r="E769" s="43">
        <v>812.32899999999995</v>
      </c>
      <c r="F769" s="37">
        <v>1274</v>
      </c>
      <c r="G769" s="37">
        <v>50</v>
      </c>
      <c r="H769" s="45">
        <v>600</v>
      </c>
      <c r="I769" s="37">
        <v>695</v>
      </c>
      <c r="J769" s="37">
        <v>0</v>
      </c>
      <c r="K769" s="38"/>
      <c r="L769" s="38"/>
      <c r="M769" s="38"/>
      <c r="N769" s="38"/>
      <c r="O769" s="38"/>
      <c r="P769" s="38"/>
      <c r="Q769" s="38"/>
      <c r="R769" s="38"/>
      <c r="S769" s="38"/>
      <c r="T769" s="38"/>
    </row>
    <row r="770" spans="1:20" ht="15.75">
      <c r="A770" s="13">
        <v>64589</v>
      </c>
      <c r="B770" s="46">
        <f t="shared" si="2"/>
        <v>31</v>
      </c>
      <c r="C770" s="37">
        <v>131.881</v>
      </c>
      <c r="D770" s="37">
        <v>277.16699999999997</v>
      </c>
      <c r="E770" s="43">
        <v>829.952</v>
      </c>
      <c r="F770" s="37">
        <v>1239</v>
      </c>
      <c r="G770" s="37">
        <v>75</v>
      </c>
      <c r="H770" s="45">
        <v>600</v>
      </c>
      <c r="I770" s="37">
        <v>695</v>
      </c>
      <c r="J770" s="37">
        <v>0</v>
      </c>
      <c r="K770" s="38"/>
      <c r="L770" s="38"/>
      <c r="M770" s="38"/>
      <c r="N770" s="38"/>
      <c r="O770" s="38"/>
      <c r="P770" s="38"/>
      <c r="Q770" s="38"/>
      <c r="R770" s="38"/>
      <c r="S770" s="38"/>
      <c r="T770" s="38"/>
    </row>
    <row r="771" spans="1:20" ht="15.75">
      <c r="A771" s="13">
        <v>64619</v>
      </c>
      <c r="B771" s="46">
        <f t="shared" si="2"/>
        <v>30</v>
      </c>
      <c r="C771" s="37">
        <v>122.58</v>
      </c>
      <c r="D771" s="37">
        <v>297.94099999999997</v>
      </c>
      <c r="E771" s="43">
        <v>729.47900000000004</v>
      </c>
      <c r="F771" s="37">
        <v>1150</v>
      </c>
      <c r="G771" s="37">
        <v>100</v>
      </c>
      <c r="H771" s="45">
        <v>600</v>
      </c>
      <c r="I771" s="37">
        <v>695</v>
      </c>
      <c r="J771" s="37">
        <v>50</v>
      </c>
      <c r="K771" s="38"/>
      <c r="L771" s="38"/>
      <c r="M771" s="38"/>
      <c r="N771" s="38"/>
      <c r="O771" s="38"/>
      <c r="P771" s="38"/>
      <c r="Q771" s="38"/>
      <c r="R771" s="38"/>
      <c r="S771" s="38"/>
      <c r="T771" s="38"/>
    </row>
    <row r="772" spans="1:20" ht="15.75">
      <c r="A772" s="13">
        <v>64650</v>
      </c>
      <c r="B772" s="46">
        <f t="shared" si="2"/>
        <v>31</v>
      </c>
      <c r="C772" s="37">
        <v>122.58</v>
      </c>
      <c r="D772" s="37">
        <v>297.94099999999997</v>
      </c>
      <c r="E772" s="43">
        <v>729.47900000000004</v>
      </c>
      <c r="F772" s="37">
        <v>1150</v>
      </c>
      <c r="G772" s="37">
        <v>100</v>
      </c>
      <c r="H772" s="45">
        <v>600</v>
      </c>
      <c r="I772" s="37">
        <v>695</v>
      </c>
      <c r="J772" s="37">
        <v>50</v>
      </c>
      <c r="K772" s="38"/>
      <c r="L772" s="38"/>
      <c r="M772" s="38"/>
      <c r="N772" s="38"/>
      <c r="O772" s="38"/>
      <c r="P772" s="38"/>
      <c r="Q772" s="38"/>
      <c r="R772" s="38"/>
      <c r="S772" s="38"/>
      <c r="T772" s="38"/>
    </row>
    <row r="773" spans="1:20" ht="15.75">
      <c r="A773" s="13">
        <v>64681</v>
      </c>
      <c r="B773" s="46">
        <f t="shared" si="2"/>
        <v>31</v>
      </c>
      <c r="C773" s="37">
        <v>122.58</v>
      </c>
      <c r="D773" s="37">
        <v>297.94099999999997</v>
      </c>
      <c r="E773" s="43">
        <v>729.47900000000004</v>
      </c>
      <c r="F773" s="37">
        <v>1150</v>
      </c>
      <c r="G773" s="37">
        <v>100</v>
      </c>
      <c r="H773" s="45">
        <v>600</v>
      </c>
      <c r="I773" s="37">
        <v>695</v>
      </c>
      <c r="J773" s="37">
        <v>50</v>
      </c>
      <c r="K773" s="38"/>
      <c r="L773" s="38"/>
      <c r="M773" s="38"/>
      <c r="N773" s="38"/>
      <c r="O773" s="38"/>
      <c r="P773" s="38"/>
      <c r="Q773" s="38"/>
      <c r="R773" s="38"/>
      <c r="S773" s="38"/>
      <c r="T773" s="38"/>
    </row>
    <row r="774" spans="1:20" ht="15.75">
      <c r="A774" s="13">
        <v>64709</v>
      </c>
      <c r="B774" s="46">
        <f t="shared" si="2"/>
        <v>28</v>
      </c>
      <c r="C774" s="37">
        <v>122.58</v>
      </c>
      <c r="D774" s="37">
        <v>297.94099999999997</v>
      </c>
      <c r="E774" s="43">
        <v>729.47900000000004</v>
      </c>
      <c r="F774" s="37">
        <v>1150</v>
      </c>
      <c r="G774" s="37">
        <v>100</v>
      </c>
      <c r="H774" s="45">
        <v>600</v>
      </c>
      <c r="I774" s="37">
        <v>695</v>
      </c>
      <c r="J774" s="37">
        <v>50</v>
      </c>
      <c r="K774" s="38"/>
      <c r="L774" s="38"/>
      <c r="M774" s="38"/>
      <c r="N774" s="38"/>
      <c r="O774" s="38"/>
      <c r="P774" s="38"/>
      <c r="Q774" s="38"/>
      <c r="R774" s="38"/>
      <c r="S774" s="38"/>
      <c r="T774" s="38"/>
    </row>
    <row r="775" spans="1:20" ht="15.75">
      <c r="A775" s="13">
        <v>64740</v>
      </c>
      <c r="B775" s="46">
        <f t="shared" si="2"/>
        <v>31</v>
      </c>
      <c r="C775" s="37">
        <v>122.58</v>
      </c>
      <c r="D775" s="37">
        <v>297.94099999999997</v>
      </c>
      <c r="E775" s="43">
        <v>729.47900000000004</v>
      </c>
      <c r="F775" s="37">
        <v>1150</v>
      </c>
      <c r="G775" s="37">
        <v>100</v>
      </c>
      <c r="H775" s="45">
        <v>600</v>
      </c>
      <c r="I775" s="37">
        <v>695</v>
      </c>
      <c r="J775" s="37">
        <v>50</v>
      </c>
      <c r="K775" s="38"/>
      <c r="L775" s="38"/>
      <c r="M775" s="38"/>
      <c r="N775" s="38"/>
      <c r="O775" s="38"/>
      <c r="P775" s="38"/>
      <c r="Q775" s="38"/>
      <c r="R775" s="38"/>
      <c r="S775" s="38"/>
      <c r="T775" s="38"/>
    </row>
    <row r="776" spans="1:20" ht="15.75">
      <c r="A776" s="13">
        <v>64770</v>
      </c>
      <c r="B776" s="46">
        <f t="shared" si="2"/>
        <v>30</v>
      </c>
      <c r="C776" s="37">
        <v>141.29300000000001</v>
      </c>
      <c r="D776" s="37">
        <v>267.99299999999999</v>
      </c>
      <c r="E776" s="43">
        <v>829.71400000000006</v>
      </c>
      <c r="F776" s="37">
        <v>1239</v>
      </c>
      <c r="G776" s="37">
        <v>100</v>
      </c>
      <c r="H776" s="45">
        <v>600</v>
      </c>
      <c r="I776" s="37">
        <v>695</v>
      </c>
      <c r="J776" s="37">
        <v>50</v>
      </c>
      <c r="K776" s="38"/>
      <c r="L776" s="38"/>
      <c r="M776" s="38"/>
      <c r="N776" s="38"/>
      <c r="O776" s="38"/>
      <c r="P776" s="38"/>
      <c r="Q776" s="38"/>
      <c r="R776" s="38"/>
      <c r="S776" s="38"/>
      <c r="T776" s="38"/>
    </row>
    <row r="777" spans="1:20" ht="15.75">
      <c r="A777" s="13">
        <v>64801</v>
      </c>
      <c r="B777" s="46">
        <f t="shared" si="2"/>
        <v>31</v>
      </c>
      <c r="C777" s="37">
        <v>194.20500000000001</v>
      </c>
      <c r="D777" s="37">
        <v>267.46600000000001</v>
      </c>
      <c r="E777" s="43">
        <v>812.32899999999995</v>
      </c>
      <c r="F777" s="37">
        <v>1274</v>
      </c>
      <c r="G777" s="37">
        <v>75</v>
      </c>
      <c r="H777" s="45">
        <v>600</v>
      </c>
      <c r="I777" s="37">
        <v>695</v>
      </c>
      <c r="J777" s="37">
        <v>50</v>
      </c>
      <c r="K777" s="38"/>
      <c r="L777" s="38"/>
      <c r="M777" s="38"/>
      <c r="N777" s="38"/>
      <c r="O777" s="38"/>
      <c r="P777" s="38"/>
      <c r="Q777" s="38"/>
      <c r="R777" s="38"/>
      <c r="S777" s="38"/>
      <c r="T777" s="38"/>
    </row>
    <row r="778" spans="1:20" ht="15.75">
      <c r="A778" s="13">
        <v>64831</v>
      </c>
      <c r="B778" s="46">
        <f t="shared" si="2"/>
        <v>30</v>
      </c>
      <c r="C778" s="37">
        <v>194.20500000000001</v>
      </c>
      <c r="D778" s="37">
        <v>267.46600000000001</v>
      </c>
      <c r="E778" s="43">
        <v>812.32899999999995</v>
      </c>
      <c r="F778" s="37">
        <v>1274</v>
      </c>
      <c r="G778" s="37">
        <v>50</v>
      </c>
      <c r="H778" s="45">
        <v>600</v>
      </c>
      <c r="I778" s="37">
        <v>695</v>
      </c>
      <c r="J778" s="37">
        <v>50</v>
      </c>
      <c r="K778" s="38"/>
      <c r="L778" s="38"/>
      <c r="M778" s="38"/>
      <c r="N778" s="38"/>
      <c r="O778" s="38"/>
      <c r="P778" s="38"/>
      <c r="Q778" s="38"/>
      <c r="R778" s="38"/>
      <c r="S778" s="38"/>
      <c r="T778" s="38"/>
    </row>
    <row r="779" spans="1:20" ht="15.75">
      <c r="A779" s="13">
        <v>64862</v>
      </c>
      <c r="B779" s="46">
        <f t="shared" si="2"/>
        <v>31</v>
      </c>
      <c r="C779" s="37">
        <v>194.20500000000001</v>
      </c>
      <c r="D779" s="37">
        <v>267.46600000000001</v>
      </c>
      <c r="E779" s="43">
        <v>812.32899999999995</v>
      </c>
      <c r="F779" s="37">
        <v>1274</v>
      </c>
      <c r="G779" s="37">
        <v>50</v>
      </c>
      <c r="H779" s="45">
        <v>600</v>
      </c>
      <c r="I779" s="37">
        <v>695</v>
      </c>
      <c r="J779" s="37">
        <v>0</v>
      </c>
      <c r="K779" s="38"/>
      <c r="L779" s="38"/>
      <c r="M779" s="38"/>
      <c r="N779" s="38"/>
      <c r="O779" s="38"/>
      <c r="P779" s="38"/>
      <c r="Q779" s="38"/>
      <c r="R779" s="38"/>
      <c r="S779" s="38"/>
      <c r="T779" s="38"/>
    </row>
    <row r="780" spans="1:20" ht="15.75">
      <c r="A780" s="13">
        <v>64893</v>
      </c>
      <c r="B780" s="46">
        <f t="shared" si="2"/>
        <v>31</v>
      </c>
      <c r="C780" s="37">
        <v>194.20500000000001</v>
      </c>
      <c r="D780" s="37">
        <v>267.46600000000001</v>
      </c>
      <c r="E780" s="43">
        <v>812.32899999999995</v>
      </c>
      <c r="F780" s="37">
        <v>1274</v>
      </c>
      <c r="G780" s="37">
        <v>50</v>
      </c>
      <c r="H780" s="45">
        <v>600</v>
      </c>
      <c r="I780" s="37">
        <v>695</v>
      </c>
      <c r="J780" s="37">
        <v>0</v>
      </c>
      <c r="K780" s="38"/>
      <c r="L780" s="38"/>
      <c r="M780" s="38"/>
      <c r="N780" s="38"/>
      <c r="O780" s="38"/>
      <c r="P780" s="38"/>
      <c r="Q780" s="38"/>
      <c r="R780" s="38"/>
      <c r="S780" s="38"/>
      <c r="T780" s="38"/>
    </row>
    <row r="781" spans="1:20" ht="15.75">
      <c r="A781" s="13">
        <v>64923</v>
      </c>
      <c r="B781" s="46">
        <f t="shared" si="2"/>
        <v>30</v>
      </c>
      <c r="C781" s="37">
        <v>194.20500000000001</v>
      </c>
      <c r="D781" s="37">
        <v>267.46600000000001</v>
      </c>
      <c r="E781" s="43">
        <v>812.32899999999995</v>
      </c>
      <c r="F781" s="37">
        <v>1274</v>
      </c>
      <c r="G781" s="37">
        <v>50</v>
      </c>
      <c r="H781" s="45">
        <v>600</v>
      </c>
      <c r="I781" s="37">
        <v>695</v>
      </c>
      <c r="J781" s="37">
        <v>0</v>
      </c>
      <c r="K781" s="38"/>
      <c r="L781" s="38"/>
      <c r="M781" s="38"/>
      <c r="N781" s="38"/>
      <c r="O781" s="38"/>
      <c r="P781" s="38"/>
      <c r="Q781" s="38"/>
      <c r="R781" s="38"/>
      <c r="S781" s="38"/>
      <c r="T781" s="38"/>
    </row>
    <row r="782" spans="1:20" ht="15.75">
      <c r="A782" s="13">
        <v>64954</v>
      </c>
      <c r="B782" s="46">
        <f t="shared" si="2"/>
        <v>31</v>
      </c>
      <c r="C782" s="37">
        <v>131.881</v>
      </c>
      <c r="D782" s="37">
        <v>277.16699999999997</v>
      </c>
      <c r="E782" s="43">
        <v>829.952</v>
      </c>
      <c r="F782" s="37">
        <v>1239</v>
      </c>
      <c r="G782" s="37">
        <v>75</v>
      </c>
      <c r="H782" s="45">
        <v>600</v>
      </c>
      <c r="I782" s="37">
        <v>695</v>
      </c>
      <c r="J782" s="37">
        <v>0</v>
      </c>
      <c r="K782" s="38"/>
      <c r="L782" s="38"/>
      <c r="M782" s="38"/>
      <c r="N782" s="38"/>
      <c r="O782" s="38"/>
      <c r="P782" s="38"/>
      <c r="Q782" s="38"/>
      <c r="R782" s="38"/>
      <c r="S782" s="38"/>
      <c r="T782" s="38"/>
    </row>
    <row r="783" spans="1:20" ht="15.75">
      <c r="A783" s="13">
        <v>64984</v>
      </c>
      <c r="B783" s="46">
        <f t="shared" si="2"/>
        <v>30</v>
      </c>
      <c r="C783" s="37">
        <v>122.58</v>
      </c>
      <c r="D783" s="37">
        <v>297.94099999999997</v>
      </c>
      <c r="E783" s="43">
        <v>729.47900000000004</v>
      </c>
      <c r="F783" s="37">
        <v>1150</v>
      </c>
      <c r="G783" s="37">
        <v>100</v>
      </c>
      <c r="H783" s="45">
        <v>600</v>
      </c>
      <c r="I783" s="37">
        <v>695</v>
      </c>
      <c r="J783" s="37">
        <v>50</v>
      </c>
      <c r="K783" s="38"/>
      <c r="L783" s="38"/>
      <c r="M783" s="38"/>
      <c r="N783" s="38"/>
      <c r="O783" s="38"/>
      <c r="P783" s="38"/>
      <c r="Q783" s="38"/>
      <c r="R783" s="38"/>
      <c r="S783" s="38"/>
      <c r="T783" s="38"/>
    </row>
    <row r="784" spans="1:20" ht="15.75">
      <c r="A784" s="13">
        <v>65015</v>
      </c>
      <c r="B784" s="46">
        <f t="shared" si="2"/>
        <v>31</v>
      </c>
      <c r="C784" s="37">
        <v>122.58</v>
      </c>
      <c r="D784" s="37">
        <v>297.94099999999997</v>
      </c>
      <c r="E784" s="43">
        <v>729.47900000000004</v>
      </c>
      <c r="F784" s="37">
        <v>1150</v>
      </c>
      <c r="G784" s="37">
        <v>100</v>
      </c>
      <c r="H784" s="45">
        <v>600</v>
      </c>
      <c r="I784" s="37">
        <v>695</v>
      </c>
      <c r="J784" s="37">
        <v>50</v>
      </c>
      <c r="K784" s="38"/>
      <c r="L784" s="38"/>
      <c r="M784" s="38"/>
      <c r="N784" s="38"/>
      <c r="O784" s="38"/>
      <c r="P784" s="38"/>
      <c r="Q784" s="38"/>
      <c r="R784" s="38"/>
      <c r="S784" s="38"/>
      <c r="T784" s="38"/>
    </row>
    <row r="785" spans="1:20" ht="15.75">
      <c r="A785" s="13">
        <v>65046</v>
      </c>
      <c r="B785" s="46">
        <f t="shared" ref="B785:B848" si="3">EOMONTH(A785,0)-EOMONTH(A785,-1)</f>
        <v>31</v>
      </c>
      <c r="C785" s="37">
        <v>122.58</v>
      </c>
      <c r="D785" s="37">
        <v>297.94099999999997</v>
      </c>
      <c r="E785" s="43">
        <v>729.47900000000004</v>
      </c>
      <c r="F785" s="37">
        <v>1150</v>
      </c>
      <c r="G785" s="37">
        <v>100</v>
      </c>
      <c r="H785" s="45">
        <v>600</v>
      </c>
      <c r="I785" s="37">
        <v>695</v>
      </c>
      <c r="J785" s="37">
        <v>50</v>
      </c>
      <c r="K785" s="38"/>
      <c r="L785" s="38"/>
      <c r="M785" s="38"/>
      <c r="N785" s="38"/>
      <c r="O785" s="38"/>
      <c r="P785" s="38"/>
      <c r="Q785" s="38"/>
      <c r="R785" s="38"/>
      <c r="S785" s="38"/>
      <c r="T785" s="38"/>
    </row>
    <row r="786" spans="1:20" ht="15.75">
      <c r="A786" s="13">
        <v>65074</v>
      </c>
      <c r="B786" s="46">
        <f t="shared" si="3"/>
        <v>28</v>
      </c>
      <c r="C786" s="37">
        <v>122.58</v>
      </c>
      <c r="D786" s="37">
        <v>297.94099999999997</v>
      </c>
      <c r="E786" s="43">
        <v>729.47900000000004</v>
      </c>
      <c r="F786" s="37">
        <v>1150</v>
      </c>
      <c r="G786" s="37">
        <v>100</v>
      </c>
      <c r="H786" s="45">
        <v>600</v>
      </c>
      <c r="I786" s="37">
        <v>695</v>
      </c>
      <c r="J786" s="37">
        <v>50</v>
      </c>
      <c r="K786" s="38"/>
      <c r="L786" s="38"/>
      <c r="M786" s="38"/>
      <c r="N786" s="38"/>
      <c r="O786" s="38"/>
      <c r="P786" s="38"/>
      <c r="Q786" s="38"/>
      <c r="R786" s="38"/>
      <c r="S786" s="38"/>
      <c r="T786" s="38"/>
    </row>
    <row r="787" spans="1:20" ht="15.75">
      <c r="A787" s="13">
        <v>65105</v>
      </c>
      <c r="B787" s="46">
        <f t="shared" si="3"/>
        <v>31</v>
      </c>
      <c r="C787" s="37">
        <v>122.58</v>
      </c>
      <c r="D787" s="37">
        <v>297.94099999999997</v>
      </c>
      <c r="E787" s="43">
        <v>729.47900000000004</v>
      </c>
      <c r="F787" s="37">
        <v>1150</v>
      </c>
      <c r="G787" s="37">
        <v>100</v>
      </c>
      <c r="H787" s="45">
        <v>600</v>
      </c>
      <c r="I787" s="37">
        <v>695</v>
      </c>
      <c r="J787" s="37">
        <v>50</v>
      </c>
      <c r="K787" s="38"/>
      <c r="L787" s="38"/>
      <c r="M787" s="38"/>
      <c r="N787" s="38"/>
      <c r="O787" s="38"/>
      <c r="P787" s="38"/>
      <c r="Q787" s="38"/>
      <c r="R787" s="38"/>
      <c r="S787" s="38"/>
      <c r="T787" s="38"/>
    </row>
    <row r="788" spans="1:20" ht="15.75">
      <c r="A788" s="13">
        <v>65135</v>
      </c>
      <c r="B788" s="46">
        <f t="shared" si="3"/>
        <v>30</v>
      </c>
      <c r="C788" s="37">
        <v>141.29300000000001</v>
      </c>
      <c r="D788" s="37">
        <v>267.99299999999999</v>
      </c>
      <c r="E788" s="43">
        <v>829.71400000000006</v>
      </c>
      <c r="F788" s="37">
        <v>1239</v>
      </c>
      <c r="G788" s="37">
        <v>100</v>
      </c>
      <c r="H788" s="45">
        <v>600</v>
      </c>
      <c r="I788" s="37">
        <v>695</v>
      </c>
      <c r="J788" s="37">
        <v>50</v>
      </c>
      <c r="K788" s="38"/>
      <c r="L788" s="38"/>
      <c r="M788" s="38"/>
      <c r="N788" s="38"/>
      <c r="O788" s="38"/>
      <c r="P788" s="38"/>
      <c r="Q788" s="38"/>
      <c r="R788" s="38"/>
      <c r="S788" s="38"/>
      <c r="T788" s="38"/>
    </row>
    <row r="789" spans="1:20" ht="15.75">
      <c r="A789" s="13">
        <v>65166</v>
      </c>
      <c r="B789" s="46">
        <f t="shared" si="3"/>
        <v>31</v>
      </c>
      <c r="C789" s="37">
        <v>194.20500000000001</v>
      </c>
      <c r="D789" s="37">
        <v>267.46600000000001</v>
      </c>
      <c r="E789" s="43">
        <v>812.32899999999995</v>
      </c>
      <c r="F789" s="37">
        <v>1274</v>
      </c>
      <c r="G789" s="37">
        <v>75</v>
      </c>
      <c r="H789" s="45">
        <v>600</v>
      </c>
      <c r="I789" s="37">
        <v>695</v>
      </c>
      <c r="J789" s="37">
        <v>50</v>
      </c>
      <c r="K789" s="38"/>
      <c r="L789" s="38"/>
      <c r="M789" s="38"/>
      <c r="N789" s="38"/>
      <c r="O789" s="38"/>
      <c r="P789" s="38"/>
      <c r="Q789" s="38"/>
      <c r="R789" s="38"/>
      <c r="S789" s="38"/>
      <c r="T789" s="38"/>
    </row>
    <row r="790" spans="1:20" ht="15.75">
      <c r="A790" s="13">
        <v>65196</v>
      </c>
      <c r="B790" s="46">
        <f t="shared" si="3"/>
        <v>30</v>
      </c>
      <c r="C790" s="37">
        <v>194.20500000000001</v>
      </c>
      <c r="D790" s="37">
        <v>267.46600000000001</v>
      </c>
      <c r="E790" s="43">
        <v>812.32899999999995</v>
      </c>
      <c r="F790" s="37">
        <v>1274</v>
      </c>
      <c r="G790" s="37">
        <v>50</v>
      </c>
      <c r="H790" s="45">
        <v>600</v>
      </c>
      <c r="I790" s="37">
        <v>695</v>
      </c>
      <c r="J790" s="37">
        <v>50</v>
      </c>
      <c r="K790" s="38"/>
      <c r="L790" s="38"/>
      <c r="M790" s="38"/>
      <c r="N790" s="38"/>
      <c r="O790" s="38"/>
      <c r="P790" s="38"/>
      <c r="Q790" s="38"/>
      <c r="R790" s="38"/>
      <c r="S790" s="38"/>
      <c r="T790" s="38"/>
    </row>
    <row r="791" spans="1:20" ht="15.75">
      <c r="A791" s="13">
        <v>65227</v>
      </c>
      <c r="B791" s="46">
        <f t="shared" si="3"/>
        <v>31</v>
      </c>
      <c r="C791" s="37">
        <v>194.20500000000001</v>
      </c>
      <c r="D791" s="37">
        <v>267.46600000000001</v>
      </c>
      <c r="E791" s="43">
        <v>812.32899999999995</v>
      </c>
      <c r="F791" s="37">
        <v>1274</v>
      </c>
      <c r="G791" s="37">
        <v>50</v>
      </c>
      <c r="H791" s="45">
        <v>600</v>
      </c>
      <c r="I791" s="37">
        <v>695</v>
      </c>
      <c r="J791" s="37">
        <v>0</v>
      </c>
      <c r="K791" s="38"/>
      <c r="L791" s="38"/>
      <c r="M791" s="38"/>
      <c r="N791" s="38"/>
      <c r="O791" s="38"/>
      <c r="P791" s="38"/>
      <c r="Q791" s="38"/>
      <c r="R791" s="38"/>
      <c r="S791" s="38"/>
      <c r="T791" s="38"/>
    </row>
    <row r="792" spans="1:20" ht="15.75">
      <c r="A792" s="13">
        <v>65258</v>
      </c>
      <c r="B792" s="46">
        <f t="shared" si="3"/>
        <v>31</v>
      </c>
      <c r="C792" s="37">
        <v>194.20500000000001</v>
      </c>
      <c r="D792" s="37">
        <v>267.46600000000001</v>
      </c>
      <c r="E792" s="43">
        <v>812.32899999999995</v>
      </c>
      <c r="F792" s="37">
        <v>1274</v>
      </c>
      <c r="G792" s="37">
        <v>50</v>
      </c>
      <c r="H792" s="45">
        <v>600</v>
      </c>
      <c r="I792" s="37">
        <v>695</v>
      </c>
      <c r="J792" s="37">
        <v>0</v>
      </c>
      <c r="K792" s="38"/>
      <c r="L792" s="38"/>
      <c r="M792" s="38"/>
      <c r="N792" s="38"/>
      <c r="O792" s="38"/>
      <c r="P792" s="38"/>
      <c r="Q792" s="38"/>
      <c r="R792" s="38"/>
      <c r="S792" s="38"/>
      <c r="T792" s="38"/>
    </row>
    <row r="793" spans="1:20" ht="15.75">
      <c r="A793" s="13">
        <v>65288</v>
      </c>
      <c r="B793" s="46">
        <f t="shared" si="3"/>
        <v>30</v>
      </c>
      <c r="C793" s="37">
        <v>194.20500000000001</v>
      </c>
      <c r="D793" s="37">
        <v>267.46600000000001</v>
      </c>
      <c r="E793" s="43">
        <v>812.32899999999995</v>
      </c>
      <c r="F793" s="37">
        <v>1274</v>
      </c>
      <c r="G793" s="37">
        <v>50</v>
      </c>
      <c r="H793" s="45">
        <v>600</v>
      </c>
      <c r="I793" s="37">
        <v>695</v>
      </c>
      <c r="J793" s="37">
        <v>0</v>
      </c>
      <c r="K793" s="38"/>
      <c r="L793" s="38"/>
      <c r="M793" s="38"/>
      <c r="N793" s="38"/>
      <c r="O793" s="38"/>
      <c r="P793" s="38"/>
      <c r="Q793" s="38"/>
      <c r="R793" s="38"/>
      <c r="S793" s="38"/>
      <c r="T793" s="38"/>
    </row>
    <row r="794" spans="1:20" ht="15.75">
      <c r="A794" s="13">
        <v>65319</v>
      </c>
      <c r="B794" s="46">
        <f t="shared" si="3"/>
        <v>31</v>
      </c>
      <c r="C794" s="37">
        <v>131.881</v>
      </c>
      <c r="D794" s="37">
        <v>277.16699999999997</v>
      </c>
      <c r="E794" s="43">
        <v>829.952</v>
      </c>
      <c r="F794" s="37">
        <v>1239</v>
      </c>
      <c r="G794" s="37">
        <v>75</v>
      </c>
      <c r="H794" s="45">
        <v>600</v>
      </c>
      <c r="I794" s="37">
        <v>695</v>
      </c>
      <c r="J794" s="37">
        <v>0</v>
      </c>
      <c r="K794" s="38"/>
      <c r="L794" s="38"/>
      <c r="M794" s="38"/>
      <c r="N794" s="38"/>
      <c r="O794" s="38"/>
      <c r="P794" s="38"/>
      <c r="Q794" s="38"/>
      <c r="R794" s="38"/>
      <c r="S794" s="38"/>
      <c r="T794" s="38"/>
    </row>
    <row r="795" spans="1:20" ht="15.75">
      <c r="A795" s="13">
        <v>65349</v>
      </c>
      <c r="B795" s="46">
        <f t="shared" si="3"/>
        <v>30</v>
      </c>
      <c r="C795" s="37">
        <v>122.58</v>
      </c>
      <c r="D795" s="37">
        <v>297.94099999999997</v>
      </c>
      <c r="E795" s="43">
        <v>729.47900000000004</v>
      </c>
      <c r="F795" s="37">
        <v>1150</v>
      </c>
      <c r="G795" s="37">
        <v>100</v>
      </c>
      <c r="H795" s="45">
        <v>600</v>
      </c>
      <c r="I795" s="37">
        <v>695</v>
      </c>
      <c r="J795" s="37">
        <v>50</v>
      </c>
      <c r="K795" s="38"/>
      <c r="L795" s="38"/>
      <c r="M795" s="38"/>
      <c r="N795" s="38"/>
      <c r="O795" s="38"/>
      <c r="P795" s="38"/>
      <c r="Q795" s="38"/>
      <c r="R795" s="38"/>
      <c r="S795" s="38"/>
      <c r="T795" s="38"/>
    </row>
    <row r="796" spans="1:20" ht="15.75">
      <c r="A796" s="13">
        <v>65380</v>
      </c>
      <c r="B796" s="46">
        <f t="shared" si="3"/>
        <v>31</v>
      </c>
      <c r="C796" s="37">
        <v>122.58</v>
      </c>
      <c r="D796" s="37">
        <v>297.94099999999997</v>
      </c>
      <c r="E796" s="43">
        <v>729.47900000000004</v>
      </c>
      <c r="F796" s="37">
        <v>1150</v>
      </c>
      <c r="G796" s="37">
        <v>100</v>
      </c>
      <c r="H796" s="45">
        <v>600</v>
      </c>
      <c r="I796" s="37">
        <v>695</v>
      </c>
      <c r="J796" s="37">
        <v>50</v>
      </c>
      <c r="K796" s="38"/>
      <c r="L796" s="38"/>
      <c r="M796" s="38"/>
      <c r="N796" s="38"/>
      <c r="O796" s="38"/>
      <c r="P796" s="38"/>
      <c r="Q796" s="38"/>
      <c r="R796" s="38"/>
      <c r="S796" s="38"/>
      <c r="T796" s="38"/>
    </row>
    <row r="797" spans="1:20" ht="15.75">
      <c r="A797" s="13">
        <v>65411</v>
      </c>
      <c r="B797" s="46">
        <f t="shared" si="3"/>
        <v>31</v>
      </c>
      <c r="C797" s="37">
        <v>122.58</v>
      </c>
      <c r="D797" s="37">
        <v>297.94099999999997</v>
      </c>
      <c r="E797" s="43">
        <v>729.47900000000004</v>
      </c>
      <c r="F797" s="37">
        <v>1150</v>
      </c>
      <c r="G797" s="37">
        <v>100</v>
      </c>
      <c r="H797" s="45">
        <v>600</v>
      </c>
      <c r="I797" s="37">
        <v>695</v>
      </c>
      <c r="J797" s="37">
        <v>50</v>
      </c>
      <c r="K797" s="38"/>
      <c r="L797" s="38"/>
      <c r="M797" s="38"/>
      <c r="N797" s="38"/>
      <c r="O797" s="38"/>
      <c r="P797" s="38"/>
      <c r="Q797" s="38"/>
      <c r="R797" s="38"/>
      <c r="S797" s="38"/>
      <c r="T797" s="38"/>
    </row>
    <row r="798" spans="1:20" ht="15.75">
      <c r="A798" s="13">
        <v>65439</v>
      </c>
      <c r="B798" s="46">
        <f t="shared" si="3"/>
        <v>28</v>
      </c>
      <c r="C798" s="37">
        <v>122.58</v>
      </c>
      <c r="D798" s="37">
        <v>297.94099999999997</v>
      </c>
      <c r="E798" s="43">
        <v>729.47900000000004</v>
      </c>
      <c r="F798" s="37">
        <v>1150</v>
      </c>
      <c r="G798" s="37">
        <v>100</v>
      </c>
      <c r="H798" s="45">
        <v>600</v>
      </c>
      <c r="I798" s="37">
        <v>695</v>
      </c>
      <c r="J798" s="37">
        <v>50</v>
      </c>
      <c r="K798" s="38"/>
      <c r="L798" s="38"/>
      <c r="M798" s="38"/>
      <c r="N798" s="38"/>
      <c r="O798" s="38"/>
      <c r="P798" s="38"/>
      <c r="Q798" s="38"/>
      <c r="R798" s="38"/>
      <c r="S798" s="38"/>
      <c r="T798" s="38"/>
    </row>
    <row r="799" spans="1:20" ht="15.75">
      <c r="A799" s="13">
        <v>65470</v>
      </c>
      <c r="B799" s="46">
        <f t="shared" si="3"/>
        <v>31</v>
      </c>
      <c r="C799" s="37">
        <v>122.58</v>
      </c>
      <c r="D799" s="37">
        <v>297.94099999999997</v>
      </c>
      <c r="E799" s="43">
        <v>729.47900000000004</v>
      </c>
      <c r="F799" s="37">
        <v>1150</v>
      </c>
      <c r="G799" s="37">
        <v>100</v>
      </c>
      <c r="H799" s="45">
        <v>600</v>
      </c>
      <c r="I799" s="37">
        <v>695</v>
      </c>
      <c r="J799" s="37">
        <v>50</v>
      </c>
      <c r="K799" s="38"/>
      <c r="L799" s="38"/>
      <c r="M799" s="38"/>
      <c r="N799" s="38"/>
      <c r="O799" s="38"/>
      <c r="P799" s="38"/>
      <c r="Q799" s="38"/>
      <c r="R799" s="38"/>
      <c r="S799" s="38"/>
      <c r="T799" s="38"/>
    </row>
    <row r="800" spans="1:20" ht="15.75">
      <c r="A800" s="13">
        <v>65500</v>
      </c>
      <c r="B800" s="46">
        <f t="shared" si="3"/>
        <v>30</v>
      </c>
      <c r="C800" s="37">
        <v>141.29300000000001</v>
      </c>
      <c r="D800" s="37">
        <v>267.99299999999999</v>
      </c>
      <c r="E800" s="43">
        <v>829.71400000000006</v>
      </c>
      <c r="F800" s="37">
        <v>1239</v>
      </c>
      <c r="G800" s="37">
        <v>100</v>
      </c>
      <c r="H800" s="45">
        <v>600</v>
      </c>
      <c r="I800" s="37">
        <v>695</v>
      </c>
      <c r="J800" s="37">
        <v>50</v>
      </c>
      <c r="K800" s="38"/>
      <c r="L800" s="38"/>
      <c r="M800" s="38"/>
      <c r="N800" s="38"/>
      <c r="O800" s="38"/>
      <c r="P800" s="38"/>
      <c r="Q800" s="38"/>
      <c r="R800" s="38"/>
      <c r="S800" s="38"/>
      <c r="T800" s="38"/>
    </row>
    <row r="801" spans="1:20" ht="15.75">
      <c r="A801" s="13">
        <v>65531</v>
      </c>
      <c r="B801" s="46">
        <f t="shared" si="3"/>
        <v>31</v>
      </c>
      <c r="C801" s="37">
        <v>194.20500000000001</v>
      </c>
      <c r="D801" s="37">
        <v>267.46600000000001</v>
      </c>
      <c r="E801" s="43">
        <v>812.32899999999995</v>
      </c>
      <c r="F801" s="37">
        <v>1274</v>
      </c>
      <c r="G801" s="37">
        <v>75</v>
      </c>
      <c r="H801" s="45">
        <v>600</v>
      </c>
      <c r="I801" s="37">
        <v>695</v>
      </c>
      <c r="J801" s="37">
        <v>50</v>
      </c>
      <c r="K801" s="38"/>
      <c r="L801" s="38"/>
      <c r="M801" s="38"/>
      <c r="N801" s="38"/>
      <c r="O801" s="38"/>
      <c r="P801" s="38"/>
      <c r="Q801" s="38"/>
      <c r="R801" s="38"/>
      <c r="S801" s="38"/>
      <c r="T801" s="38"/>
    </row>
    <row r="802" spans="1:20" ht="15.75">
      <c r="A802" s="13">
        <v>65561</v>
      </c>
      <c r="B802" s="46">
        <f t="shared" si="3"/>
        <v>30</v>
      </c>
      <c r="C802" s="37">
        <v>194.20500000000001</v>
      </c>
      <c r="D802" s="37">
        <v>267.46600000000001</v>
      </c>
      <c r="E802" s="43">
        <v>812.32899999999995</v>
      </c>
      <c r="F802" s="37">
        <v>1274</v>
      </c>
      <c r="G802" s="37">
        <v>50</v>
      </c>
      <c r="H802" s="45">
        <v>600</v>
      </c>
      <c r="I802" s="37">
        <v>695</v>
      </c>
      <c r="J802" s="37">
        <v>50</v>
      </c>
      <c r="K802" s="38"/>
      <c r="L802" s="38"/>
      <c r="M802" s="38"/>
      <c r="N802" s="38"/>
      <c r="O802" s="38"/>
      <c r="P802" s="38"/>
      <c r="Q802" s="38"/>
      <c r="R802" s="38"/>
      <c r="S802" s="38"/>
      <c r="T802" s="38"/>
    </row>
    <row r="803" spans="1:20" ht="15.75">
      <c r="A803" s="13">
        <v>65592</v>
      </c>
      <c r="B803" s="46">
        <f t="shared" si="3"/>
        <v>31</v>
      </c>
      <c r="C803" s="37">
        <v>194.20500000000001</v>
      </c>
      <c r="D803" s="37">
        <v>267.46600000000001</v>
      </c>
      <c r="E803" s="43">
        <v>812.32899999999995</v>
      </c>
      <c r="F803" s="37">
        <v>1274</v>
      </c>
      <c r="G803" s="37">
        <v>50</v>
      </c>
      <c r="H803" s="45">
        <v>600</v>
      </c>
      <c r="I803" s="37">
        <v>695</v>
      </c>
      <c r="J803" s="37">
        <v>0</v>
      </c>
      <c r="K803" s="38"/>
      <c r="L803" s="38"/>
      <c r="M803" s="38"/>
      <c r="N803" s="38"/>
      <c r="O803" s="38"/>
      <c r="P803" s="38"/>
      <c r="Q803" s="38"/>
      <c r="R803" s="38"/>
      <c r="S803" s="38"/>
      <c r="T803" s="38"/>
    </row>
    <row r="804" spans="1:20" ht="15.75">
      <c r="A804" s="13">
        <v>65623</v>
      </c>
      <c r="B804" s="46">
        <f t="shared" si="3"/>
        <v>31</v>
      </c>
      <c r="C804" s="37">
        <v>194.20500000000001</v>
      </c>
      <c r="D804" s="37">
        <v>267.46600000000001</v>
      </c>
      <c r="E804" s="43">
        <v>812.32899999999995</v>
      </c>
      <c r="F804" s="37">
        <v>1274</v>
      </c>
      <c r="G804" s="37">
        <v>50</v>
      </c>
      <c r="H804" s="45">
        <v>600</v>
      </c>
      <c r="I804" s="37">
        <v>695</v>
      </c>
      <c r="J804" s="37">
        <v>0</v>
      </c>
      <c r="K804" s="38"/>
      <c r="L804" s="38"/>
      <c r="M804" s="38"/>
      <c r="N804" s="38"/>
      <c r="O804" s="38"/>
      <c r="P804" s="38"/>
      <c r="Q804" s="38"/>
      <c r="R804" s="38"/>
      <c r="S804" s="38"/>
      <c r="T804" s="38"/>
    </row>
    <row r="805" spans="1:20" ht="15.75">
      <c r="A805" s="13">
        <v>65653</v>
      </c>
      <c r="B805" s="46">
        <f t="shared" si="3"/>
        <v>30</v>
      </c>
      <c r="C805" s="37">
        <v>194.20500000000001</v>
      </c>
      <c r="D805" s="37">
        <v>267.46600000000001</v>
      </c>
      <c r="E805" s="43">
        <v>812.32899999999995</v>
      </c>
      <c r="F805" s="37">
        <v>1274</v>
      </c>
      <c r="G805" s="37">
        <v>50</v>
      </c>
      <c r="H805" s="45">
        <v>600</v>
      </c>
      <c r="I805" s="37">
        <v>695</v>
      </c>
      <c r="J805" s="37">
        <v>0</v>
      </c>
      <c r="K805" s="38"/>
      <c r="L805" s="38"/>
      <c r="M805" s="38"/>
      <c r="N805" s="38"/>
      <c r="O805" s="38"/>
      <c r="P805" s="38"/>
      <c r="Q805" s="38"/>
      <c r="R805" s="38"/>
      <c r="S805" s="38"/>
      <c r="T805" s="38"/>
    </row>
    <row r="806" spans="1:20" ht="15.75">
      <c r="A806" s="13">
        <v>65684</v>
      </c>
      <c r="B806" s="46">
        <f t="shared" si="3"/>
        <v>31</v>
      </c>
      <c r="C806" s="37">
        <v>131.881</v>
      </c>
      <c r="D806" s="37">
        <v>277.16699999999997</v>
      </c>
      <c r="E806" s="43">
        <v>829.952</v>
      </c>
      <c r="F806" s="37">
        <v>1239</v>
      </c>
      <c r="G806" s="37">
        <v>75</v>
      </c>
      <c r="H806" s="45">
        <v>600</v>
      </c>
      <c r="I806" s="37">
        <v>695</v>
      </c>
      <c r="J806" s="37">
        <v>0</v>
      </c>
      <c r="K806" s="38"/>
      <c r="L806" s="38"/>
      <c r="M806" s="38"/>
      <c r="N806" s="38"/>
      <c r="O806" s="38"/>
      <c r="P806" s="38"/>
      <c r="Q806" s="38"/>
      <c r="R806" s="38"/>
      <c r="S806" s="38"/>
      <c r="T806" s="38"/>
    </row>
    <row r="807" spans="1:20" ht="15.75">
      <c r="A807" s="13">
        <v>65714</v>
      </c>
      <c r="B807" s="46">
        <f t="shared" si="3"/>
        <v>30</v>
      </c>
      <c r="C807" s="37">
        <v>122.58</v>
      </c>
      <c r="D807" s="37">
        <v>297.94099999999997</v>
      </c>
      <c r="E807" s="43">
        <v>729.47900000000004</v>
      </c>
      <c r="F807" s="37">
        <v>1150</v>
      </c>
      <c r="G807" s="37">
        <v>100</v>
      </c>
      <c r="H807" s="45">
        <v>600</v>
      </c>
      <c r="I807" s="37">
        <v>695</v>
      </c>
      <c r="J807" s="37">
        <v>50</v>
      </c>
      <c r="K807" s="38"/>
      <c r="L807" s="38"/>
      <c r="M807" s="38"/>
      <c r="N807" s="38"/>
      <c r="O807" s="38"/>
      <c r="P807" s="38"/>
      <c r="Q807" s="38"/>
      <c r="R807" s="38"/>
      <c r="S807" s="38"/>
      <c r="T807" s="38"/>
    </row>
    <row r="808" spans="1:20" ht="15.75">
      <c r="A808" s="13">
        <v>65745</v>
      </c>
      <c r="B808" s="46">
        <f t="shared" si="3"/>
        <v>31</v>
      </c>
      <c r="C808" s="37">
        <v>122.58</v>
      </c>
      <c r="D808" s="37">
        <v>297.94099999999997</v>
      </c>
      <c r="E808" s="43">
        <v>729.47900000000004</v>
      </c>
      <c r="F808" s="37">
        <v>1150</v>
      </c>
      <c r="G808" s="37">
        <v>100</v>
      </c>
      <c r="H808" s="45">
        <v>600</v>
      </c>
      <c r="I808" s="37">
        <v>695</v>
      </c>
      <c r="J808" s="37">
        <v>50</v>
      </c>
      <c r="K808" s="38"/>
      <c r="L808" s="38"/>
      <c r="M808" s="38"/>
      <c r="N808" s="38"/>
      <c r="O808" s="38"/>
      <c r="P808" s="38"/>
      <c r="Q808" s="38"/>
      <c r="R808" s="38"/>
      <c r="S808" s="38"/>
      <c r="T808" s="38"/>
    </row>
    <row r="809" spans="1:20" ht="15.75">
      <c r="A809" s="13">
        <v>65776</v>
      </c>
      <c r="B809" s="46">
        <f t="shared" si="3"/>
        <v>31</v>
      </c>
      <c r="C809" s="37">
        <v>122.58</v>
      </c>
      <c r="D809" s="37">
        <v>297.94099999999997</v>
      </c>
      <c r="E809" s="43">
        <v>729.47900000000004</v>
      </c>
      <c r="F809" s="37">
        <v>1150</v>
      </c>
      <c r="G809" s="37">
        <v>100</v>
      </c>
      <c r="H809" s="45">
        <v>600</v>
      </c>
      <c r="I809" s="37">
        <v>695</v>
      </c>
      <c r="J809" s="37">
        <v>50</v>
      </c>
      <c r="K809" s="38"/>
      <c r="L809" s="38"/>
      <c r="M809" s="38"/>
      <c r="N809" s="38"/>
      <c r="O809" s="38"/>
      <c r="P809" s="38"/>
      <c r="Q809" s="38"/>
      <c r="R809" s="38"/>
      <c r="S809" s="38"/>
      <c r="T809" s="38"/>
    </row>
    <row r="810" spans="1:20" ht="15.75">
      <c r="A810" s="13">
        <v>65805</v>
      </c>
      <c r="B810" s="46">
        <f t="shared" si="3"/>
        <v>29</v>
      </c>
      <c r="C810" s="37">
        <v>122.58</v>
      </c>
      <c r="D810" s="37">
        <v>297.94099999999997</v>
      </c>
      <c r="E810" s="43">
        <v>729.47900000000004</v>
      </c>
      <c r="F810" s="37">
        <v>1150</v>
      </c>
      <c r="G810" s="37">
        <v>100</v>
      </c>
      <c r="H810" s="45">
        <v>600</v>
      </c>
      <c r="I810" s="37">
        <v>695</v>
      </c>
      <c r="J810" s="37">
        <v>50</v>
      </c>
      <c r="K810" s="38"/>
      <c r="L810" s="38"/>
      <c r="M810" s="38"/>
      <c r="N810" s="38"/>
      <c r="O810" s="38"/>
      <c r="P810" s="38"/>
      <c r="Q810" s="38"/>
      <c r="R810" s="38"/>
      <c r="S810" s="38"/>
      <c r="T810" s="38"/>
    </row>
    <row r="811" spans="1:20" ht="15.75">
      <c r="A811" s="13">
        <v>65836</v>
      </c>
      <c r="B811" s="46">
        <f t="shared" si="3"/>
        <v>31</v>
      </c>
      <c r="C811" s="37">
        <v>122.58</v>
      </c>
      <c r="D811" s="37">
        <v>297.94099999999997</v>
      </c>
      <c r="E811" s="43">
        <v>729.47900000000004</v>
      </c>
      <c r="F811" s="37">
        <v>1150</v>
      </c>
      <c r="G811" s="37">
        <v>100</v>
      </c>
      <c r="H811" s="45">
        <v>600</v>
      </c>
      <c r="I811" s="37">
        <v>695</v>
      </c>
      <c r="J811" s="37">
        <v>50</v>
      </c>
      <c r="K811" s="38"/>
      <c r="L811" s="38"/>
      <c r="M811" s="38"/>
      <c r="N811" s="38"/>
      <c r="O811" s="38"/>
      <c r="P811" s="38"/>
      <c r="Q811" s="38"/>
      <c r="R811" s="38"/>
      <c r="S811" s="38"/>
      <c r="T811" s="38"/>
    </row>
    <row r="812" spans="1:20" ht="15.75">
      <c r="A812" s="13">
        <v>65866</v>
      </c>
      <c r="B812" s="46">
        <f t="shared" si="3"/>
        <v>30</v>
      </c>
      <c r="C812" s="37">
        <v>141.29300000000001</v>
      </c>
      <c r="D812" s="37">
        <v>267.99299999999999</v>
      </c>
      <c r="E812" s="43">
        <v>829.71400000000006</v>
      </c>
      <c r="F812" s="37">
        <v>1239</v>
      </c>
      <c r="G812" s="37">
        <v>100</v>
      </c>
      <c r="H812" s="45">
        <v>600</v>
      </c>
      <c r="I812" s="37">
        <v>695</v>
      </c>
      <c r="J812" s="37">
        <v>50</v>
      </c>
      <c r="K812" s="38"/>
      <c r="L812" s="38"/>
      <c r="M812" s="38"/>
      <c r="N812" s="38"/>
      <c r="O812" s="38"/>
      <c r="P812" s="38"/>
      <c r="Q812" s="38"/>
      <c r="R812" s="38"/>
      <c r="S812" s="38"/>
      <c r="T812" s="38"/>
    </row>
    <row r="813" spans="1:20" ht="15.75">
      <c r="A813" s="13">
        <v>65897</v>
      </c>
      <c r="B813" s="46">
        <f t="shared" si="3"/>
        <v>31</v>
      </c>
      <c r="C813" s="37">
        <v>194.20500000000001</v>
      </c>
      <c r="D813" s="37">
        <v>267.46600000000001</v>
      </c>
      <c r="E813" s="43">
        <v>812.32899999999995</v>
      </c>
      <c r="F813" s="37">
        <v>1274</v>
      </c>
      <c r="G813" s="37">
        <v>75</v>
      </c>
      <c r="H813" s="45">
        <v>600</v>
      </c>
      <c r="I813" s="37">
        <v>695</v>
      </c>
      <c r="J813" s="37">
        <v>50</v>
      </c>
      <c r="K813" s="38"/>
      <c r="L813" s="38"/>
      <c r="M813" s="38"/>
      <c r="N813" s="38"/>
      <c r="O813" s="38"/>
      <c r="P813" s="38"/>
      <c r="Q813" s="38"/>
      <c r="R813" s="38"/>
      <c r="S813" s="38"/>
      <c r="T813" s="38"/>
    </row>
    <row r="814" spans="1:20" ht="15.75">
      <c r="A814" s="13">
        <v>65927</v>
      </c>
      <c r="B814" s="46">
        <f t="shared" si="3"/>
        <v>30</v>
      </c>
      <c r="C814" s="37">
        <v>194.20500000000001</v>
      </c>
      <c r="D814" s="37">
        <v>267.46600000000001</v>
      </c>
      <c r="E814" s="43">
        <v>812.32899999999995</v>
      </c>
      <c r="F814" s="37">
        <v>1274</v>
      </c>
      <c r="G814" s="37">
        <v>50</v>
      </c>
      <c r="H814" s="45">
        <v>600</v>
      </c>
      <c r="I814" s="37">
        <v>695</v>
      </c>
      <c r="J814" s="37">
        <v>50</v>
      </c>
      <c r="K814" s="38"/>
      <c r="L814" s="38"/>
      <c r="M814" s="38"/>
      <c r="N814" s="38"/>
      <c r="O814" s="38"/>
      <c r="P814" s="38"/>
      <c r="Q814" s="38"/>
      <c r="R814" s="38"/>
      <c r="S814" s="38"/>
      <c r="T814" s="38"/>
    </row>
    <row r="815" spans="1:20" ht="15.75">
      <c r="A815" s="13">
        <v>65958</v>
      </c>
      <c r="B815" s="46">
        <f t="shared" si="3"/>
        <v>31</v>
      </c>
      <c r="C815" s="37">
        <v>194.20500000000001</v>
      </c>
      <c r="D815" s="37">
        <v>267.46600000000001</v>
      </c>
      <c r="E815" s="43">
        <v>812.32899999999995</v>
      </c>
      <c r="F815" s="37">
        <v>1274</v>
      </c>
      <c r="G815" s="37">
        <v>50</v>
      </c>
      <c r="H815" s="45">
        <v>600</v>
      </c>
      <c r="I815" s="37">
        <v>695</v>
      </c>
      <c r="J815" s="37">
        <v>0</v>
      </c>
      <c r="K815" s="38"/>
      <c r="L815" s="38"/>
      <c r="M815" s="38"/>
      <c r="N815" s="38"/>
      <c r="O815" s="38"/>
      <c r="P815" s="38"/>
      <c r="Q815" s="38"/>
      <c r="R815" s="38"/>
      <c r="S815" s="38"/>
      <c r="T815" s="38"/>
    </row>
    <row r="816" spans="1:20" ht="15.75">
      <c r="A816" s="13">
        <v>65989</v>
      </c>
      <c r="B816" s="46">
        <f t="shared" si="3"/>
        <v>31</v>
      </c>
      <c r="C816" s="37">
        <v>194.20500000000001</v>
      </c>
      <c r="D816" s="37">
        <v>267.46600000000001</v>
      </c>
      <c r="E816" s="43">
        <v>812.32899999999995</v>
      </c>
      <c r="F816" s="37">
        <v>1274</v>
      </c>
      <c r="G816" s="37">
        <v>50</v>
      </c>
      <c r="H816" s="45">
        <v>600</v>
      </c>
      <c r="I816" s="37">
        <v>695</v>
      </c>
      <c r="J816" s="37">
        <v>0</v>
      </c>
      <c r="K816" s="38"/>
      <c r="L816" s="38"/>
      <c r="M816" s="38"/>
      <c r="N816" s="38"/>
      <c r="O816" s="38"/>
      <c r="P816" s="38"/>
      <c r="Q816" s="38"/>
      <c r="R816" s="38"/>
      <c r="S816" s="38"/>
      <c r="T816" s="38"/>
    </row>
    <row r="817" spans="1:20" ht="15.75">
      <c r="A817" s="13">
        <v>66019</v>
      </c>
      <c r="B817" s="46">
        <f t="shared" si="3"/>
        <v>30</v>
      </c>
      <c r="C817" s="37">
        <v>194.20500000000001</v>
      </c>
      <c r="D817" s="37">
        <v>267.46600000000001</v>
      </c>
      <c r="E817" s="43">
        <v>812.32899999999995</v>
      </c>
      <c r="F817" s="37">
        <v>1274</v>
      </c>
      <c r="G817" s="37">
        <v>50</v>
      </c>
      <c r="H817" s="45">
        <v>600</v>
      </c>
      <c r="I817" s="37">
        <v>695</v>
      </c>
      <c r="J817" s="37">
        <v>0</v>
      </c>
      <c r="K817" s="38"/>
      <c r="L817" s="38"/>
      <c r="M817" s="38"/>
      <c r="N817" s="38"/>
      <c r="O817" s="38"/>
      <c r="P817" s="38"/>
      <c r="Q817" s="38"/>
      <c r="R817" s="38"/>
      <c r="S817" s="38"/>
      <c r="T817" s="38"/>
    </row>
    <row r="818" spans="1:20" ht="15.75">
      <c r="A818" s="13">
        <v>66050</v>
      </c>
      <c r="B818" s="46">
        <f t="shared" si="3"/>
        <v>31</v>
      </c>
      <c r="C818" s="37">
        <v>131.881</v>
      </c>
      <c r="D818" s="37">
        <v>277.16699999999997</v>
      </c>
      <c r="E818" s="43">
        <v>829.952</v>
      </c>
      <c r="F818" s="37">
        <v>1239</v>
      </c>
      <c r="G818" s="37">
        <v>75</v>
      </c>
      <c r="H818" s="45">
        <v>600</v>
      </c>
      <c r="I818" s="37">
        <v>695</v>
      </c>
      <c r="J818" s="37">
        <v>0</v>
      </c>
      <c r="K818" s="38"/>
      <c r="L818" s="38"/>
      <c r="M818" s="38"/>
      <c r="N818" s="38"/>
      <c r="O818" s="38"/>
      <c r="P818" s="38"/>
      <c r="Q818" s="38"/>
      <c r="R818" s="38"/>
      <c r="S818" s="38"/>
      <c r="T818" s="38"/>
    </row>
    <row r="819" spans="1:20" ht="15.75">
      <c r="A819" s="13">
        <v>66080</v>
      </c>
      <c r="B819" s="46">
        <f t="shared" si="3"/>
        <v>30</v>
      </c>
      <c r="C819" s="37">
        <v>122.58</v>
      </c>
      <c r="D819" s="37">
        <v>297.94099999999997</v>
      </c>
      <c r="E819" s="43">
        <v>729.47900000000004</v>
      </c>
      <c r="F819" s="37">
        <v>1150</v>
      </c>
      <c r="G819" s="37">
        <v>100</v>
      </c>
      <c r="H819" s="45">
        <v>600</v>
      </c>
      <c r="I819" s="37">
        <v>695</v>
      </c>
      <c r="J819" s="37">
        <v>50</v>
      </c>
      <c r="K819" s="38"/>
      <c r="L819" s="38"/>
      <c r="M819" s="38"/>
      <c r="N819" s="38"/>
      <c r="O819" s="38"/>
      <c r="P819" s="38"/>
      <c r="Q819" s="38"/>
      <c r="R819" s="38"/>
      <c r="S819" s="38"/>
      <c r="T819" s="38"/>
    </row>
    <row r="820" spans="1:20" ht="15.75">
      <c r="A820" s="13">
        <v>66111</v>
      </c>
      <c r="B820" s="46">
        <f t="shared" si="3"/>
        <v>31</v>
      </c>
      <c r="C820" s="37">
        <v>122.58</v>
      </c>
      <c r="D820" s="37">
        <v>297.94099999999997</v>
      </c>
      <c r="E820" s="43">
        <v>729.47900000000004</v>
      </c>
      <c r="F820" s="37">
        <v>1150</v>
      </c>
      <c r="G820" s="37">
        <v>100</v>
      </c>
      <c r="H820" s="45">
        <v>600</v>
      </c>
      <c r="I820" s="37">
        <v>695</v>
      </c>
      <c r="J820" s="37">
        <v>50</v>
      </c>
      <c r="K820" s="38"/>
      <c r="L820" s="38"/>
      <c r="M820" s="38"/>
      <c r="N820" s="38"/>
      <c r="O820" s="38"/>
      <c r="P820" s="38"/>
      <c r="Q820" s="38"/>
      <c r="R820" s="38"/>
      <c r="S820" s="38"/>
      <c r="T820" s="38"/>
    </row>
    <row r="821" spans="1:20" ht="15.75">
      <c r="A821" s="13">
        <v>66142</v>
      </c>
      <c r="B821" s="46">
        <f t="shared" si="3"/>
        <v>31</v>
      </c>
      <c r="C821" s="37">
        <v>122.58</v>
      </c>
      <c r="D821" s="37">
        <v>297.94099999999997</v>
      </c>
      <c r="E821" s="43">
        <v>729.47900000000004</v>
      </c>
      <c r="F821" s="37">
        <v>1150</v>
      </c>
      <c r="G821" s="37">
        <v>100</v>
      </c>
      <c r="H821" s="45">
        <v>600</v>
      </c>
      <c r="I821" s="37">
        <v>695</v>
      </c>
      <c r="J821" s="37">
        <v>50</v>
      </c>
      <c r="K821" s="38"/>
      <c r="L821" s="38"/>
      <c r="M821" s="38"/>
      <c r="N821" s="38"/>
      <c r="O821" s="38"/>
      <c r="P821" s="38"/>
      <c r="Q821" s="38"/>
      <c r="R821" s="38"/>
      <c r="S821" s="38"/>
      <c r="T821" s="38"/>
    </row>
    <row r="822" spans="1:20" ht="15.75">
      <c r="A822" s="13">
        <v>66170</v>
      </c>
      <c r="B822" s="46">
        <f t="shared" si="3"/>
        <v>28</v>
      </c>
      <c r="C822" s="37">
        <v>122.58</v>
      </c>
      <c r="D822" s="37">
        <v>297.94099999999997</v>
      </c>
      <c r="E822" s="43">
        <v>729.47900000000004</v>
      </c>
      <c r="F822" s="37">
        <v>1150</v>
      </c>
      <c r="G822" s="37">
        <v>100</v>
      </c>
      <c r="H822" s="45">
        <v>600</v>
      </c>
      <c r="I822" s="37">
        <v>695</v>
      </c>
      <c r="J822" s="37">
        <v>50</v>
      </c>
      <c r="K822" s="38"/>
      <c r="L822" s="38"/>
      <c r="M822" s="38"/>
      <c r="N822" s="38"/>
      <c r="O822" s="38"/>
      <c r="P822" s="38"/>
      <c r="Q822" s="38"/>
      <c r="R822" s="38"/>
      <c r="S822" s="38"/>
      <c r="T822" s="38"/>
    </row>
    <row r="823" spans="1:20" ht="15.75">
      <c r="A823" s="13">
        <v>66201</v>
      </c>
      <c r="B823" s="46">
        <f t="shared" si="3"/>
        <v>31</v>
      </c>
      <c r="C823" s="37">
        <v>122.58</v>
      </c>
      <c r="D823" s="37">
        <v>297.94099999999997</v>
      </c>
      <c r="E823" s="43">
        <v>729.47900000000004</v>
      </c>
      <c r="F823" s="37">
        <v>1150</v>
      </c>
      <c r="G823" s="37">
        <v>100</v>
      </c>
      <c r="H823" s="45">
        <v>600</v>
      </c>
      <c r="I823" s="37">
        <v>695</v>
      </c>
      <c r="J823" s="37">
        <v>50</v>
      </c>
      <c r="K823" s="38"/>
      <c r="L823" s="38"/>
      <c r="M823" s="38"/>
      <c r="N823" s="38"/>
      <c r="O823" s="38"/>
      <c r="P823" s="38"/>
      <c r="Q823" s="38"/>
      <c r="R823" s="38"/>
      <c r="S823" s="38"/>
      <c r="T823" s="38"/>
    </row>
    <row r="824" spans="1:20" ht="15.75">
      <c r="A824" s="13">
        <v>66231</v>
      </c>
      <c r="B824" s="46">
        <f t="shared" si="3"/>
        <v>30</v>
      </c>
      <c r="C824" s="37">
        <v>141.29300000000001</v>
      </c>
      <c r="D824" s="37">
        <v>267.99299999999999</v>
      </c>
      <c r="E824" s="43">
        <v>829.71400000000006</v>
      </c>
      <c r="F824" s="37">
        <v>1239</v>
      </c>
      <c r="G824" s="37">
        <v>100</v>
      </c>
      <c r="H824" s="45">
        <v>600</v>
      </c>
      <c r="I824" s="37">
        <v>695</v>
      </c>
      <c r="J824" s="37">
        <v>50</v>
      </c>
      <c r="K824" s="38"/>
      <c r="L824" s="38"/>
      <c r="M824" s="38"/>
      <c r="N824" s="38"/>
      <c r="O824" s="38"/>
      <c r="P824" s="38"/>
      <c r="Q824" s="38"/>
      <c r="R824" s="38"/>
      <c r="S824" s="38"/>
      <c r="T824" s="38"/>
    </row>
    <row r="825" spans="1:20" ht="15.75">
      <c r="A825" s="13">
        <v>66262</v>
      </c>
      <c r="B825" s="46">
        <f t="shared" si="3"/>
        <v>31</v>
      </c>
      <c r="C825" s="37">
        <v>194.20500000000001</v>
      </c>
      <c r="D825" s="37">
        <v>267.46600000000001</v>
      </c>
      <c r="E825" s="43">
        <v>812.32899999999995</v>
      </c>
      <c r="F825" s="37">
        <v>1274</v>
      </c>
      <c r="G825" s="37">
        <v>75</v>
      </c>
      <c r="H825" s="45">
        <v>600</v>
      </c>
      <c r="I825" s="37">
        <v>695</v>
      </c>
      <c r="J825" s="37">
        <v>50</v>
      </c>
      <c r="K825" s="38"/>
      <c r="L825" s="38"/>
      <c r="M825" s="38"/>
      <c r="N825" s="38"/>
      <c r="O825" s="38"/>
      <c r="P825" s="38"/>
      <c r="Q825" s="38"/>
      <c r="R825" s="38"/>
      <c r="S825" s="38"/>
      <c r="T825" s="38"/>
    </row>
    <row r="826" spans="1:20" ht="15.75">
      <c r="A826" s="13">
        <v>66292</v>
      </c>
      <c r="B826" s="46">
        <f t="shared" si="3"/>
        <v>30</v>
      </c>
      <c r="C826" s="37">
        <v>194.20500000000001</v>
      </c>
      <c r="D826" s="37">
        <v>267.46600000000001</v>
      </c>
      <c r="E826" s="43">
        <v>812.32899999999995</v>
      </c>
      <c r="F826" s="37">
        <v>1274</v>
      </c>
      <c r="G826" s="37">
        <v>50</v>
      </c>
      <c r="H826" s="45">
        <v>600</v>
      </c>
      <c r="I826" s="37">
        <v>695</v>
      </c>
      <c r="J826" s="37">
        <v>50</v>
      </c>
      <c r="K826" s="38"/>
      <c r="L826" s="38"/>
      <c r="M826" s="38"/>
      <c r="N826" s="38"/>
      <c r="O826" s="38"/>
      <c r="P826" s="38"/>
      <c r="Q826" s="38"/>
      <c r="R826" s="38"/>
      <c r="S826" s="38"/>
      <c r="T826" s="38"/>
    </row>
    <row r="827" spans="1:20" ht="15.75">
      <c r="A827" s="13">
        <v>66323</v>
      </c>
      <c r="B827" s="46">
        <f t="shared" si="3"/>
        <v>31</v>
      </c>
      <c r="C827" s="37">
        <v>194.20500000000001</v>
      </c>
      <c r="D827" s="37">
        <v>267.46600000000001</v>
      </c>
      <c r="E827" s="43">
        <v>812.32899999999995</v>
      </c>
      <c r="F827" s="37">
        <v>1274</v>
      </c>
      <c r="G827" s="37">
        <v>50</v>
      </c>
      <c r="H827" s="45">
        <v>600</v>
      </c>
      <c r="I827" s="37">
        <v>695</v>
      </c>
      <c r="J827" s="37">
        <v>0</v>
      </c>
      <c r="K827" s="38"/>
      <c r="L827" s="38"/>
      <c r="M827" s="38"/>
      <c r="N827" s="38"/>
      <c r="O827" s="38"/>
      <c r="P827" s="38"/>
      <c r="Q827" s="38"/>
      <c r="R827" s="38"/>
      <c r="S827" s="38"/>
      <c r="T827" s="38"/>
    </row>
    <row r="828" spans="1:20" ht="15.75">
      <c r="A828" s="13">
        <v>66354</v>
      </c>
      <c r="B828" s="46">
        <f t="shared" si="3"/>
        <v>31</v>
      </c>
      <c r="C828" s="37">
        <v>194.20500000000001</v>
      </c>
      <c r="D828" s="37">
        <v>267.46600000000001</v>
      </c>
      <c r="E828" s="43">
        <v>812.32899999999995</v>
      </c>
      <c r="F828" s="37">
        <v>1274</v>
      </c>
      <c r="G828" s="37">
        <v>50</v>
      </c>
      <c r="H828" s="45">
        <v>600</v>
      </c>
      <c r="I828" s="37">
        <v>695</v>
      </c>
      <c r="J828" s="37">
        <v>0</v>
      </c>
      <c r="K828" s="38"/>
      <c r="L828" s="38"/>
      <c r="M828" s="38"/>
      <c r="N828" s="38"/>
      <c r="O828" s="38"/>
      <c r="P828" s="38"/>
      <c r="Q828" s="38"/>
      <c r="R828" s="38"/>
      <c r="S828" s="38"/>
      <c r="T828" s="38"/>
    </row>
    <row r="829" spans="1:20" ht="15.75">
      <c r="A829" s="13">
        <v>66384</v>
      </c>
      <c r="B829" s="46">
        <f t="shared" si="3"/>
        <v>30</v>
      </c>
      <c r="C829" s="37">
        <v>194.20500000000001</v>
      </c>
      <c r="D829" s="37">
        <v>267.46600000000001</v>
      </c>
      <c r="E829" s="43">
        <v>812.32899999999995</v>
      </c>
      <c r="F829" s="37">
        <v>1274</v>
      </c>
      <c r="G829" s="37">
        <v>50</v>
      </c>
      <c r="H829" s="45">
        <v>600</v>
      </c>
      <c r="I829" s="37">
        <v>695</v>
      </c>
      <c r="J829" s="37">
        <v>0</v>
      </c>
      <c r="K829" s="38"/>
      <c r="L829" s="38"/>
      <c r="M829" s="38"/>
      <c r="N829" s="38"/>
      <c r="O829" s="38"/>
      <c r="P829" s="38"/>
      <c r="Q829" s="38"/>
      <c r="R829" s="38"/>
      <c r="S829" s="38"/>
      <c r="T829" s="38"/>
    </row>
    <row r="830" spans="1:20" ht="15.75">
      <c r="A830" s="13">
        <v>66415</v>
      </c>
      <c r="B830" s="46">
        <f t="shared" si="3"/>
        <v>31</v>
      </c>
      <c r="C830" s="37">
        <v>131.881</v>
      </c>
      <c r="D830" s="37">
        <v>277.16699999999997</v>
      </c>
      <c r="E830" s="43">
        <v>829.952</v>
      </c>
      <c r="F830" s="37">
        <v>1239</v>
      </c>
      <c r="G830" s="37">
        <v>75</v>
      </c>
      <c r="H830" s="45">
        <v>600</v>
      </c>
      <c r="I830" s="37">
        <v>695</v>
      </c>
      <c r="J830" s="37">
        <v>0</v>
      </c>
      <c r="K830" s="38"/>
      <c r="L830" s="38"/>
      <c r="M830" s="38"/>
      <c r="N830" s="38"/>
      <c r="O830" s="38"/>
      <c r="P830" s="38"/>
      <c r="Q830" s="38"/>
      <c r="R830" s="38"/>
      <c r="S830" s="38"/>
      <c r="T830" s="38"/>
    </row>
    <row r="831" spans="1:20" ht="15.75">
      <c r="A831" s="13">
        <v>66445</v>
      </c>
      <c r="B831" s="46">
        <f t="shared" si="3"/>
        <v>30</v>
      </c>
      <c r="C831" s="37">
        <v>122.58</v>
      </c>
      <c r="D831" s="37">
        <v>297.94099999999997</v>
      </c>
      <c r="E831" s="43">
        <v>729.47900000000004</v>
      </c>
      <c r="F831" s="37">
        <v>1150</v>
      </c>
      <c r="G831" s="37">
        <v>100</v>
      </c>
      <c r="H831" s="45">
        <v>600</v>
      </c>
      <c r="I831" s="37">
        <v>695</v>
      </c>
      <c r="J831" s="37">
        <v>50</v>
      </c>
      <c r="K831" s="38"/>
      <c r="L831" s="38"/>
      <c r="M831" s="38"/>
      <c r="N831" s="38"/>
      <c r="O831" s="38"/>
      <c r="P831" s="38"/>
      <c r="Q831" s="38"/>
      <c r="R831" s="38"/>
      <c r="S831" s="38"/>
      <c r="T831" s="38"/>
    </row>
    <row r="832" spans="1:20" ht="15.75">
      <c r="A832" s="13">
        <v>66476</v>
      </c>
      <c r="B832" s="46">
        <f t="shared" si="3"/>
        <v>31</v>
      </c>
      <c r="C832" s="37">
        <v>122.58</v>
      </c>
      <c r="D832" s="37">
        <v>297.94099999999997</v>
      </c>
      <c r="E832" s="43">
        <v>729.47900000000004</v>
      </c>
      <c r="F832" s="37">
        <v>1150</v>
      </c>
      <c r="G832" s="37">
        <v>100</v>
      </c>
      <c r="H832" s="45">
        <v>600</v>
      </c>
      <c r="I832" s="37">
        <v>695</v>
      </c>
      <c r="J832" s="37">
        <v>50</v>
      </c>
      <c r="K832" s="38"/>
      <c r="L832" s="38"/>
      <c r="M832" s="38"/>
      <c r="N832" s="38"/>
      <c r="O832" s="38"/>
      <c r="P832" s="38"/>
      <c r="Q832" s="38"/>
      <c r="R832" s="38"/>
      <c r="S832" s="38"/>
      <c r="T832" s="38"/>
    </row>
    <row r="833" spans="1:20" ht="15.75">
      <c r="A833" s="13">
        <v>66507</v>
      </c>
      <c r="B833" s="46">
        <f t="shared" si="3"/>
        <v>31</v>
      </c>
      <c r="C833" s="37">
        <v>122.58</v>
      </c>
      <c r="D833" s="37">
        <v>297.94099999999997</v>
      </c>
      <c r="E833" s="43">
        <v>729.47900000000004</v>
      </c>
      <c r="F833" s="37">
        <v>1150</v>
      </c>
      <c r="G833" s="37">
        <v>100</v>
      </c>
      <c r="H833" s="45">
        <v>600</v>
      </c>
      <c r="I833" s="37">
        <v>695</v>
      </c>
      <c r="J833" s="37">
        <v>50</v>
      </c>
      <c r="K833" s="38"/>
      <c r="L833" s="38"/>
      <c r="M833" s="38"/>
      <c r="N833" s="38"/>
      <c r="O833" s="38"/>
      <c r="P833" s="38"/>
      <c r="Q833" s="38"/>
      <c r="R833" s="38"/>
      <c r="S833" s="38"/>
      <c r="T833" s="38"/>
    </row>
    <row r="834" spans="1:20" ht="15.75">
      <c r="A834" s="13">
        <v>66535</v>
      </c>
      <c r="B834" s="46">
        <f t="shared" si="3"/>
        <v>28</v>
      </c>
      <c r="C834" s="37">
        <v>122.58</v>
      </c>
      <c r="D834" s="37">
        <v>297.94099999999997</v>
      </c>
      <c r="E834" s="43">
        <v>729.47900000000004</v>
      </c>
      <c r="F834" s="37">
        <v>1150</v>
      </c>
      <c r="G834" s="37">
        <v>100</v>
      </c>
      <c r="H834" s="45">
        <v>600</v>
      </c>
      <c r="I834" s="37">
        <v>695</v>
      </c>
      <c r="J834" s="37">
        <v>50</v>
      </c>
      <c r="K834" s="38"/>
      <c r="L834" s="38"/>
      <c r="M834" s="38"/>
      <c r="N834" s="38"/>
      <c r="O834" s="38"/>
      <c r="P834" s="38"/>
      <c r="Q834" s="38"/>
      <c r="R834" s="38"/>
      <c r="S834" s="38"/>
      <c r="T834" s="38"/>
    </row>
    <row r="835" spans="1:20" ht="15.75">
      <c r="A835" s="13">
        <v>66566</v>
      </c>
      <c r="B835" s="46">
        <f t="shared" si="3"/>
        <v>31</v>
      </c>
      <c r="C835" s="37">
        <v>122.58</v>
      </c>
      <c r="D835" s="37">
        <v>297.94099999999997</v>
      </c>
      <c r="E835" s="43">
        <v>729.47900000000004</v>
      </c>
      <c r="F835" s="37">
        <v>1150</v>
      </c>
      <c r="G835" s="37">
        <v>100</v>
      </c>
      <c r="H835" s="45">
        <v>600</v>
      </c>
      <c r="I835" s="37">
        <v>695</v>
      </c>
      <c r="J835" s="37">
        <v>50</v>
      </c>
      <c r="K835" s="38"/>
      <c r="L835" s="38"/>
      <c r="M835" s="38"/>
      <c r="N835" s="38"/>
      <c r="O835" s="38"/>
      <c r="P835" s="38"/>
      <c r="Q835" s="38"/>
      <c r="R835" s="38"/>
      <c r="S835" s="38"/>
      <c r="T835" s="38"/>
    </row>
    <row r="836" spans="1:20" ht="15.75">
      <c r="A836" s="13">
        <v>66596</v>
      </c>
      <c r="B836" s="46">
        <f t="shared" si="3"/>
        <v>30</v>
      </c>
      <c r="C836" s="37">
        <v>141.29300000000001</v>
      </c>
      <c r="D836" s="37">
        <v>267.99299999999999</v>
      </c>
      <c r="E836" s="43">
        <v>829.71400000000006</v>
      </c>
      <c r="F836" s="37">
        <v>1239</v>
      </c>
      <c r="G836" s="37">
        <v>100</v>
      </c>
      <c r="H836" s="45">
        <v>600</v>
      </c>
      <c r="I836" s="37">
        <v>695</v>
      </c>
      <c r="J836" s="37">
        <v>50</v>
      </c>
      <c r="K836" s="38"/>
      <c r="L836" s="38"/>
      <c r="M836" s="38"/>
      <c r="N836" s="38"/>
      <c r="O836" s="38"/>
      <c r="P836" s="38"/>
      <c r="Q836" s="38"/>
      <c r="R836" s="38"/>
      <c r="S836" s="38"/>
      <c r="T836" s="38"/>
    </row>
    <row r="837" spans="1:20" ht="15.75">
      <c r="A837" s="13">
        <v>66627</v>
      </c>
      <c r="B837" s="46">
        <f t="shared" si="3"/>
        <v>31</v>
      </c>
      <c r="C837" s="37">
        <v>194.20500000000001</v>
      </c>
      <c r="D837" s="37">
        <v>267.46600000000001</v>
      </c>
      <c r="E837" s="43">
        <v>812.32899999999995</v>
      </c>
      <c r="F837" s="37">
        <v>1274</v>
      </c>
      <c r="G837" s="37">
        <v>75</v>
      </c>
      <c r="H837" s="45">
        <v>600</v>
      </c>
      <c r="I837" s="37">
        <v>695</v>
      </c>
      <c r="J837" s="37">
        <v>50</v>
      </c>
      <c r="K837" s="38"/>
      <c r="L837" s="38"/>
      <c r="M837" s="38"/>
      <c r="N837" s="38"/>
      <c r="O837" s="38"/>
      <c r="P837" s="38"/>
      <c r="Q837" s="38"/>
      <c r="R837" s="38"/>
      <c r="S837" s="38"/>
      <c r="T837" s="38"/>
    </row>
    <row r="838" spans="1:20" ht="15.75">
      <c r="A838" s="13">
        <v>66657</v>
      </c>
      <c r="B838" s="46">
        <f t="shared" si="3"/>
        <v>30</v>
      </c>
      <c r="C838" s="37">
        <v>194.20500000000001</v>
      </c>
      <c r="D838" s="37">
        <v>267.46600000000001</v>
      </c>
      <c r="E838" s="43">
        <v>812.32899999999995</v>
      </c>
      <c r="F838" s="37">
        <v>1274</v>
      </c>
      <c r="G838" s="37">
        <v>50</v>
      </c>
      <c r="H838" s="45">
        <v>600</v>
      </c>
      <c r="I838" s="37">
        <v>695</v>
      </c>
      <c r="J838" s="37">
        <v>50</v>
      </c>
      <c r="K838" s="38"/>
      <c r="L838" s="38"/>
      <c r="M838" s="38"/>
      <c r="N838" s="38"/>
      <c r="O838" s="38"/>
      <c r="P838" s="38"/>
      <c r="Q838" s="38"/>
      <c r="R838" s="38"/>
      <c r="S838" s="38"/>
      <c r="T838" s="38"/>
    </row>
    <row r="839" spans="1:20" ht="15.75">
      <c r="A839" s="13">
        <v>66688</v>
      </c>
      <c r="B839" s="46">
        <f t="shared" si="3"/>
        <v>31</v>
      </c>
      <c r="C839" s="37">
        <v>194.20500000000001</v>
      </c>
      <c r="D839" s="37">
        <v>267.46600000000001</v>
      </c>
      <c r="E839" s="43">
        <v>812.32899999999995</v>
      </c>
      <c r="F839" s="37">
        <v>1274</v>
      </c>
      <c r="G839" s="37">
        <v>50</v>
      </c>
      <c r="H839" s="45">
        <v>600</v>
      </c>
      <c r="I839" s="37">
        <v>695</v>
      </c>
      <c r="J839" s="37">
        <v>0</v>
      </c>
      <c r="K839" s="38"/>
      <c r="L839" s="38"/>
      <c r="M839" s="38"/>
      <c r="N839" s="38"/>
      <c r="O839" s="38"/>
      <c r="P839" s="38"/>
      <c r="Q839" s="38"/>
      <c r="R839" s="38"/>
      <c r="S839" s="38"/>
      <c r="T839" s="38"/>
    </row>
    <row r="840" spans="1:20" ht="15.75">
      <c r="A840" s="13">
        <v>66719</v>
      </c>
      <c r="B840" s="46">
        <f t="shared" si="3"/>
        <v>31</v>
      </c>
      <c r="C840" s="37">
        <v>194.20500000000001</v>
      </c>
      <c r="D840" s="37">
        <v>267.46600000000001</v>
      </c>
      <c r="E840" s="43">
        <v>812.32899999999995</v>
      </c>
      <c r="F840" s="37">
        <v>1274</v>
      </c>
      <c r="G840" s="37">
        <v>50</v>
      </c>
      <c r="H840" s="45">
        <v>600</v>
      </c>
      <c r="I840" s="37">
        <v>695</v>
      </c>
      <c r="J840" s="37">
        <v>0</v>
      </c>
      <c r="K840" s="38"/>
      <c r="L840" s="38"/>
      <c r="M840" s="38"/>
      <c r="N840" s="38"/>
      <c r="O840" s="38"/>
      <c r="P840" s="38"/>
      <c r="Q840" s="38"/>
      <c r="R840" s="38"/>
      <c r="S840" s="38"/>
      <c r="T840" s="38"/>
    </row>
    <row r="841" spans="1:20" ht="15.75">
      <c r="A841" s="13">
        <v>66749</v>
      </c>
      <c r="B841" s="46">
        <f t="shared" si="3"/>
        <v>30</v>
      </c>
      <c r="C841" s="37">
        <v>194.20500000000001</v>
      </c>
      <c r="D841" s="37">
        <v>267.46600000000001</v>
      </c>
      <c r="E841" s="43">
        <v>812.32899999999995</v>
      </c>
      <c r="F841" s="37">
        <v>1274</v>
      </c>
      <c r="G841" s="37">
        <v>50</v>
      </c>
      <c r="H841" s="45">
        <v>600</v>
      </c>
      <c r="I841" s="37">
        <v>695</v>
      </c>
      <c r="J841" s="37">
        <v>0</v>
      </c>
      <c r="K841" s="38"/>
      <c r="L841" s="38"/>
      <c r="M841" s="38"/>
      <c r="N841" s="38"/>
      <c r="O841" s="38"/>
      <c r="P841" s="38"/>
      <c r="Q841" s="38"/>
      <c r="R841" s="38"/>
      <c r="S841" s="38"/>
      <c r="T841" s="38"/>
    </row>
    <row r="842" spans="1:20" ht="15.75">
      <c r="A842" s="13">
        <v>66780</v>
      </c>
      <c r="B842" s="46">
        <f t="shared" si="3"/>
        <v>31</v>
      </c>
      <c r="C842" s="37">
        <v>131.881</v>
      </c>
      <c r="D842" s="37">
        <v>277.16699999999997</v>
      </c>
      <c r="E842" s="43">
        <v>829.952</v>
      </c>
      <c r="F842" s="37">
        <v>1239</v>
      </c>
      <c r="G842" s="37">
        <v>75</v>
      </c>
      <c r="H842" s="45">
        <v>600</v>
      </c>
      <c r="I842" s="37">
        <v>695</v>
      </c>
      <c r="J842" s="37">
        <v>0</v>
      </c>
      <c r="K842" s="38"/>
      <c r="L842" s="38"/>
      <c r="M842" s="38"/>
      <c r="N842" s="38"/>
      <c r="O842" s="38"/>
      <c r="P842" s="38"/>
      <c r="Q842" s="38"/>
      <c r="R842" s="38"/>
      <c r="S842" s="38"/>
      <c r="T842" s="38"/>
    </row>
    <row r="843" spans="1:20" ht="15.75">
      <c r="A843" s="13">
        <v>66810</v>
      </c>
      <c r="B843" s="46">
        <f t="shared" si="3"/>
        <v>30</v>
      </c>
      <c r="C843" s="37">
        <v>122.58</v>
      </c>
      <c r="D843" s="37">
        <v>297.94099999999997</v>
      </c>
      <c r="E843" s="43">
        <v>729.47900000000004</v>
      </c>
      <c r="F843" s="37">
        <v>1150</v>
      </c>
      <c r="G843" s="37">
        <v>100</v>
      </c>
      <c r="H843" s="45">
        <v>600</v>
      </c>
      <c r="I843" s="37">
        <v>695</v>
      </c>
      <c r="J843" s="37">
        <v>50</v>
      </c>
      <c r="K843" s="38"/>
      <c r="L843" s="38"/>
      <c r="M843" s="38"/>
      <c r="N843" s="38"/>
      <c r="O843" s="38"/>
      <c r="P843" s="38"/>
      <c r="Q843" s="38"/>
      <c r="R843" s="38"/>
      <c r="S843" s="38"/>
      <c r="T843" s="38"/>
    </row>
    <row r="844" spans="1:20" ht="15.75">
      <c r="A844" s="13">
        <v>66841</v>
      </c>
      <c r="B844" s="46">
        <f t="shared" si="3"/>
        <v>31</v>
      </c>
      <c r="C844" s="37">
        <v>122.58</v>
      </c>
      <c r="D844" s="37">
        <v>297.94099999999997</v>
      </c>
      <c r="E844" s="43">
        <v>729.47900000000004</v>
      </c>
      <c r="F844" s="37">
        <v>1150</v>
      </c>
      <c r="G844" s="37">
        <v>100</v>
      </c>
      <c r="H844" s="45">
        <v>600</v>
      </c>
      <c r="I844" s="37">
        <v>695</v>
      </c>
      <c r="J844" s="37">
        <v>50</v>
      </c>
      <c r="K844" s="38"/>
      <c r="L844" s="38"/>
      <c r="M844" s="38"/>
      <c r="N844" s="38"/>
      <c r="O844" s="38"/>
      <c r="P844" s="38"/>
      <c r="Q844" s="38"/>
      <c r="R844" s="38"/>
      <c r="S844" s="38"/>
      <c r="T844" s="38"/>
    </row>
    <row r="845" spans="1:20" ht="15.75">
      <c r="A845" s="13">
        <v>66872</v>
      </c>
      <c r="B845" s="46">
        <f t="shared" si="3"/>
        <v>31</v>
      </c>
      <c r="C845" s="37">
        <v>122.58</v>
      </c>
      <c r="D845" s="37">
        <v>297.94099999999997</v>
      </c>
      <c r="E845" s="43">
        <v>729.47900000000004</v>
      </c>
      <c r="F845" s="37">
        <v>1150</v>
      </c>
      <c r="G845" s="37">
        <v>100</v>
      </c>
      <c r="H845" s="45">
        <v>600</v>
      </c>
      <c r="I845" s="37">
        <v>695</v>
      </c>
      <c r="J845" s="37">
        <v>50</v>
      </c>
      <c r="K845" s="38"/>
      <c r="L845" s="38"/>
      <c r="M845" s="38"/>
      <c r="N845" s="38"/>
      <c r="O845" s="38"/>
      <c r="P845" s="38"/>
      <c r="Q845" s="38"/>
      <c r="R845" s="38"/>
      <c r="S845" s="38"/>
      <c r="T845" s="38"/>
    </row>
    <row r="846" spans="1:20" ht="15.75">
      <c r="A846" s="13">
        <v>66900</v>
      </c>
      <c r="B846" s="46">
        <f t="shared" si="3"/>
        <v>28</v>
      </c>
      <c r="C846" s="37">
        <v>122.58</v>
      </c>
      <c r="D846" s="37">
        <v>297.94099999999997</v>
      </c>
      <c r="E846" s="43">
        <v>729.47900000000004</v>
      </c>
      <c r="F846" s="37">
        <v>1150</v>
      </c>
      <c r="G846" s="37">
        <v>100</v>
      </c>
      <c r="H846" s="45">
        <v>600</v>
      </c>
      <c r="I846" s="37">
        <v>695</v>
      </c>
      <c r="J846" s="37">
        <v>50</v>
      </c>
      <c r="K846" s="38"/>
      <c r="L846" s="38"/>
      <c r="M846" s="38"/>
      <c r="N846" s="38"/>
      <c r="O846" s="38"/>
      <c r="P846" s="38"/>
      <c r="Q846" s="38"/>
      <c r="R846" s="38"/>
      <c r="S846" s="38"/>
      <c r="T846" s="38"/>
    </row>
    <row r="847" spans="1:20" ht="15.75">
      <c r="A847" s="13">
        <v>66931</v>
      </c>
      <c r="B847" s="46">
        <f t="shared" si="3"/>
        <v>31</v>
      </c>
      <c r="C847" s="37">
        <v>122.58</v>
      </c>
      <c r="D847" s="37">
        <v>297.94099999999997</v>
      </c>
      <c r="E847" s="43">
        <v>729.47900000000004</v>
      </c>
      <c r="F847" s="37">
        <v>1150</v>
      </c>
      <c r="G847" s="37">
        <v>100</v>
      </c>
      <c r="H847" s="45">
        <v>600</v>
      </c>
      <c r="I847" s="37">
        <v>695</v>
      </c>
      <c r="J847" s="37">
        <v>50</v>
      </c>
      <c r="K847" s="38"/>
      <c r="L847" s="38"/>
      <c r="M847" s="38"/>
      <c r="N847" s="38"/>
      <c r="O847" s="38"/>
      <c r="P847" s="38"/>
      <c r="Q847" s="38"/>
      <c r="R847" s="38"/>
      <c r="S847" s="38"/>
      <c r="T847" s="38"/>
    </row>
    <row r="848" spans="1:20" ht="15.75">
      <c r="A848" s="13">
        <v>66961</v>
      </c>
      <c r="B848" s="46">
        <f t="shared" si="3"/>
        <v>30</v>
      </c>
      <c r="C848" s="37">
        <v>141.29300000000001</v>
      </c>
      <c r="D848" s="37">
        <v>267.99299999999999</v>
      </c>
      <c r="E848" s="43">
        <v>829.71400000000006</v>
      </c>
      <c r="F848" s="37">
        <v>1239</v>
      </c>
      <c r="G848" s="37">
        <v>100</v>
      </c>
      <c r="H848" s="45">
        <v>600</v>
      </c>
      <c r="I848" s="37">
        <v>695</v>
      </c>
      <c r="J848" s="37">
        <v>50</v>
      </c>
      <c r="K848" s="38"/>
      <c r="L848" s="38"/>
      <c r="M848" s="38"/>
      <c r="N848" s="38"/>
      <c r="O848" s="38"/>
      <c r="P848" s="38"/>
      <c r="Q848" s="38"/>
      <c r="R848" s="38"/>
      <c r="S848" s="38"/>
      <c r="T848" s="38"/>
    </row>
    <row r="849" spans="1:20" ht="15.75">
      <c r="A849" s="13">
        <v>66992</v>
      </c>
      <c r="B849" s="46">
        <f t="shared" ref="B849:B912" si="4">EOMONTH(A849,0)-EOMONTH(A849,-1)</f>
        <v>31</v>
      </c>
      <c r="C849" s="37">
        <v>194.20500000000001</v>
      </c>
      <c r="D849" s="37">
        <v>267.46600000000001</v>
      </c>
      <c r="E849" s="43">
        <v>812.32899999999995</v>
      </c>
      <c r="F849" s="37">
        <v>1274</v>
      </c>
      <c r="G849" s="37">
        <v>75</v>
      </c>
      <c r="H849" s="45">
        <v>600</v>
      </c>
      <c r="I849" s="37">
        <v>695</v>
      </c>
      <c r="J849" s="37">
        <v>50</v>
      </c>
      <c r="K849" s="38"/>
      <c r="L849" s="38"/>
      <c r="M849" s="38"/>
      <c r="N849" s="38"/>
      <c r="O849" s="38"/>
      <c r="P849" s="38"/>
      <c r="Q849" s="38"/>
      <c r="R849" s="38"/>
      <c r="S849" s="38"/>
      <c r="T849" s="38"/>
    </row>
    <row r="850" spans="1:20" ht="15.75">
      <c r="A850" s="13">
        <v>67022</v>
      </c>
      <c r="B850" s="46">
        <f t="shared" si="4"/>
        <v>30</v>
      </c>
      <c r="C850" s="37">
        <v>194.20500000000001</v>
      </c>
      <c r="D850" s="37">
        <v>267.46600000000001</v>
      </c>
      <c r="E850" s="43">
        <v>812.32899999999995</v>
      </c>
      <c r="F850" s="37">
        <v>1274</v>
      </c>
      <c r="G850" s="37">
        <v>50</v>
      </c>
      <c r="H850" s="45">
        <v>600</v>
      </c>
      <c r="I850" s="37">
        <v>695</v>
      </c>
      <c r="J850" s="37">
        <v>50</v>
      </c>
      <c r="K850" s="38"/>
      <c r="L850" s="38"/>
      <c r="M850" s="38"/>
      <c r="N850" s="38"/>
      <c r="O850" s="38"/>
      <c r="P850" s="38"/>
      <c r="Q850" s="38"/>
      <c r="R850" s="38"/>
      <c r="S850" s="38"/>
      <c r="T850" s="38"/>
    </row>
    <row r="851" spans="1:20" ht="15.75">
      <c r="A851" s="13">
        <v>67053</v>
      </c>
      <c r="B851" s="46">
        <f t="shared" si="4"/>
        <v>31</v>
      </c>
      <c r="C851" s="37">
        <v>194.20500000000001</v>
      </c>
      <c r="D851" s="37">
        <v>267.46600000000001</v>
      </c>
      <c r="E851" s="43">
        <v>812.32899999999995</v>
      </c>
      <c r="F851" s="37">
        <v>1274</v>
      </c>
      <c r="G851" s="37">
        <v>50</v>
      </c>
      <c r="H851" s="45">
        <v>600</v>
      </c>
      <c r="I851" s="37">
        <v>695</v>
      </c>
      <c r="J851" s="37">
        <v>0</v>
      </c>
      <c r="K851" s="38"/>
      <c r="L851" s="38"/>
      <c r="M851" s="38"/>
      <c r="N851" s="38"/>
      <c r="O851" s="38"/>
      <c r="P851" s="38"/>
      <c r="Q851" s="38"/>
      <c r="R851" s="38"/>
      <c r="S851" s="38"/>
      <c r="T851" s="38"/>
    </row>
    <row r="852" spans="1:20" ht="15.75">
      <c r="A852" s="13">
        <v>67084</v>
      </c>
      <c r="B852" s="46">
        <f t="shared" si="4"/>
        <v>31</v>
      </c>
      <c r="C852" s="37">
        <v>194.20500000000001</v>
      </c>
      <c r="D852" s="37">
        <v>267.46600000000001</v>
      </c>
      <c r="E852" s="43">
        <v>812.32899999999995</v>
      </c>
      <c r="F852" s="37">
        <v>1274</v>
      </c>
      <c r="G852" s="37">
        <v>50</v>
      </c>
      <c r="H852" s="45">
        <v>600</v>
      </c>
      <c r="I852" s="37">
        <v>695</v>
      </c>
      <c r="J852" s="37">
        <v>0</v>
      </c>
      <c r="K852" s="38"/>
      <c r="L852" s="38"/>
      <c r="M852" s="38"/>
      <c r="N852" s="38"/>
      <c r="O852" s="38"/>
      <c r="P852" s="38"/>
      <c r="Q852" s="38"/>
      <c r="R852" s="38"/>
      <c r="S852" s="38"/>
      <c r="T852" s="38"/>
    </row>
    <row r="853" spans="1:20" ht="15.75">
      <c r="A853" s="13">
        <v>67114</v>
      </c>
      <c r="B853" s="46">
        <f t="shared" si="4"/>
        <v>30</v>
      </c>
      <c r="C853" s="37">
        <v>194.20500000000001</v>
      </c>
      <c r="D853" s="37">
        <v>267.46600000000001</v>
      </c>
      <c r="E853" s="43">
        <v>812.32899999999995</v>
      </c>
      <c r="F853" s="37">
        <v>1274</v>
      </c>
      <c r="G853" s="37">
        <v>50</v>
      </c>
      <c r="H853" s="45">
        <v>600</v>
      </c>
      <c r="I853" s="37">
        <v>695</v>
      </c>
      <c r="J853" s="37">
        <v>0</v>
      </c>
      <c r="K853" s="38"/>
      <c r="L853" s="38"/>
      <c r="M853" s="38"/>
      <c r="N853" s="38"/>
      <c r="O853" s="38"/>
      <c r="P853" s="38"/>
      <c r="Q853" s="38"/>
      <c r="R853" s="38"/>
      <c r="S853" s="38"/>
      <c r="T853" s="38"/>
    </row>
    <row r="854" spans="1:20" ht="15.75">
      <c r="A854" s="13">
        <v>67145</v>
      </c>
      <c r="B854" s="46">
        <f t="shared" si="4"/>
        <v>31</v>
      </c>
      <c r="C854" s="37">
        <v>131.881</v>
      </c>
      <c r="D854" s="37">
        <v>277.16699999999997</v>
      </c>
      <c r="E854" s="43">
        <v>829.952</v>
      </c>
      <c r="F854" s="37">
        <v>1239</v>
      </c>
      <c r="G854" s="37">
        <v>75</v>
      </c>
      <c r="H854" s="45">
        <v>600</v>
      </c>
      <c r="I854" s="37">
        <v>695</v>
      </c>
      <c r="J854" s="37">
        <v>0</v>
      </c>
      <c r="K854" s="38"/>
      <c r="L854" s="38"/>
      <c r="M854" s="38"/>
      <c r="N854" s="38"/>
      <c r="O854" s="38"/>
      <c r="P854" s="38"/>
      <c r="Q854" s="38"/>
      <c r="R854" s="38"/>
      <c r="S854" s="38"/>
      <c r="T854" s="38"/>
    </row>
    <row r="855" spans="1:20" ht="15.75">
      <c r="A855" s="13">
        <v>67175</v>
      </c>
      <c r="B855" s="46">
        <f t="shared" si="4"/>
        <v>30</v>
      </c>
      <c r="C855" s="37">
        <v>122.58</v>
      </c>
      <c r="D855" s="37">
        <v>297.94099999999997</v>
      </c>
      <c r="E855" s="43">
        <v>729.47900000000004</v>
      </c>
      <c r="F855" s="37">
        <v>1150</v>
      </c>
      <c r="G855" s="37">
        <v>100</v>
      </c>
      <c r="H855" s="45">
        <v>600</v>
      </c>
      <c r="I855" s="37">
        <v>695</v>
      </c>
      <c r="J855" s="37">
        <v>50</v>
      </c>
      <c r="K855" s="38"/>
      <c r="L855" s="38"/>
      <c r="M855" s="38"/>
      <c r="N855" s="38"/>
      <c r="O855" s="38"/>
      <c r="P855" s="38"/>
      <c r="Q855" s="38"/>
      <c r="R855" s="38"/>
      <c r="S855" s="38"/>
      <c r="T855" s="38"/>
    </row>
    <row r="856" spans="1:20" ht="15.75">
      <c r="A856" s="13">
        <v>67206</v>
      </c>
      <c r="B856" s="46">
        <f t="shared" si="4"/>
        <v>31</v>
      </c>
      <c r="C856" s="37">
        <v>122.58</v>
      </c>
      <c r="D856" s="37">
        <v>297.94099999999997</v>
      </c>
      <c r="E856" s="43">
        <v>729.47900000000004</v>
      </c>
      <c r="F856" s="37">
        <v>1150</v>
      </c>
      <c r="G856" s="37">
        <v>100</v>
      </c>
      <c r="H856" s="45">
        <v>600</v>
      </c>
      <c r="I856" s="37">
        <v>695</v>
      </c>
      <c r="J856" s="37">
        <v>50</v>
      </c>
      <c r="K856" s="38"/>
      <c r="L856" s="38"/>
      <c r="M856" s="38"/>
      <c r="N856" s="38"/>
      <c r="O856" s="38"/>
      <c r="P856" s="38"/>
      <c r="Q856" s="38"/>
      <c r="R856" s="38"/>
      <c r="S856" s="38"/>
      <c r="T856" s="38"/>
    </row>
    <row r="857" spans="1:20" ht="15.75">
      <c r="A857" s="13">
        <v>67237</v>
      </c>
      <c r="B857" s="46">
        <f t="shared" si="4"/>
        <v>31</v>
      </c>
      <c r="C857" s="37">
        <v>122.58</v>
      </c>
      <c r="D857" s="37">
        <v>297.94099999999997</v>
      </c>
      <c r="E857" s="43">
        <v>729.47900000000004</v>
      </c>
      <c r="F857" s="37">
        <v>1150</v>
      </c>
      <c r="G857" s="37">
        <v>100</v>
      </c>
      <c r="H857" s="45">
        <v>600</v>
      </c>
      <c r="I857" s="37">
        <v>695</v>
      </c>
      <c r="J857" s="37">
        <v>50</v>
      </c>
      <c r="K857" s="38"/>
      <c r="L857" s="38"/>
      <c r="M857" s="38"/>
      <c r="N857" s="38"/>
      <c r="O857" s="38"/>
      <c r="P857" s="38"/>
      <c r="Q857" s="38"/>
      <c r="R857" s="38"/>
      <c r="S857" s="38"/>
      <c r="T857" s="38"/>
    </row>
    <row r="858" spans="1:20" ht="15.75">
      <c r="A858" s="13">
        <v>67266</v>
      </c>
      <c r="B858" s="46">
        <f t="shared" si="4"/>
        <v>29</v>
      </c>
      <c r="C858" s="37">
        <v>122.58</v>
      </c>
      <c r="D858" s="37">
        <v>297.94099999999997</v>
      </c>
      <c r="E858" s="43">
        <v>729.47900000000004</v>
      </c>
      <c r="F858" s="37">
        <v>1150</v>
      </c>
      <c r="G858" s="37">
        <v>100</v>
      </c>
      <c r="H858" s="45">
        <v>600</v>
      </c>
      <c r="I858" s="37">
        <v>695</v>
      </c>
      <c r="J858" s="37">
        <v>50</v>
      </c>
      <c r="K858" s="38"/>
      <c r="L858" s="38"/>
      <c r="M858" s="38"/>
      <c r="N858" s="38"/>
      <c r="O858" s="38"/>
      <c r="P858" s="38"/>
      <c r="Q858" s="38"/>
      <c r="R858" s="38"/>
      <c r="S858" s="38"/>
      <c r="T858" s="38"/>
    </row>
    <row r="859" spans="1:20" ht="15.75">
      <c r="A859" s="13">
        <v>67297</v>
      </c>
      <c r="B859" s="46">
        <f t="shared" si="4"/>
        <v>31</v>
      </c>
      <c r="C859" s="37">
        <v>122.58</v>
      </c>
      <c r="D859" s="37">
        <v>297.94099999999997</v>
      </c>
      <c r="E859" s="43">
        <v>729.47900000000004</v>
      </c>
      <c r="F859" s="37">
        <v>1150</v>
      </c>
      <c r="G859" s="37">
        <v>100</v>
      </c>
      <c r="H859" s="45">
        <v>600</v>
      </c>
      <c r="I859" s="37">
        <v>695</v>
      </c>
      <c r="J859" s="37">
        <v>50</v>
      </c>
      <c r="K859" s="38"/>
      <c r="L859" s="38"/>
      <c r="M859" s="38"/>
      <c r="N859" s="38"/>
      <c r="O859" s="38"/>
      <c r="P859" s="38"/>
      <c r="Q859" s="38"/>
      <c r="R859" s="38"/>
      <c r="S859" s="38"/>
      <c r="T859" s="38"/>
    </row>
    <row r="860" spans="1:20" ht="15.75">
      <c r="A860" s="13">
        <v>67327</v>
      </c>
      <c r="B860" s="46">
        <f t="shared" si="4"/>
        <v>30</v>
      </c>
      <c r="C860" s="37">
        <v>141.29300000000001</v>
      </c>
      <c r="D860" s="37">
        <v>267.99299999999999</v>
      </c>
      <c r="E860" s="43">
        <v>829.71400000000006</v>
      </c>
      <c r="F860" s="37">
        <v>1239</v>
      </c>
      <c r="G860" s="37">
        <v>100</v>
      </c>
      <c r="H860" s="45">
        <v>600</v>
      </c>
      <c r="I860" s="37">
        <v>695</v>
      </c>
      <c r="J860" s="37">
        <v>50</v>
      </c>
      <c r="K860" s="38"/>
      <c r="L860" s="38"/>
      <c r="M860" s="38"/>
      <c r="N860" s="38"/>
      <c r="O860" s="38"/>
      <c r="P860" s="38"/>
      <c r="Q860" s="38"/>
      <c r="R860" s="38"/>
      <c r="S860" s="38"/>
      <c r="T860" s="38"/>
    </row>
    <row r="861" spans="1:20" ht="15.75">
      <c r="A861" s="13">
        <v>67358</v>
      </c>
      <c r="B861" s="46">
        <f t="shared" si="4"/>
        <v>31</v>
      </c>
      <c r="C861" s="37">
        <v>194.20500000000001</v>
      </c>
      <c r="D861" s="37">
        <v>267.46600000000001</v>
      </c>
      <c r="E861" s="43">
        <v>812.32899999999995</v>
      </c>
      <c r="F861" s="37">
        <v>1274</v>
      </c>
      <c r="G861" s="37">
        <v>75</v>
      </c>
      <c r="H861" s="45">
        <v>600</v>
      </c>
      <c r="I861" s="37">
        <v>695</v>
      </c>
      <c r="J861" s="37">
        <v>50</v>
      </c>
      <c r="K861" s="38"/>
      <c r="L861" s="38"/>
      <c r="M861" s="38"/>
      <c r="N861" s="38"/>
      <c r="O861" s="38"/>
      <c r="P861" s="38"/>
      <c r="Q861" s="38"/>
      <c r="R861" s="38"/>
      <c r="S861" s="38"/>
      <c r="T861" s="38"/>
    </row>
    <row r="862" spans="1:20" ht="15.75">
      <c r="A862" s="13">
        <v>67388</v>
      </c>
      <c r="B862" s="46">
        <f t="shared" si="4"/>
        <v>30</v>
      </c>
      <c r="C862" s="37">
        <v>194.20500000000001</v>
      </c>
      <c r="D862" s="37">
        <v>267.46600000000001</v>
      </c>
      <c r="E862" s="43">
        <v>812.32899999999995</v>
      </c>
      <c r="F862" s="37">
        <v>1274</v>
      </c>
      <c r="G862" s="37">
        <v>50</v>
      </c>
      <c r="H862" s="45">
        <v>600</v>
      </c>
      <c r="I862" s="37">
        <v>695</v>
      </c>
      <c r="J862" s="37">
        <v>50</v>
      </c>
      <c r="K862" s="38"/>
      <c r="L862" s="38"/>
      <c r="M862" s="38"/>
      <c r="N862" s="38"/>
      <c r="O862" s="38"/>
      <c r="P862" s="38"/>
      <c r="Q862" s="38"/>
      <c r="R862" s="38"/>
      <c r="S862" s="38"/>
      <c r="T862" s="38"/>
    </row>
    <row r="863" spans="1:20" ht="15.75">
      <c r="A863" s="13">
        <v>67419</v>
      </c>
      <c r="B863" s="46">
        <f t="shared" si="4"/>
        <v>31</v>
      </c>
      <c r="C863" s="37">
        <v>194.20500000000001</v>
      </c>
      <c r="D863" s="37">
        <v>267.46600000000001</v>
      </c>
      <c r="E863" s="43">
        <v>812.32899999999995</v>
      </c>
      <c r="F863" s="37">
        <v>1274</v>
      </c>
      <c r="G863" s="37">
        <v>50</v>
      </c>
      <c r="H863" s="45">
        <v>600</v>
      </c>
      <c r="I863" s="37">
        <v>695</v>
      </c>
      <c r="J863" s="37">
        <v>0</v>
      </c>
      <c r="K863" s="38"/>
      <c r="L863" s="38"/>
      <c r="M863" s="38"/>
      <c r="N863" s="38"/>
      <c r="O863" s="38"/>
      <c r="P863" s="38"/>
      <c r="Q863" s="38"/>
      <c r="R863" s="38"/>
      <c r="S863" s="38"/>
      <c r="T863" s="38"/>
    </row>
    <row r="864" spans="1:20" ht="15.75">
      <c r="A864" s="13">
        <v>67450</v>
      </c>
      <c r="B864" s="46">
        <f t="shared" si="4"/>
        <v>31</v>
      </c>
      <c r="C864" s="37">
        <v>194.20500000000001</v>
      </c>
      <c r="D864" s="37">
        <v>267.46600000000001</v>
      </c>
      <c r="E864" s="43">
        <v>812.32899999999995</v>
      </c>
      <c r="F864" s="37">
        <v>1274</v>
      </c>
      <c r="G864" s="37">
        <v>50</v>
      </c>
      <c r="H864" s="45">
        <v>600</v>
      </c>
      <c r="I864" s="37">
        <v>695</v>
      </c>
      <c r="J864" s="37">
        <v>0</v>
      </c>
      <c r="K864" s="38"/>
      <c r="L864" s="38"/>
      <c r="M864" s="38"/>
      <c r="N864" s="38"/>
      <c r="O864" s="38"/>
      <c r="P864" s="38"/>
      <c r="Q864" s="38"/>
      <c r="R864" s="38"/>
      <c r="S864" s="38"/>
      <c r="T864" s="38"/>
    </row>
    <row r="865" spans="1:20" ht="15.75">
      <c r="A865" s="13">
        <v>67480</v>
      </c>
      <c r="B865" s="46">
        <f t="shared" si="4"/>
        <v>30</v>
      </c>
      <c r="C865" s="37">
        <v>194.20500000000001</v>
      </c>
      <c r="D865" s="37">
        <v>267.46600000000001</v>
      </c>
      <c r="E865" s="43">
        <v>812.32899999999995</v>
      </c>
      <c r="F865" s="37">
        <v>1274</v>
      </c>
      <c r="G865" s="37">
        <v>50</v>
      </c>
      <c r="H865" s="45">
        <v>600</v>
      </c>
      <c r="I865" s="37">
        <v>695</v>
      </c>
      <c r="J865" s="37">
        <v>0</v>
      </c>
      <c r="K865" s="38"/>
      <c r="L865" s="38"/>
      <c r="M865" s="38"/>
      <c r="N865" s="38"/>
      <c r="O865" s="38"/>
      <c r="P865" s="38"/>
      <c r="Q865" s="38"/>
      <c r="R865" s="38"/>
      <c r="S865" s="38"/>
      <c r="T865" s="38"/>
    </row>
    <row r="866" spans="1:20" ht="15.75">
      <c r="A866" s="13">
        <v>67511</v>
      </c>
      <c r="B866" s="46">
        <f t="shared" si="4"/>
        <v>31</v>
      </c>
      <c r="C866" s="37">
        <v>131.881</v>
      </c>
      <c r="D866" s="37">
        <v>277.16699999999997</v>
      </c>
      <c r="E866" s="43">
        <v>829.952</v>
      </c>
      <c r="F866" s="37">
        <v>1239</v>
      </c>
      <c r="G866" s="37">
        <v>75</v>
      </c>
      <c r="H866" s="45">
        <v>600</v>
      </c>
      <c r="I866" s="37">
        <v>695</v>
      </c>
      <c r="J866" s="37">
        <v>0</v>
      </c>
      <c r="K866" s="38"/>
      <c r="L866" s="38"/>
      <c r="M866" s="38"/>
      <c r="N866" s="38"/>
      <c r="O866" s="38"/>
      <c r="P866" s="38"/>
      <c r="Q866" s="38"/>
      <c r="R866" s="38"/>
      <c r="S866" s="38"/>
      <c r="T866" s="38"/>
    </row>
    <row r="867" spans="1:20" ht="15.75">
      <c r="A867" s="13">
        <v>67541</v>
      </c>
      <c r="B867" s="46">
        <f t="shared" si="4"/>
        <v>30</v>
      </c>
      <c r="C867" s="37">
        <v>122.58</v>
      </c>
      <c r="D867" s="37">
        <v>297.94099999999997</v>
      </c>
      <c r="E867" s="43">
        <v>729.47900000000004</v>
      </c>
      <c r="F867" s="37">
        <v>1150</v>
      </c>
      <c r="G867" s="37">
        <v>100</v>
      </c>
      <c r="H867" s="45">
        <v>600</v>
      </c>
      <c r="I867" s="37">
        <v>695</v>
      </c>
      <c r="J867" s="37">
        <v>50</v>
      </c>
      <c r="K867" s="38"/>
      <c r="L867" s="38"/>
      <c r="M867" s="38"/>
      <c r="N867" s="38"/>
      <c r="O867" s="38"/>
      <c r="P867" s="38"/>
      <c r="Q867" s="38"/>
      <c r="R867" s="38"/>
      <c r="S867" s="38"/>
      <c r="T867" s="38"/>
    </row>
    <row r="868" spans="1:20" ht="15.75">
      <c r="A868" s="13">
        <v>67572</v>
      </c>
      <c r="B868" s="46">
        <f t="shared" si="4"/>
        <v>31</v>
      </c>
      <c r="C868" s="37">
        <v>122.58</v>
      </c>
      <c r="D868" s="37">
        <v>297.94099999999997</v>
      </c>
      <c r="E868" s="43">
        <v>729.47900000000004</v>
      </c>
      <c r="F868" s="37">
        <v>1150</v>
      </c>
      <c r="G868" s="37">
        <v>100</v>
      </c>
      <c r="H868" s="45">
        <v>600</v>
      </c>
      <c r="I868" s="37">
        <v>695</v>
      </c>
      <c r="J868" s="37">
        <v>50</v>
      </c>
      <c r="K868" s="38"/>
      <c r="L868" s="38"/>
      <c r="M868" s="38"/>
      <c r="N868" s="38"/>
      <c r="O868" s="38"/>
      <c r="P868" s="38"/>
      <c r="Q868" s="38"/>
      <c r="R868" s="38"/>
      <c r="S868" s="38"/>
      <c r="T868" s="38"/>
    </row>
    <row r="869" spans="1:20" ht="15.75">
      <c r="A869" s="13">
        <v>67603</v>
      </c>
      <c r="B869" s="46">
        <f t="shared" si="4"/>
        <v>31</v>
      </c>
      <c r="C869" s="37">
        <v>122.58</v>
      </c>
      <c r="D869" s="37">
        <v>297.94099999999997</v>
      </c>
      <c r="E869" s="43">
        <v>729.47900000000004</v>
      </c>
      <c r="F869" s="37">
        <v>1150</v>
      </c>
      <c r="G869" s="37">
        <v>100</v>
      </c>
      <c r="H869" s="45">
        <v>600</v>
      </c>
      <c r="I869" s="37">
        <v>695</v>
      </c>
      <c r="J869" s="37">
        <v>50</v>
      </c>
      <c r="K869" s="38"/>
      <c r="L869" s="38"/>
      <c r="M869" s="38"/>
      <c r="N869" s="38"/>
      <c r="O869" s="38"/>
      <c r="P869" s="38"/>
      <c r="Q869" s="38"/>
      <c r="R869" s="38"/>
      <c r="S869" s="38"/>
      <c r="T869" s="38"/>
    </row>
    <row r="870" spans="1:20" ht="15.75">
      <c r="A870" s="13">
        <v>67631</v>
      </c>
      <c r="B870" s="46">
        <f t="shared" si="4"/>
        <v>28</v>
      </c>
      <c r="C870" s="37">
        <v>122.58</v>
      </c>
      <c r="D870" s="37">
        <v>297.94099999999997</v>
      </c>
      <c r="E870" s="43">
        <v>729.47900000000004</v>
      </c>
      <c r="F870" s="37">
        <v>1150</v>
      </c>
      <c r="G870" s="37">
        <v>100</v>
      </c>
      <c r="H870" s="45">
        <v>600</v>
      </c>
      <c r="I870" s="37">
        <v>695</v>
      </c>
      <c r="J870" s="37">
        <v>50</v>
      </c>
      <c r="K870" s="38"/>
      <c r="L870" s="38"/>
      <c r="M870" s="38"/>
      <c r="N870" s="38"/>
      <c r="O870" s="38"/>
      <c r="P870" s="38"/>
      <c r="Q870" s="38"/>
      <c r="R870" s="38"/>
      <c r="S870" s="38"/>
      <c r="T870" s="38"/>
    </row>
    <row r="871" spans="1:20" ht="15.75">
      <c r="A871" s="13">
        <v>67662</v>
      </c>
      <c r="B871" s="46">
        <f t="shared" si="4"/>
        <v>31</v>
      </c>
      <c r="C871" s="37">
        <v>122.58</v>
      </c>
      <c r="D871" s="37">
        <v>297.94099999999997</v>
      </c>
      <c r="E871" s="43">
        <v>729.47900000000004</v>
      </c>
      <c r="F871" s="37">
        <v>1150</v>
      </c>
      <c r="G871" s="37">
        <v>100</v>
      </c>
      <c r="H871" s="45">
        <v>600</v>
      </c>
      <c r="I871" s="37">
        <v>695</v>
      </c>
      <c r="J871" s="37">
        <v>50</v>
      </c>
      <c r="K871" s="38"/>
      <c r="L871" s="38"/>
      <c r="M871" s="38"/>
      <c r="N871" s="38"/>
      <c r="O871" s="38"/>
      <c r="P871" s="38"/>
      <c r="Q871" s="38"/>
      <c r="R871" s="38"/>
      <c r="S871" s="38"/>
      <c r="T871" s="38"/>
    </row>
    <row r="872" spans="1:20" ht="15.75">
      <c r="A872" s="13">
        <v>67692</v>
      </c>
      <c r="B872" s="46">
        <f t="shared" si="4"/>
        <v>30</v>
      </c>
      <c r="C872" s="37">
        <v>141.29300000000001</v>
      </c>
      <c r="D872" s="37">
        <v>267.99299999999999</v>
      </c>
      <c r="E872" s="43">
        <v>829.71400000000006</v>
      </c>
      <c r="F872" s="37">
        <v>1239</v>
      </c>
      <c r="G872" s="37">
        <v>100</v>
      </c>
      <c r="H872" s="45">
        <v>600</v>
      </c>
      <c r="I872" s="37">
        <v>695</v>
      </c>
      <c r="J872" s="37">
        <v>50</v>
      </c>
      <c r="K872" s="38"/>
      <c r="L872" s="38"/>
      <c r="M872" s="38"/>
      <c r="N872" s="38"/>
      <c r="O872" s="38"/>
      <c r="P872" s="38"/>
      <c r="Q872" s="38"/>
      <c r="R872" s="38"/>
      <c r="S872" s="38"/>
      <c r="T872" s="38"/>
    </row>
    <row r="873" spans="1:20" ht="15.75">
      <c r="A873" s="13">
        <v>67723</v>
      </c>
      <c r="B873" s="46">
        <f t="shared" si="4"/>
        <v>31</v>
      </c>
      <c r="C873" s="37">
        <v>194.20500000000001</v>
      </c>
      <c r="D873" s="37">
        <v>267.46600000000001</v>
      </c>
      <c r="E873" s="43">
        <v>812.32899999999995</v>
      </c>
      <c r="F873" s="37">
        <v>1274</v>
      </c>
      <c r="G873" s="37">
        <v>75</v>
      </c>
      <c r="H873" s="45">
        <v>600</v>
      </c>
      <c r="I873" s="37">
        <v>695</v>
      </c>
      <c r="J873" s="37">
        <v>50</v>
      </c>
      <c r="K873" s="38"/>
      <c r="L873" s="38"/>
      <c r="M873" s="38"/>
      <c r="N873" s="38"/>
      <c r="O873" s="38"/>
      <c r="P873" s="38"/>
      <c r="Q873" s="38"/>
      <c r="R873" s="38"/>
      <c r="S873" s="38"/>
      <c r="T873" s="38"/>
    </row>
    <row r="874" spans="1:20" ht="15.75">
      <c r="A874" s="13">
        <v>67753</v>
      </c>
      <c r="B874" s="46">
        <f t="shared" si="4"/>
        <v>30</v>
      </c>
      <c r="C874" s="37">
        <v>194.20500000000001</v>
      </c>
      <c r="D874" s="37">
        <v>267.46600000000001</v>
      </c>
      <c r="E874" s="43">
        <v>812.32899999999995</v>
      </c>
      <c r="F874" s="37">
        <v>1274</v>
      </c>
      <c r="G874" s="37">
        <v>50</v>
      </c>
      <c r="H874" s="45">
        <v>600</v>
      </c>
      <c r="I874" s="37">
        <v>695</v>
      </c>
      <c r="J874" s="37">
        <v>50</v>
      </c>
      <c r="K874" s="38"/>
      <c r="L874" s="38"/>
      <c r="M874" s="38"/>
      <c r="N874" s="38"/>
      <c r="O874" s="38"/>
      <c r="P874" s="38"/>
      <c r="Q874" s="38"/>
      <c r="R874" s="38"/>
      <c r="S874" s="38"/>
      <c r="T874" s="38"/>
    </row>
    <row r="875" spans="1:20" ht="15.75">
      <c r="A875" s="13">
        <v>67784</v>
      </c>
      <c r="B875" s="46">
        <f t="shared" si="4"/>
        <v>31</v>
      </c>
      <c r="C875" s="37">
        <v>194.20500000000001</v>
      </c>
      <c r="D875" s="37">
        <v>267.46600000000001</v>
      </c>
      <c r="E875" s="43">
        <v>812.32899999999995</v>
      </c>
      <c r="F875" s="37">
        <v>1274</v>
      </c>
      <c r="G875" s="37">
        <v>50</v>
      </c>
      <c r="H875" s="45">
        <v>600</v>
      </c>
      <c r="I875" s="37">
        <v>695</v>
      </c>
      <c r="J875" s="37">
        <v>0</v>
      </c>
      <c r="K875" s="38"/>
      <c r="L875" s="38"/>
      <c r="M875" s="38"/>
      <c r="N875" s="38"/>
      <c r="O875" s="38"/>
      <c r="P875" s="38"/>
      <c r="Q875" s="38"/>
      <c r="R875" s="38"/>
      <c r="S875" s="38"/>
      <c r="T875" s="38"/>
    </row>
    <row r="876" spans="1:20" ht="15.75">
      <c r="A876" s="13">
        <v>67815</v>
      </c>
      <c r="B876" s="46">
        <f t="shared" si="4"/>
        <v>31</v>
      </c>
      <c r="C876" s="37">
        <v>194.20500000000001</v>
      </c>
      <c r="D876" s="37">
        <v>267.46600000000001</v>
      </c>
      <c r="E876" s="43">
        <v>812.32899999999995</v>
      </c>
      <c r="F876" s="37">
        <v>1274</v>
      </c>
      <c r="G876" s="37">
        <v>50</v>
      </c>
      <c r="H876" s="45">
        <v>600</v>
      </c>
      <c r="I876" s="37">
        <v>695</v>
      </c>
      <c r="J876" s="37">
        <v>0</v>
      </c>
      <c r="K876" s="38"/>
      <c r="L876" s="38"/>
      <c r="M876" s="38"/>
      <c r="N876" s="38"/>
      <c r="O876" s="38"/>
      <c r="P876" s="38"/>
      <c r="Q876" s="38"/>
      <c r="R876" s="38"/>
      <c r="S876" s="38"/>
      <c r="T876" s="38"/>
    </row>
    <row r="877" spans="1:20" ht="15.75">
      <c r="A877" s="13">
        <v>67845</v>
      </c>
      <c r="B877" s="46">
        <f t="shared" si="4"/>
        <v>30</v>
      </c>
      <c r="C877" s="37">
        <v>194.20500000000001</v>
      </c>
      <c r="D877" s="37">
        <v>267.46600000000001</v>
      </c>
      <c r="E877" s="43">
        <v>812.32899999999995</v>
      </c>
      <c r="F877" s="37">
        <v>1274</v>
      </c>
      <c r="G877" s="37">
        <v>50</v>
      </c>
      <c r="H877" s="45">
        <v>600</v>
      </c>
      <c r="I877" s="37">
        <v>695</v>
      </c>
      <c r="J877" s="37">
        <v>0</v>
      </c>
      <c r="K877" s="38"/>
      <c r="L877" s="38"/>
      <c r="M877" s="38"/>
      <c r="N877" s="38"/>
      <c r="O877" s="38"/>
      <c r="P877" s="38"/>
      <c r="Q877" s="38"/>
      <c r="R877" s="38"/>
      <c r="S877" s="38"/>
      <c r="T877" s="38"/>
    </row>
    <row r="878" spans="1:20" ht="15.75">
      <c r="A878" s="13">
        <v>67876</v>
      </c>
      <c r="B878" s="46">
        <f t="shared" si="4"/>
        <v>31</v>
      </c>
      <c r="C878" s="37">
        <v>131.881</v>
      </c>
      <c r="D878" s="37">
        <v>277.16699999999997</v>
      </c>
      <c r="E878" s="43">
        <v>829.952</v>
      </c>
      <c r="F878" s="37">
        <v>1239</v>
      </c>
      <c r="G878" s="37">
        <v>75</v>
      </c>
      <c r="H878" s="45">
        <v>600</v>
      </c>
      <c r="I878" s="37">
        <v>695</v>
      </c>
      <c r="J878" s="37">
        <v>0</v>
      </c>
      <c r="K878" s="38"/>
      <c r="L878" s="38"/>
      <c r="M878" s="38"/>
      <c r="N878" s="38"/>
      <c r="O878" s="38"/>
      <c r="P878" s="38"/>
      <c r="Q878" s="38"/>
      <c r="R878" s="38"/>
      <c r="S878" s="38"/>
      <c r="T878" s="38"/>
    </row>
    <row r="879" spans="1:20" ht="15.75">
      <c r="A879" s="13">
        <v>67906</v>
      </c>
      <c r="B879" s="46">
        <f t="shared" si="4"/>
        <v>30</v>
      </c>
      <c r="C879" s="37">
        <v>122.58</v>
      </c>
      <c r="D879" s="37">
        <v>297.94099999999997</v>
      </c>
      <c r="E879" s="43">
        <v>729.47900000000004</v>
      </c>
      <c r="F879" s="37">
        <v>1150</v>
      </c>
      <c r="G879" s="37">
        <v>100</v>
      </c>
      <c r="H879" s="45">
        <v>600</v>
      </c>
      <c r="I879" s="37">
        <v>695</v>
      </c>
      <c r="J879" s="37">
        <v>50</v>
      </c>
      <c r="K879" s="38"/>
      <c r="L879" s="38"/>
      <c r="M879" s="38"/>
      <c r="N879" s="38"/>
      <c r="O879" s="38"/>
      <c r="P879" s="38"/>
      <c r="Q879" s="38"/>
      <c r="R879" s="38"/>
      <c r="S879" s="38"/>
      <c r="T879" s="38"/>
    </row>
    <row r="880" spans="1:20" ht="15.75">
      <c r="A880" s="13">
        <v>67937</v>
      </c>
      <c r="B880" s="46">
        <f t="shared" si="4"/>
        <v>31</v>
      </c>
      <c r="C880" s="37">
        <v>122.58</v>
      </c>
      <c r="D880" s="37">
        <v>297.94099999999997</v>
      </c>
      <c r="E880" s="43">
        <v>729.47900000000004</v>
      </c>
      <c r="F880" s="37">
        <v>1150</v>
      </c>
      <c r="G880" s="37">
        <v>100</v>
      </c>
      <c r="H880" s="45">
        <v>600</v>
      </c>
      <c r="I880" s="37">
        <v>695</v>
      </c>
      <c r="J880" s="37">
        <v>50</v>
      </c>
      <c r="K880" s="38"/>
      <c r="L880" s="38"/>
      <c r="M880" s="38"/>
      <c r="N880" s="38"/>
      <c r="O880" s="38"/>
      <c r="P880" s="38"/>
      <c r="Q880" s="38"/>
      <c r="R880" s="38"/>
      <c r="S880" s="38"/>
      <c r="T880" s="38"/>
    </row>
    <row r="881" spans="1:20" ht="15.75">
      <c r="A881" s="13">
        <v>67968</v>
      </c>
      <c r="B881" s="46">
        <f t="shared" si="4"/>
        <v>31</v>
      </c>
      <c r="C881" s="37">
        <v>122.58</v>
      </c>
      <c r="D881" s="37">
        <v>297.94099999999997</v>
      </c>
      <c r="E881" s="43">
        <v>729.47900000000004</v>
      </c>
      <c r="F881" s="37">
        <v>1150</v>
      </c>
      <c r="G881" s="37">
        <v>100</v>
      </c>
      <c r="H881" s="45">
        <v>600</v>
      </c>
      <c r="I881" s="37">
        <v>695</v>
      </c>
      <c r="J881" s="37">
        <v>50</v>
      </c>
      <c r="K881" s="38"/>
      <c r="L881" s="38"/>
      <c r="M881" s="38"/>
      <c r="N881" s="38"/>
      <c r="O881" s="38"/>
      <c r="P881" s="38"/>
      <c r="Q881" s="38"/>
      <c r="R881" s="38"/>
      <c r="S881" s="38"/>
      <c r="T881" s="38"/>
    </row>
    <row r="882" spans="1:20" ht="15.75">
      <c r="A882" s="13">
        <v>67996</v>
      </c>
      <c r="B882" s="46">
        <f t="shared" si="4"/>
        <v>28</v>
      </c>
      <c r="C882" s="37">
        <v>122.58</v>
      </c>
      <c r="D882" s="37">
        <v>297.94099999999997</v>
      </c>
      <c r="E882" s="43">
        <v>729.47900000000004</v>
      </c>
      <c r="F882" s="37">
        <v>1150</v>
      </c>
      <c r="G882" s="37">
        <v>100</v>
      </c>
      <c r="H882" s="45">
        <v>600</v>
      </c>
      <c r="I882" s="37">
        <v>695</v>
      </c>
      <c r="J882" s="37">
        <v>50</v>
      </c>
      <c r="K882" s="38"/>
      <c r="L882" s="38"/>
      <c r="M882" s="38"/>
      <c r="N882" s="38"/>
      <c r="O882" s="38"/>
      <c r="P882" s="38"/>
      <c r="Q882" s="38"/>
      <c r="R882" s="38"/>
      <c r="S882" s="38"/>
      <c r="T882" s="38"/>
    </row>
    <row r="883" spans="1:20" ht="15.75">
      <c r="A883" s="13">
        <v>68027</v>
      </c>
      <c r="B883" s="46">
        <f t="shared" si="4"/>
        <v>31</v>
      </c>
      <c r="C883" s="37">
        <v>122.58</v>
      </c>
      <c r="D883" s="37">
        <v>297.94099999999997</v>
      </c>
      <c r="E883" s="43">
        <v>729.47900000000004</v>
      </c>
      <c r="F883" s="37">
        <v>1150</v>
      </c>
      <c r="G883" s="37">
        <v>100</v>
      </c>
      <c r="H883" s="45">
        <v>600</v>
      </c>
      <c r="I883" s="37">
        <v>695</v>
      </c>
      <c r="J883" s="37">
        <v>50</v>
      </c>
      <c r="K883" s="38"/>
      <c r="L883" s="38"/>
      <c r="M883" s="38"/>
      <c r="N883" s="38"/>
      <c r="O883" s="38"/>
      <c r="P883" s="38"/>
      <c r="Q883" s="38"/>
      <c r="R883" s="38"/>
      <c r="S883" s="38"/>
      <c r="T883" s="38"/>
    </row>
    <row r="884" spans="1:20" ht="15.75">
      <c r="A884" s="13">
        <v>68057</v>
      </c>
      <c r="B884" s="46">
        <f t="shared" si="4"/>
        <v>30</v>
      </c>
      <c r="C884" s="37">
        <v>141.29300000000001</v>
      </c>
      <c r="D884" s="37">
        <v>267.99299999999999</v>
      </c>
      <c r="E884" s="43">
        <v>829.71400000000006</v>
      </c>
      <c r="F884" s="37">
        <v>1239</v>
      </c>
      <c r="G884" s="37">
        <v>100</v>
      </c>
      <c r="H884" s="45">
        <v>600</v>
      </c>
      <c r="I884" s="37">
        <v>695</v>
      </c>
      <c r="J884" s="37">
        <v>50</v>
      </c>
      <c r="K884" s="38"/>
      <c r="L884" s="38"/>
      <c r="M884" s="38"/>
      <c r="N884" s="38"/>
      <c r="O884" s="38"/>
      <c r="P884" s="38"/>
      <c r="Q884" s="38"/>
      <c r="R884" s="38"/>
      <c r="S884" s="38"/>
      <c r="T884" s="38"/>
    </row>
    <row r="885" spans="1:20" ht="15.75">
      <c r="A885" s="13">
        <v>68088</v>
      </c>
      <c r="B885" s="46">
        <f t="shared" si="4"/>
        <v>31</v>
      </c>
      <c r="C885" s="37">
        <v>194.20500000000001</v>
      </c>
      <c r="D885" s="37">
        <v>267.46600000000001</v>
      </c>
      <c r="E885" s="43">
        <v>812.32899999999995</v>
      </c>
      <c r="F885" s="37">
        <v>1274</v>
      </c>
      <c r="G885" s="37">
        <v>75</v>
      </c>
      <c r="H885" s="45">
        <v>600</v>
      </c>
      <c r="I885" s="37">
        <v>695</v>
      </c>
      <c r="J885" s="37">
        <v>50</v>
      </c>
      <c r="K885" s="38"/>
      <c r="L885" s="38"/>
      <c r="M885" s="38"/>
      <c r="N885" s="38"/>
      <c r="O885" s="38"/>
      <c r="P885" s="38"/>
      <c r="Q885" s="38"/>
      <c r="R885" s="38"/>
      <c r="S885" s="38"/>
      <c r="T885" s="38"/>
    </row>
    <row r="886" spans="1:20" ht="15.75">
      <c r="A886" s="13">
        <v>68118</v>
      </c>
      <c r="B886" s="46">
        <f t="shared" si="4"/>
        <v>30</v>
      </c>
      <c r="C886" s="37">
        <v>194.20500000000001</v>
      </c>
      <c r="D886" s="37">
        <v>267.46600000000001</v>
      </c>
      <c r="E886" s="43">
        <v>812.32899999999995</v>
      </c>
      <c r="F886" s="37">
        <v>1274</v>
      </c>
      <c r="G886" s="37">
        <v>50</v>
      </c>
      <c r="H886" s="45">
        <v>600</v>
      </c>
      <c r="I886" s="37">
        <v>695</v>
      </c>
      <c r="J886" s="37">
        <v>50</v>
      </c>
      <c r="K886" s="38"/>
      <c r="L886" s="38"/>
      <c r="M886" s="38"/>
      <c r="N886" s="38"/>
      <c r="O886" s="38"/>
      <c r="P886" s="38"/>
      <c r="Q886" s="38"/>
      <c r="R886" s="38"/>
      <c r="S886" s="38"/>
      <c r="T886" s="38"/>
    </row>
    <row r="887" spans="1:20" ht="15.75">
      <c r="A887" s="13">
        <v>68149</v>
      </c>
      <c r="B887" s="46">
        <f t="shared" si="4"/>
        <v>31</v>
      </c>
      <c r="C887" s="37">
        <v>194.20500000000001</v>
      </c>
      <c r="D887" s="37">
        <v>267.46600000000001</v>
      </c>
      <c r="E887" s="43">
        <v>812.32899999999995</v>
      </c>
      <c r="F887" s="37">
        <v>1274</v>
      </c>
      <c r="G887" s="37">
        <v>50</v>
      </c>
      <c r="H887" s="45">
        <v>600</v>
      </c>
      <c r="I887" s="37">
        <v>695</v>
      </c>
      <c r="J887" s="37">
        <v>0</v>
      </c>
      <c r="K887" s="38"/>
      <c r="L887" s="38"/>
      <c r="M887" s="38"/>
      <c r="N887" s="38"/>
      <c r="O887" s="38"/>
      <c r="P887" s="38"/>
      <c r="Q887" s="38"/>
      <c r="R887" s="38"/>
      <c r="S887" s="38"/>
      <c r="T887" s="38"/>
    </row>
    <row r="888" spans="1:20" ht="15.75">
      <c r="A888" s="13">
        <v>68180</v>
      </c>
      <c r="B888" s="46">
        <f t="shared" si="4"/>
        <v>31</v>
      </c>
      <c r="C888" s="37">
        <v>194.20500000000001</v>
      </c>
      <c r="D888" s="37">
        <v>267.46600000000001</v>
      </c>
      <c r="E888" s="43">
        <v>812.32899999999995</v>
      </c>
      <c r="F888" s="37">
        <v>1274</v>
      </c>
      <c r="G888" s="37">
        <v>50</v>
      </c>
      <c r="H888" s="45">
        <v>600</v>
      </c>
      <c r="I888" s="37">
        <v>695</v>
      </c>
      <c r="J888" s="37">
        <v>0</v>
      </c>
      <c r="K888" s="38"/>
      <c r="L888" s="38"/>
      <c r="M888" s="38"/>
      <c r="N888" s="38"/>
      <c r="O888" s="38"/>
      <c r="P888" s="38"/>
      <c r="Q888" s="38"/>
      <c r="R888" s="38"/>
      <c r="S888" s="38"/>
      <c r="T888" s="38"/>
    </row>
    <row r="889" spans="1:20" ht="15.75">
      <c r="A889" s="13">
        <v>68210</v>
      </c>
      <c r="B889" s="46">
        <f t="shared" si="4"/>
        <v>30</v>
      </c>
      <c r="C889" s="37">
        <v>194.20500000000001</v>
      </c>
      <c r="D889" s="37">
        <v>267.46600000000001</v>
      </c>
      <c r="E889" s="43">
        <v>812.32899999999995</v>
      </c>
      <c r="F889" s="37">
        <v>1274</v>
      </c>
      <c r="G889" s="37">
        <v>50</v>
      </c>
      <c r="H889" s="45">
        <v>600</v>
      </c>
      <c r="I889" s="37">
        <v>695</v>
      </c>
      <c r="J889" s="37">
        <v>0</v>
      </c>
      <c r="K889" s="38"/>
      <c r="L889" s="38"/>
      <c r="M889" s="38"/>
      <c r="N889" s="38"/>
      <c r="O889" s="38"/>
      <c r="P889" s="38"/>
      <c r="Q889" s="38"/>
      <c r="R889" s="38"/>
      <c r="S889" s="38"/>
      <c r="T889" s="38"/>
    </row>
    <row r="890" spans="1:20" ht="15.75">
      <c r="A890" s="13">
        <v>68241</v>
      </c>
      <c r="B890" s="46">
        <f t="shared" si="4"/>
        <v>31</v>
      </c>
      <c r="C890" s="37">
        <v>131.881</v>
      </c>
      <c r="D890" s="37">
        <v>277.16699999999997</v>
      </c>
      <c r="E890" s="43">
        <v>829.952</v>
      </c>
      <c r="F890" s="37">
        <v>1239</v>
      </c>
      <c r="G890" s="37">
        <v>75</v>
      </c>
      <c r="H890" s="45">
        <v>600</v>
      </c>
      <c r="I890" s="37">
        <v>695</v>
      </c>
      <c r="J890" s="37">
        <v>0</v>
      </c>
      <c r="K890" s="38"/>
      <c r="L890" s="38"/>
      <c r="M890" s="38"/>
      <c r="N890" s="38"/>
      <c r="O890" s="38"/>
      <c r="P890" s="38"/>
      <c r="Q890" s="38"/>
      <c r="R890" s="38"/>
      <c r="S890" s="38"/>
      <c r="T890" s="38"/>
    </row>
    <row r="891" spans="1:20" ht="15.75">
      <c r="A891" s="13">
        <v>68271</v>
      </c>
      <c r="B891" s="46">
        <f t="shared" si="4"/>
        <v>30</v>
      </c>
      <c r="C891" s="37">
        <v>122.58</v>
      </c>
      <c r="D891" s="37">
        <v>297.94099999999997</v>
      </c>
      <c r="E891" s="43">
        <v>729.47900000000004</v>
      </c>
      <c r="F891" s="37">
        <v>1150</v>
      </c>
      <c r="G891" s="37">
        <v>100</v>
      </c>
      <c r="H891" s="45">
        <v>600</v>
      </c>
      <c r="I891" s="37">
        <v>695</v>
      </c>
      <c r="J891" s="37">
        <v>50</v>
      </c>
      <c r="K891" s="38"/>
      <c r="L891" s="38"/>
      <c r="M891" s="38"/>
      <c r="N891" s="38"/>
      <c r="O891" s="38"/>
      <c r="P891" s="38"/>
      <c r="Q891" s="38"/>
      <c r="R891" s="38"/>
      <c r="S891" s="38"/>
      <c r="T891" s="38"/>
    </row>
    <row r="892" spans="1:20" ht="15.75">
      <c r="A892" s="13">
        <v>68302</v>
      </c>
      <c r="B892" s="46">
        <f t="shared" si="4"/>
        <v>31</v>
      </c>
      <c r="C892" s="37">
        <v>122.58</v>
      </c>
      <c r="D892" s="37">
        <v>297.94099999999997</v>
      </c>
      <c r="E892" s="43">
        <v>729.47900000000004</v>
      </c>
      <c r="F892" s="37">
        <v>1150</v>
      </c>
      <c r="G892" s="37">
        <v>100</v>
      </c>
      <c r="H892" s="45">
        <v>600</v>
      </c>
      <c r="I892" s="37">
        <v>695</v>
      </c>
      <c r="J892" s="37">
        <v>50</v>
      </c>
      <c r="K892" s="38"/>
      <c r="L892" s="38"/>
      <c r="M892" s="38"/>
      <c r="N892" s="38"/>
      <c r="O892" s="38"/>
      <c r="P892" s="38"/>
      <c r="Q892" s="38"/>
      <c r="R892" s="38"/>
      <c r="S892" s="38"/>
      <c r="T892" s="38"/>
    </row>
    <row r="893" spans="1:20" ht="15.75">
      <c r="A893" s="13">
        <v>68333</v>
      </c>
      <c r="B893" s="46">
        <f t="shared" si="4"/>
        <v>31</v>
      </c>
      <c r="C893" s="37">
        <v>122.58</v>
      </c>
      <c r="D893" s="37">
        <v>297.94099999999997</v>
      </c>
      <c r="E893" s="43">
        <v>729.47900000000004</v>
      </c>
      <c r="F893" s="37">
        <v>1150</v>
      </c>
      <c r="G893" s="37">
        <v>100</v>
      </c>
      <c r="H893" s="45">
        <v>600</v>
      </c>
      <c r="I893" s="37">
        <v>695</v>
      </c>
      <c r="J893" s="37">
        <v>50</v>
      </c>
      <c r="K893" s="38"/>
      <c r="L893" s="38"/>
      <c r="M893" s="38"/>
      <c r="N893" s="38"/>
      <c r="O893" s="38"/>
      <c r="P893" s="38"/>
      <c r="Q893" s="38"/>
      <c r="R893" s="38"/>
      <c r="S893" s="38"/>
      <c r="T893" s="38"/>
    </row>
    <row r="894" spans="1:20" ht="15.75">
      <c r="A894" s="13">
        <v>68361</v>
      </c>
      <c r="B894" s="46">
        <f t="shared" si="4"/>
        <v>28</v>
      </c>
      <c r="C894" s="37">
        <v>122.58</v>
      </c>
      <c r="D894" s="37">
        <v>297.94099999999997</v>
      </c>
      <c r="E894" s="43">
        <v>729.47900000000004</v>
      </c>
      <c r="F894" s="37">
        <v>1150</v>
      </c>
      <c r="G894" s="37">
        <v>100</v>
      </c>
      <c r="H894" s="45">
        <v>600</v>
      </c>
      <c r="I894" s="37">
        <v>695</v>
      </c>
      <c r="J894" s="37">
        <v>50</v>
      </c>
      <c r="K894" s="38"/>
      <c r="L894" s="38"/>
      <c r="M894" s="38"/>
      <c r="N894" s="38"/>
      <c r="O894" s="38"/>
      <c r="P894" s="38"/>
      <c r="Q894" s="38"/>
      <c r="R894" s="38"/>
      <c r="S894" s="38"/>
      <c r="T894" s="38"/>
    </row>
    <row r="895" spans="1:20" ht="15.75">
      <c r="A895" s="13">
        <v>68392</v>
      </c>
      <c r="B895" s="46">
        <f t="shared" si="4"/>
        <v>31</v>
      </c>
      <c r="C895" s="37">
        <v>122.58</v>
      </c>
      <c r="D895" s="37">
        <v>297.94099999999997</v>
      </c>
      <c r="E895" s="43">
        <v>729.47900000000004</v>
      </c>
      <c r="F895" s="37">
        <v>1150</v>
      </c>
      <c r="G895" s="37">
        <v>100</v>
      </c>
      <c r="H895" s="45">
        <v>600</v>
      </c>
      <c r="I895" s="37">
        <v>695</v>
      </c>
      <c r="J895" s="37">
        <v>50</v>
      </c>
      <c r="K895" s="38"/>
      <c r="L895" s="38"/>
      <c r="M895" s="38"/>
      <c r="N895" s="38"/>
      <c r="O895" s="38"/>
      <c r="P895" s="38"/>
      <c r="Q895" s="38"/>
      <c r="R895" s="38"/>
      <c r="S895" s="38"/>
      <c r="T895" s="38"/>
    </row>
    <row r="896" spans="1:20" ht="15.75">
      <c r="A896" s="13">
        <v>68422</v>
      </c>
      <c r="B896" s="46">
        <f t="shared" si="4"/>
        <v>30</v>
      </c>
      <c r="C896" s="37">
        <v>141.29300000000001</v>
      </c>
      <c r="D896" s="37">
        <v>267.99299999999999</v>
      </c>
      <c r="E896" s="43">
        <v>829.71400000000006</v>
      </c>
      <c r="F896" s="37">
        <v>1239</v>
      </c>
      <c r="G896" s="37">
        <v>100</v>
      </c>
      <c r="H896" s="45">
        <v>600</v>
      </c>
      <c r="I896" s="37">
        <v>695</v>
      </c>
      <c r="J896" s="37">
        <v>50</v>
      </c>
      <c r="K896" s="38"/>
      <c r="L896" s="38"/>
      <c r="M896" s="38"/>
      <c r="N896" s="38"/>
      <c r="O896" s="38"/>
      <c r="P896" s="38"/>
      <c r="Q896" s="38"/>
      <c r="R896" s="38"/>
      <c r="S896" s="38"/>
      <c r="T896" s="38"/>
    </row>
    <row r="897" spans="1:20" ht="15.75">
      <c r="A897" s="13">
        <v>68453</v>
      </c>
      <c r="B897" s="46">
        <f t="shared" si="4"/>
        <v>31</v>
      </c>
      <c r="C897" s="37">
        <v>194.20500000000001</v>
      </c>
      <c r="D897" s="37">
        <v>267.46600000000001</v>
      </c>
      <c r="E897" s="43">
        <v>812.32899999999995</v>
      </c>
      <c r="F897" s="37">
        <v>1274</v>
      </c>
      <c r="G897" s="37">
        <v>75</v>
      </c>
      <c r="H897" s="45">
        <v>600</v>
      </c>
      <c r="I897" s="37">
        <v>695</v>
      </c>
      <c r="J897" s="37">
        <v>50</v>
      </c>
      <c r="K897" s="38"/>
      <c r="L897" s="38"/>
      <c r="M897" s="38"/>
      <c r="N897" s="38"/>
      <c r="O897" s="38"/>
      <c r="P897" s="38"/>
      <c r="Q897" s="38"/>
      <c r="R897" s="38"/>
      <c r="S897" s="38"/>
      <c r="T897" s="38"/>
    </row>
    <row r="898" spans="1:20" ht="15.75">
      <c r="A898" s="13">
        <v>68483</v>
      </c>
      <c r="B898" s="46">
        <f t="shared" si="4"/>
        <v>30</v>
      </c>
      <c r="C898" s="37">
        <v>194.20500000000001</v>
      </c>
      <c r="D898" s="37">
        <v>267.46600000000001</v>
      </c>
      <c r="E898" s="43">
        <v>812.32899999999995</v>
      </c>
      <c r="F898" s="37">
        <v>1274</v>
      </c>
      <c r="G898" s="37">
        <v>50</v>
      </c>
      <c r="H898" s="45">
        <v>600</v>
      </c>
      <c r="I898" s="37">
        <v>695</v>
      </c>
      <c r="J898" s="37">
        <v>50</v>
      </c>
      <c r="K898" s="38"/>
      <c r="L898" s="38"/>
      <c r="M898" s="38"/>
      <c r="N898" s="38"/>
      <c r="O898" s="38"/>
      <c r="P898" s="38"/>
      <c r="Q898" s="38"/>
      <c r="R898" s="38"/>
      <c r="S898" s="38"/>
      <c r="T898" s="38"/>
    </row>
    <row r="899" spans="1:20" ht="15.75">
      <c r="A899" s="13">
        <v>68514</v>
      </c>
      <c r="B899" s="46">
        <f t="shared" si="4"/>
        <v>31</v>
      </c>
      <c r="C899" s="37">
        <v>194.20500000000001</v>
      </c>
      <c r="D899" s="37">
        <v>267.46600000000001</v>
      </c>
      <c r="E899" s="43">
        <v>812.32899999999995</v>
      </c>
      <c r="F899" s="37">
        <v>1274</v>
      </c>
      <c r="G899" s="37">
        <v>50</v>
      </c>
      <c r="H899" s="45">
        <v>600</v>
      </c>
      <c r="I899" s="37">
        <v>695</v>
      </c>
      <c r="J899" s="37">
        <v>0</v>
      </c>
      <c r="K899" s="38"/>
      <c r="L899" s="38"/>
      <c r="M899" s="38"/>
      <c r="N899" s="38"/>
      <c r="O899" s="38"/>
      <c r="P899" s="38"/>
      <c r="Q899" s="38"/>
      <c r="R899" s="38"/>
      <c r="S899" s="38"/>
      <c r="T899" s="38"/>
    </row>
    <row r="900" spans="1:20" ht="15.75">
      <c r="A900" s="13">
        <v>68545</v>
      </c>
      <c r="B900" s="46">
        <f t="shared" si="4"/>
        <v>31</v>
      </c>
      <c r="C900" s="37">
        <v>194.20500000000001</v>
      </c>
      <c r="D900" s="37">
        <v>267.46600000000001</v>
      </c>
      <c r="E900" s="43">
        <v>812.32899999999995</v>
      </c>
      <c r="F900" s="37">
        <v>1274</v>
      </c>
      <c r="G900" s="37">
        <v>50</v>
      </c>
      <c r="H900" s="45">
        <v>600</v>
      </c>
      <c r="I900" s="37">
        <v>695</v>
      </c>
      <c r="J900" s="37">
        <v>0</v>
      </c>
      <c r="K900" s="38"/>
      <c r="L900" s="38"/>
      <c r="M900" s="38"/>
      <c r="N900" s="38"/>
      <c r="O900" s="38"/>
      <c r="P900" s="38"/>
      <c r="Q900" s="38"/>
      <c r="R900" s="38"/>
      <c r="S900" s="38"/>
      <c r="T900" s="38"/>
    </row>
    <row r="901" spans="1:20" ht="15.75">
      <c r="A901" s="13">
        <v>68575</v>
      </c>
      <c r="B901" s="46">
        <f t="shared" si="4"/>
        <v>30</v>
      </c>
      <c r="C901" s="37">
        <v>194.20500000000001</v>
      </c>
      <c r="D901" s="37">
        <v>267.46600000000001</v>
      </c>
      <c r="E901" s="43">
        <v>812.32899999999995</v>
      </c>
      <c r="F901" s="37">
        <v>1274</v>
      </c>
      <c r="G901" s="37">
        <v>50</v>
      </c>
      <c r="H901" s="45">
        <v>600</v>
      </c>
      <c r="I901" s="37">
        <v>695</v>
      </c>
      <c r="J901" s="37">
        <v>0</v>
      </c>
      <c r="K901" s="38"/>
      <c r="L901" s="38"/>
      <c r="M901" s="38"/>
      <c r="N901" s="38"/>
      <c r="O901" s="38"/>
      <c r="P901" s="38"/>
      <c r="Q901" s="38"/>
      <c r="R901" s="38"/>
      <c r="S901" s="38"/>
      <c r="T901" s="38"/>
    </row>
    <row r="902" spans="1:20" ht="15.75">
      <c r="A902" s="13">
        <v>68606</v>
      </c>
      <c r="B902" s="46">
        <f t="shared" si="4"/>
        <v>31</v>
      </c>
      <c r="C902" s="37">
        <v>131.881</v>
      </c>
      <c r="D902" s="37">
        <v>277.16699999999997</v>
      </c>
      <c r="E902" s="43">
        <v>829.952</v>
      </c>
      <c r="F902" s="37">
        <v>1239</v>
      </c>
      <c r="G902" s="37">
        <v>75</v>
      </c>
      <c r="H902" s="45">
        <v>600</v>
      </c>
      <c r="I902" s="37">
        <v>695</v>
      </c>
      <c r="J902" s="37">
        <v>0</v>
      </c>
      <c r="K902" s="38"/>
      <c r="L902" s="38"/>
      <c r="M902" s="38"/>
      <c r="N902" s="38"/>
      <c r="O902" s="38"/>
      <c r="P902" s="38"/>
      <c r="Q902" s="38"/>
      <c r="R902" s="38"/>
      <c r="S902" s="38"/>
      <c r="T902" s="38"/>
    </row>
    <row r="903" spans="1:20" ht="15.75">
      <c r="A903" s="13">
        <v>68636</v>
      </c>
      <c r="B903" s="46">
        <f t="shared" si="4"/>
        <v>30</v>
      </c>
      <c r="C903" s="37">
        <v>122.58</v>
      </c>
      <c r="D903" s="37">
        <v>297.94099999999997</v>
      </c>
      <c r="E903" s="43">
        <v>729.47900000000004</v>
      </c>
      <c r="F903" s="37">
        <v>1150</v>
      </c>
      <c r="G903" s="37">
        <v>100</v>
      </c>
      <c r="H903" s="45">
        <v>600</v>
      </c>
      <c r="I903" s="37">
        <v>695</v>
      </c>
      <c r="J903" s="37">
        <v>50</v>
      </c>
      <c r="K903" s="38"/>
      <c r="L903" s="38"/>
      <c r="M903" s="38"/>
      <c r="N903" s="38"/>
      <c r="O903" s="38"/>
      <c r="P903" s="38"/>
      <c r="Q903" s="38"/>
      <c r="R903" s="38"/>
      <c r="S903" s="38"/>
      <c r="T903" s="38"/>
    </row>
    <row r="904" spans="1:20" ht="15.75">
      <c r="A904" s="13">
        <v>68667</v>
      </c>
      <c r="B904" s="46">
        <f t="shared" si="4"/>
        <v>31</v>
      </c>
      <c r="C904" s="37">
        <v>122.58</v>
      </c>
      <c r="D904" s="37">
        <v>297.94099999999997</v>
      </c>
      <c r="E904" s="43">
        <v>729.47900000000004</v>
      </c>
      <c r="F904" s="37">
        <v>1150</v>
      </c>
      <c r="G904" s="37">
        <v>100</v>
      </c>
      <c r="H904" s="45">
        <v>600</v>
      </c>
      <c r="I904" s="37">
        <v>695</v>
      </c>
      <c r="J904" s="37">
        <v>50</v>
      </c>
      <c r="K904" s="38"/>
      <c r="L904" s="38"/>
      <c r="M904" s="38"/>
      <c r="N904" s="38"/>
      <c r="O904" s="38"/>
      <c r="P904" s="38"/>
      <c r="Q904" s="38"/>
      <c r="R904" s="38"/>
      <c r="S904" s="38"/>
      <c r="T904" s="38"/>
    </row>
    <row r="905" spans="1:20" ht="15.75">
      <c r="A905" s="13">
        <v>68698</v>
      </c>
      <c r="B905" s="46">
        <f t="shared" si="4"/>
        <v>31</v>
      </c>
      <c r="C905" s="37">
        <v>122.58</v>
      </c>
      <c r="D905" s="37">
        <v>297.94099999999997</v>
      </c>
      <c r="E905" s="43">
        <v>729.47900000000004</v>
      </c>
      <c r="F905" s="37">
        <v>1150</v>
      </c>
      <c r="G905" s="37">
        <v>100</v>
      </c>
      <c r="H905" s="45">
        <v>600</v>
      </c>
      <c r="I905" s="37">
        <v>695</v>
      </c>
      <c r="J905" s="37">
        <v>50</v>
      </c>
      <c r="K905" s="38"/>
      <c r="L905" s="38"/>
      <c r="M905" s="38"/>
      <c r="N905" s="38"/>
      <c r="O905" s="38"/>
      <c r="P905" s="38"/>
      <c r="Q905" s="38"/>
      <c r="R905" s="38"/>
      <c r="S905" s="38"/>
      <c r="T905" s="38"/>
    </row>
    <row r="906" spans="1:20" ht="15.75">
      <c r="A906" s="13">
        <v>68727</v>
      </c>
      <c r="B906" s="46">
        <f t="shared" si="4"/>
        <v>29</v>
      </c>
      <c r="C906" s="37">
        <v>122.58</v>
      </c>
      <c r="D906" s="37">
        <v>297.94099999999997</v>
      </c>
      <c r="E906" s="43">
        <v>729.47900000000004</v>
      </c>
      <c r="F906" s="37">
        <v>1150</v>
      </c>
      <c r="G906" s="37">
        <v>100</v>
      </c>
      <c r="H906" s="45">
        <v>600</v>
      </c>
      <c r="I906" s="37">
        <v>695</v>
      </c>
      <c r="J906" s="37">
        <v>50</v>
      </c>
      <c r="K906" s="38"/>
      <c r="L906" s="38"/>
      <c r="M906" s="38"/>
      <c r="N906" s="38"/>
      <c r="O906" s="38"/>
      <c r="P906" s="38"/>
      <c r="Q906" s="38"/>
      <c r="R906" s="38"/>
      <c r="S906" s="38"/>
      <c r="T906" s="38"/>
    </row>
    <row r="907" spans="1:20" ht="15.75">
      <c r="A907" s="13">
        <v>68758</v>
      </c>
      <c r="B907" s="46">
        <f t="shared" si="4"/>
        <v>31</v>
      </c>
      <c r="C907" s="37">
        <v>122.58</v>
      </c>
      <c r="D907" s="37">
        <v>297.94099999999997</v>
      </c>
      <c r="E907" s="43">
        <v>729.47900000000004</v>
      </c>
      <c r="F907" s="37">
        <v>1150</v>
      </c>
      <c r="G907" s="37">
        <v>100</v>
      </c>
      <c r="H907" s="45">
        <v>600</v>
      </c>
      <c r="I907" s="37">
        <v>695</v>
      </c>
      <c r="J907" s="37">
        <v>50</v>
      </c>
      <c r="K907" s="38"/>
      <c r="L907" s="38"/>
      <c r="M907" s="38"/>
      <c r="N907" s="38"/>
      <c r="O907" s="38"/>
      <c r="P907" s="38"/>
      <c r="Q907" s="38"/>
      <c r="R907" s="38"/>
      <c r="S907" s="38"/>
      <c r="T907" s="38"/>
    </row>
    <row r="908" spans="1:20" ht="15.75">
      <c r="A908" s="13">
        <v>68788</v>
      </c>
      <c r="B908" s="46">
        <f t="shared" si="4"/>
        <v>30</v>
      </c>
      <c r="C908" s="37">
        <v>141.29300000000001</v>
      </c>
      <c r="D908" s="37">
        <v>267.99299999999999</v>
      </c>
      <c r="E908" s="43">
        <v>829.71400000000006</v>
      </c>
      <c r="F908" s="37">
        <v>1239</v>
      </c>
      <c r="G908" s="37">
        <v>100</v>
      </c>
      <c r="H908" s="45">
        <v>600</v>
      </c>
      <c r="I908" s="37">
        <v>695</v>
      </c>
      <c r="J908" s="37">
        <v>50</v>
      </c>
      <c r="K908" s="38"/>
      <c r="L908" s="38"/>
      <c r="M908" s="38"/>
      <c r="N908" s="38"/>
      <c r="O908" s="38"/>
      <c r="P908" s="38"/>
      <c r="Q908" s="38"/>
      <c r="R908" s="38"/>
      <c r="S908" s="38"/>
      <c r="T908" s="38"/>
    </row>
    <row r="909" spans="1:20" ht="15.75">
      <c r="A909" s="13">
        <v>68819</v>
      </c>
      <c r="B909" s="46">
        <f t="shared" si="4"/>
        <v>31</v>
      </c>
      <c r="C909" s="37">
        <v>194.20500000000001</v>
      </c>
      <c r="D909" s="37">
        <v>267.46600000000001</v>
      </c>
      <c r="E909" s="43">
        <v>812.32899999999995</v>
      </c>
      <c r="F909" s="37">
        <v>1274</v>
      </c>
      <c r="G909" s="37">
        <v>75</v>
      </c>
      <c r="H909" s="45">
        <v>600</v>
      </c>
      <c r="I909" s="37">
        <v>695</v>
      </c>
      <c r="J909" s="37">
        <v>50</v>
      </c>
      <c r="K909" s="38"/>
      <c r="L909" s="38"/>
      <c r="M909" s="38"/>
      <c r="N909" s="38"/>
      <c r="O909" s="38"/>
      <c r="P909" s="38"/>
      <c r="Q909" s="38"/>
      <c r="R909" s="38"/>
      <c r="S909" s="38"/>
      <c r="T909" s="38"/>
    </row>
    <row r="910" spans="1:20" ht="15.75">
      <c r="A910" s="13">
        <v>68849</v>
      </c>
      <c r="B910" s="46">
        <f t="shared" si="4"/>
        <v>30</v>
      </c>
      <c r="C910" s="37">
        <v>194.20500000000001</v>
      </c>
      <c r="D910" s="37">
        <v>267.46600000000001</v>
      </c>
      <c r="E910" s="43">
        <v>812.32899999999995</v>
      </c>
      <c r="F910" s="37">
        <v>1274</v>
      </c>
      <c r="G910" s="37">
        <v>50</v>
      </c>
      <c r="H910" s="45">
        <v>600</v>
      </c>
      <c r="I910" s="37">
        <v>695</v>
      </c>
      <c r="J910" s="37">
        <v>50</v>
      </c>
      <c r="K910" s="38"/>
      <c r="L910" s="38"/>
      <c r="M910" s="38"/>
      <c r="N910" s="38"/>
      <c r="O910" s="38"/>
      <c r="P910" s="38"/>
      <c r="Q910" s="38"/>
      <c r="R910" s="38"/>
      <c r="S910" s="38"/>
      <c r="T910" s="38"/>
    </row>
    <row r="911" spans="1:20" ht="15.75">
      <c r="A911" s="13">
        <v>68880</v>
      </c>
      <c r="B911" s="46">
        <f t="shared" si="4"/>
        <v>31</v>
      </c>
      <c r="C911" s="37">
        <v>194.20500000000001</v>
      </c>
      <c r="D911" s="37">
        <v>267.46600000000001</v>
      </c>
      <c r="E911" s="43">
        <v>812.32899999999995</v>
      </c>
      <c r="F911" s="37">
        <v>1274</v>
      </c>
      <c r="G911" s="37">
        <v>50</v>
      </c>
      <c r="H911" s="45">
        <v>600</v>
      </c>
      <c r="I911" s="37">
        <v>695</v>
      </c>
      <c r="J911" s="37">
        <v>0</v>
      </c>
      <c r="K911" s="38"/>
      <c r="L911" s="38"/>
      <c r="M911" s="38"/>
      <c r="N911" s="38"/>
      <c r="O911" s="38"/>
      <c r="P911" s="38"/>
      <c r="Q911" s="38"/>
      <c r="R911" s="38"/>
      <c r="S911" s="38"/>
      <c r="T911" s="38"/>
    </row>
    <row r="912" spans="1:20" ht="15.75">
      <c r="A912" s="13">
        <v>68911</v>
      </c>
      <c r="B912" s="46">
        <f t="shared" si="4"/>
        <v>31</v>
      </c>
      <c r="C912" s="37">
        <v>194.20500000000001</v>
      </c>
      <c r="D912" s="37">
        <v>267.46600000000001</v>
      </c>
      <c r="E912" s="43">
        <v>812.32899999999995</v>
      </c>
      <c r="F912" s="37">
        <v>1274</v>
      </c>
      <c r="G912" s="37">
        <v>50</v>
      </c>
      <c r="H912" s="45">
        <v>600</v>
      </c>
      <c r="I912" s="37">
        <v>695</v>
      </c>
      <c r="J912" s="37">
        <v>0</v>
      </c>
      <c r="K912" s="38"/>
      <c r="L912" s="38"/>
      <c r="M912" s="38"/>
      <c r="N912" s="38"/>
      <c r="O912" s="38"/>
      <c r="P912" s="38"/>
      <c r="Q912" s="38"/>
      <c r="R912" s="38"/>
      <c r="S912" s="38"/>
      <c r="T912" s="38"/>
    </row>
    <row r="913" spans="1:20" ht="15.75">
      <c r="A913" s="13">
        <v>68941</v>
      </c>
      <c r="B913" s="46">
        <f t="shared" ref="B913:B976" si="5">EOMONTH(A913,0)-EOMONTH(A913,-1)</f>
        <v>30</v>
      </c>
      <c r="C913" s="37">
        <v>194.20500000000001</v>
      </c>
      <c r="D913" s="37">
        <v>267.46600000000001</v>
      </c>
      <c r="E913" s="43">
        <v>812.32899999999995</v>
      </c>
      <c r="F913" s="37">
        <v>1274</v>
      </c>
      <c r="G913" s="37">
        <v>50</v>
      </c>
      <c r="H913" s="45">
        <v>600</v>
      </c>
      <c r="I913" s="37">
        <v>695</v>
      </c>
      <c r="J913" s="37">
        <v>0</v>
      </c>
      <c r="K913" s="38"/>
      <c r="L913" s="38"/>
      <c r="M913" s="38"/>
      <c r="N913" s="38"/>
      <c r="O913" s="38"/>
      <c r="P913" s="38"/>
      <c r="Q913" s="38"/>
      <c r="R913" s="38"/>
      <c r="S913" s="38"/>
      <c r="T913" s="38"/>
    </row>
    <row r="914" spans="1:20" ht="15.75">
      <c r="A914" s="13">
        <v>68972</v>
      </c>
      <c r="B914" s="46">
        <f t="shared" si="5"/>
        <v>31</v>
      </c>
      <c r="C914" s="37">
        <v>131.881</v>
      </c>
      <c r="D914" s="37">
        <v>277.16699999999997</v>
      </c>
      <c r="E914" s="43">
        <v>829.952</v>
      </c>
      <c r="F914" s="37">
        <v>1239</v>
      </c>
      <c r="G914" s="37">
        <v>75</v>
      </c>
      <c r="H914" s="45">
        <v>600</v>
      </c>
      <c r="I914" s="37">
        <v>695</v>
      </c>
      <c r="J914" s="37">
        <v>0</v>
      </c>
      <c r="K914" s="38"/>
      <c r="L914" s="38"/>
      <c r="M914" s="38"/>
      <c r="N914" s="38"/>
      <c r="O914" s="38"/>
      <c r="P914" s="38"/>
      <c r="Q914" s="38"/>
      <c r="R914" s="38"/>
      <c r="S914" s="38"/>
      <c r="T914" s="38"/>
    </row>
    <row r="915" spans="1:20" ht="15.75">
      <c r="A915" s="13">
        <v>69002</v>
      </c>
      <c r="B915" s="46">
        <f t="shared" si="5"/>
        <v>30</v>
      </c>
      <c r="C915" s="37">
        <v>122.58</v>
      </c>
      <c r="D915" s="37">
        <v>297.94099999999997</v>
      </c>
      <c r="E915" s="43">
        <v>729.47900000000004</v>
      </c>
      <c r="F915" s="37">
        <v>1150</v>
      </c>
      <c r="G915" s="37">
        <v>100</v>
      </c>
      <c r="H915" s="45">
        <v>600</v>
      </c>
      <c r="I915" s="37">
        <v>695</v>
      </c>
      <c r="J915" s="37">
        <v>50</v>
      </c>
      <c r="K915" s="38"/>
      <c r="L915" s="38"/>
      <c r="M915" s="38"/>
      <c r="N915" s="38"/>
      <c r="O915" s="38"/>
      <c r="P915" s="38"/>
      <c r="Q915" s="38"/>
      <c r="R915" s="38"/>
      <c r="S915" s="38"/>
      <c r="T915" s="38"/>
    </row>
    <row r="916" spans="1:20" ht="15.75">
      <c r="A916" s="13">
        <v>69033</v>
      </c>
      <c r="B916" s="46">
        <f t="shared" si="5"/>
        <v>31</v>
      </c>
      <c r="C916" s="37">
        <v>122.58</v>
      </c>
      <c r="D916" s="37">
        <v>297.94099999999997</v>
      </c>
      <c r="E916" s="43">
        <v>729.47900000000004</v>
      </c>
      <c r="F916" s="37">
        <v>1150</v>
      </c>
      <c r="G916" s="37">
        <v>100</v>
      </c>
      <c r="H916" s="45">
        <v>600</v>
      </c>
      <c r="I916" s="37">
        <v>695</v>
      </c>
      <c r="J916" s="37">
        <v>50</v>
      </c>
      <c r="K916" s="38"/>
      <c r="L916" s="38"/>
      <c r="M916" s="38"/>
      <c r="N916" s="38"/>
      <c r="O916" s="38"/>
      <c r="P916" s="38"/>
      <c r="Q916" s="38"/>
      <c r="R916" s="38"/>
      <c r="S916" s="38"/>
      <c r="T916" s="38"/>
    </row>
    <row r="917" spans="1:20" ht="15.75">
      <c r="A917" s="13">
        <v>69064</v>
      </c>
      <c r="B917" s="46">
        <f t="shared" si="5"/>
        <v>31</v>
      </c>
      <c r="C917" s="37">
        <v>122.58</v>
      </c>
      <c r="D917" s="37">
        <v>297.94099999999997</v>
      </c>
      <c r="E917" s="43">
        <v>729.47900000000004</v>
      </c>
      <c r="F917" s="37">
        <v>1150</v>
      </c>
      <c r="G917" s="37">
        <v>100</v>
      </c>
      <c r="H917" s="45">
        <v>600</v>
      </c>
      <c r="I917" s="37">
        <v>695</v>
      </c>
      <c r="J917" s="37">
        <v>50</v>
      </c>
      <c r="K917" s="38"/>
      <c r="L917" s="38"/>
      <c r="M917" s="38"/>
      <c r="N917" s="38"/>
      <c r="O917" s="38"/>
      <c r="P917" s="38"/>
      <c r="Q917" s="38"/>
      <c r="R917" s="38"/>
      <c r="S917" s="38"/>
      <c r="T917" s="38"/>
    </row>
    <row r="918" spans="1:20" ht="15.75">
      <c r="A918" s="13">
        <v>69092</v>
      </c>
      <c r="B918" s="46">
        <f t="shared" si="5"/>
        <v>28</v>
      </c>
      <c r="C918" s="37">
        <v>122.58</v>
      </c>
      <c r="D918" s="37">
        <v>297.94099999999997</v>
      </c>
      <c r="E918" s="43">
        <v>729.47900000000004</v>
      </c>
      <c r="F918" s="37">
        <v>1150</v>
      </c>
      <c r="G918" s="37">
        <v>100</v>
      </c>
      <c r="H918" s="45">
        <v>600</v>
      </c>
      <c r="I918" s="37">
        <v>695</v>
      </c>
      <c r="J918" s="37">
        <v>50</v>
      </c>
      <c r="K918" s="38"/>
      <c r="L918" s="38"/>
      <c r="M918" s="38"/>
      <c r="N918" s="38"/>
      <c r="O918" s="38"/>
      <c r="P918" s="38"/>
      <c r="Q918" s="38"/>
      <c r="R918" s="38"/>
      <c r="S918" s="38"/>
      <c r="T918" s="38"/>
    </row>
    <row r="919" spans="1:20" ht="15.75">
      <c r="A919" s="13">
        <v>69123</v>
      </c>
      <c r="B919" s="46">
        <f t="shared" si="5"/>
        <v>31</v>
      </c>
      <c r="C919" s="37">
        <v>122.58</v>
      </c>
      <c r="D919" s="37">
        <v>297.94099999999997</v>
      </c>
      <c r="E919" s="43">
        <v>729.47900000000004</v>
      </c>
      <c r="F919" s="37">
        <v>1150</v>
      </c>
      <c r="G919" s="37">
        <v>100</v>
      </c>
      <c r="H919" s="45">
        <v>600</v>
      </c>
      <c r="I919" s="37">
        <v>695</v>
      </c>
      <c r="J919" s="37">
        <v>50</v>
      </c>
      <c r="K919" s="38"/>
      <c r="L919" s="38"/>
      <c r="M919" s="38"/>
      <c r="N919" s="38"/>
      <c r="O919" s="38"/>
      <c r="P919" s="38"/>
      <c r="Q919" s="38"/>
      <c r="R919" s="38"/>
      <c r="S919" s="38"/>
      <c r="T919" s="38"/>
    </row>
    <row r="920" spans="1:20" ht="15.75">
      <c r="A920" s="13">
        <v>69153</v>
      </c>
      <c r="B920" s="46">
        <f t="shared" si="5"/>
        <v>30</v>
      </c>
      <c r="C920" s="37">
        <v>141.29300000000001</v>
      </c>
      <c r="D920" s="37">
        <v>267.99299999999999</v>
      </c>
      <c r="E920" s="43">
        <v>829.71400000000006</v>
      </c>
      <c r="F920" s="37">
        <v>1239</v>
      </c>
      <c r="G920" s="37">
        <v>100</v>
      </c>
      <c r="H920" s="45">
        <v>600</v>
      </c>
      <c r="I920" s="37">
        <v>695</v>
      </c>
      <c r="J920" s="37">
        <v>50</v>
      </c>
      <c r="K920" s="38"/>
      <c r="L920" s="38"/>
      <c r="M920" s="38"/>
      <c r="N920" s="38"/>
      <c r="O920" s="38"/>
      <c r="P920" s="38"/>
      <c r="Q920" s="38"/>
      <c r="R920" s="38"/>
      <c r="S920" s="38"/>
      <c r="T920" s="38"/>
    </row>
    <row r="921" spans="1:20" ht="15.75">
      <c r="A921" s="13">
        <v>69184</v>
      </c>
      <c r="B921" s="46">
        <f t="shared" si="5"/>
        <v>31</v>
      </c>
      <c r="C921" s="37">
        <v>194.20500000000001</v>
      </c>
      <c r="D921" s="37">
        <v>267.46600000000001</v>
      </c>
      <c r="E921" s="43">
        <v>812.32899999999995</v>
      </c>
      <c r="F921" s="37">
        <v>1274</v>
      </c>
      <c r="G921" s="37">
        <v>75</v>
      </c>
      <c r="H921" s="45">
        <v>600</v>
      </c>
      <c r="I921" s="37">
        <v>695</v>
      </c>
      <c r="J921" s="37">
        <v>50</v>
      </c>
      <c r="K921" s="38"/>
      <c r="L921" s="38"/>
      <c r="M921" s="38"/>
      <c r="N921" s="38"/>
      <c r="O921" s="38"/>
      <c r="P921" s="38"/>
      <c r="Q921" s="38"/>
      <c r="R921" s="38"/>
      <c r="S921" s="38"/>
      <c r="T921" s="38"/>
    </row>
    <row r="922" spans="1:20" ht="15.75">
      <c r="A922" s="13">
        <v>69214</v>
      </c>
      <c r="B922" s="46">
        <f t="shared" si="5"/>
        <v>30</v>
      </c>
      <c r="C922" s="37">
        <v>194.20500000000001</v>
      </c>
      <c r="D922" s="37">
        <v>267.46600000000001</v>
      </c>
      <c r="E922" s="43">
        <v>812.32899999999995</v>
      </c>
      <c r="F922" s="37">
        <v>1274</v>
      </c>
      <c r="G922" s="37">
        <v>50</v>
      </c>
      <c r="H922" s="45">
        <v>600</v>
      </c>
      <c r="I922" s="37">
        <v>695</v>
      </c>
      <c r="J922" s="37">
        <v>50</v>
      </c>
      <c r="K922" s="38"/>
      <c r="L922" s="38"/>
      <c r="M922" s="38"/>
      <c r="N922" s="38"/>
      <c r="O922" s="38"/>
      <c r="P922" s="38"/>
      <c r="Q922" s="38"/>
      <c r="R922" s="38"/>
      <c r="S922" s="38"/>
      <c r="T922" s="38"/>
    </row>
    <row r="923" spans="1:20" ht="15.75">
      <c r="A923" s="13">
        <v>69245</v>
      </c>
      <c r="B923" s="46">
        <f t="shared" si="5"/>
        <v>31</v>
      </c>
      <c r="C923" s="37">
        <v>194.20500000000001</v>
      </c>
      <c r="D923" s="37">
        <v>267.46600000000001</v>
      </c>
      <c r="E923" s="43">
        <v>812.32899999999995</v>
      </c>
      <c r="F923" s="37">
        <v>1274</v>
      </c>
      <c r="G923" s="37">
        <v>50</v>
      </c>
      <c r="H923" s="45">
        <v>600</v>
      </c>
      <c r="I923" s="37">
        <v>695</v>
      </c>
      <c r="J923" s="37">
        <v>0</v>
      </c>
      <c r="K923" s="38"/>
      <c r="L923" s="38"/>
      <c r="M923" s="38"/>
      <c r="N923" s="38"/>
      <c r="O923" s="38"/>
      <c r="P923" s="38"/>
      <c r="Q923" s="38"/>
      <c r="R923" s="38"/>
      <c r="S923" s="38"/>
      <c r="T923" s="38"/>
    </row>
    <row r="924" spans="1:20" ht="15.75">
      <c r="A924" s="13">
        <v>69276</v>
      </c>
      <c r="B924" s="46">
        <f t="shared" si="5"/>
        <v>31</v>
      </c>
      <c r="C924" s="37">
        <v>194.20500000000001</v>
      </c>
      <c r="D924" s="37">
        <v>267.46600000000001</v>
      </c>
      <c r="E924" s="43">
        <v>812.32899999999995</v>
      </c>
      <c r="F924" s="37">
        <v>1274</v>
      </c>
      <c r="G924" s="37">
        <v>50</v>
      </c>
      <c r="H924" s="45">
        <v>600</v>
      </c>
      <c r="I924" s="37">
        <v>695</v>
      </c>
      <c r="J924" s="37">
        <v>0</v>
      </c>
      <c r="K924" s="38"/>
      <c r="L924" s="38"/>
      <c r="M924" s="38"/>
      <c r="N924" s="38"/>
      <c r="O924" s="38"/>
      <c r="P924" s="38"/>
      <c r="Q924" s="38"/>
      <c r="R924" s="38"/>
      <c r="S924" s="38"/>
      <c r="T924" s="38"/>
    </row>
    <row r="925" spans="1:20" ht="15.75">
      <c r="A925" s="13">
        <v>69306</v>
      </c>
      <c r="B925" s="46">
        <f t="shared" si="5"/>
        <v>30</v>
      </c>
      <c r="C925" s="37">
        <v>194.20500000000001</v>
      </c>
      <c r="D925" s="37">
        <v>267.46600000000001</v>
      </c>
      <c r="E925" s="43">
        <v>812.32899999999995</v>
      </c>
      <c r="F925" s="37">
        <v>1274</v>
      </c>
      <c r="G925" s="37">
        <v>50</v>
      </c>
      <c r="H925" s="45">
        <v>600</v>
      </c>
      <c r="I925" s="37">
        <v>695</v>
      </c>
      <c r="J925" s="37">
        <v>0</v>
      </c>
      <c r="K925" s="38"/>
      <c r="L925" s="38"/>
      <c r="M925" s="38"/>
      <c r="N925" s="38"/>
      <c r="O925" s="38"/>
      <c r="P925" s="38"/>
      <c r="Q925" s="38"/>
      <c r="R925" s="38"/>
      <c r="S925" s="38"/>
      <c r="T925" s="38"/>
    </row>
    <row r="926" spans="1:20" ht="15.75">
      <c r="A926" s="13">
        <v>69337</v>
      </c>
      <c r="B926" s="46">
        <f t="shared" si="5"/>
        <v>31</v>
      </c>
      <c r="C926" s="37">
        <v>131.881</v>
      </c>
      <c r="D926" s="37">
        <v>277.16699999999997</v>
      </c>
      <c r="E926" s="43">
        <v>829.952</v>
      </c>
      <c r="F926" s="37">
        <v>1239</v>
      </c>
      <c r="G926" s="37">
        <v>75</v>
      </c>
      <c r="H926" s="45">
        <v>600</v>
      </c>
      <c r="I926" s="37">
        <v>695</v>
      </c>
      <c r="J926" s="37">
        <v>0</v>
      </c>
      <c r="K926" s="38"/>
      <c r="L926" s="38"/>
      <c r="M926" s="38"/>
      <c r="N926" s="38"/>
      <c r="O926" s="38"/>
      <c r="P926" s="38"/>
      <c r="Q926" s="38"/>
      <c r="R926" s="38"/>
      <c r="S926" s="38"/>
      <c r="T926" s="38"/>
    </row>
    <row r="927" spans="1:20" ht="15.75">
      <c r="A927" s="13">
        <v>69367</v>
      </c>
      <c r="B927" s="46">
        <f t="shared" si="5"/>
        <v>30</v>
      </c>
      <c r="C927" s="37">
        <v>122.58</v>
      </c>
      <c r="D927" s="37">
        <v>297.94099999999997</v>
      </c>
      <c r="E927" s="43">
        <v>729.47900000000004</v>
      </c>
      <c r="F927" s="37">
        <v>1150</v>
      </c>
      <c r="G927" s="37">
        <v>100</v>
      </c>
      <c r="H927" s="45">
        <v>600</v>
      </c>
      <c r="I927" s="37">
        <v>695</v>
      </c>
      <c r="J927" s="37">
        <v>50</v>
      </c>
      <c r="K927" s="38"/>
      <c r="L927" s="38"/>
      <c r="M927" s="38"/>
      <c r="N927" s="38"/>
      <c r="O927" s="38"/>
      <c r="P927" s="38"/>
      <c r="Q927" s="38"/>
      <c r="R927" s="38"/>
      <c r="S927" s="38"/>
      <c r="T927" s="38"/>
    </row>
    <row r="928" spans="1:20" ht="15.75">
      <c r="A928" s="13">
        <v>69398</v>
      </c>
      <c r="B928" s="46">
        <f t="shared" si="5"/>
        <v>31</v>
      </c>
      <c r="C928" s="37">
        <v>122.58</v>
      </c>
      <c r="D928" s="37">
        <v>297.94099999999997</v>
      </c>
      <c r="E928" s="43">
        <v>729.47900000000004</v>
      </c>
      <c r="F928" s="37">
        <v>1150</v>
      </c>
      <c r="G928" s="37">
        <v>100</v>
      </c>
      <c r="H928" s="45">
        <v>600</v>
      </c>
      <c r="I928" s="37">
        <v>695</v>
      </c>
      <c r="J928" s="37">
        <v>50</v>
      </c>
      <c r="K928" s="38"/>
      <c r="L928" s="38"/>
      <c r="M928" s="38"/>
      <c r="N928" s="38"/>
      <c r="O928" s="38"/>
      <c r="P928" s="38"/>
      <c r="Q928" s="38"/>
      <c r="R928" s="38"/>
      <c r="S928" s="38"/>
      <c r="T928" s="38"/>
    </row>
    <row r="929" spans="1:20" ht="15.75">
      <c r="A929" s="13">
        <v>69429</v>
      </c>
      <c r="B929" s="46">
        <f t="shared" si="5"/>
        <v>31</v>
      </c>
      <c r="C929" s="37">
        <v>122.58</v>
      </c>
      <c r="D929" s="37">
        <v>297.94099999999997</v>
      </c>
      <c r="E929" s="43">
        <v>729.47900000000004</v>
      </c>
      <c r="F929" s="37">
        <v>1150</v>
      </c>
      <c r="G929" s="37">
        <v>100</v>
      </c>
      <c r="H929" s="45">
        <v>600</v>
      </c>
      <c r="I929" s="37">
        <v>695</v>
      </c>
      <c r="J929" s="37">
        <v>50</v>
      </c>
      <c r="K929" s="38"/>
      <c r="L929" s="38"/>
      <c r="M929" s="38"/>
      <c r="N929" s="38"/>
      <c r="O929" s="38"/>
      <c r="P929" s="38"/>
      <c r="Q929" s="38"/>
      <c r="R929" s="38"/>
      <c r="S929" s="38"/>
      <c r="T929" s="38"/>
    </row>
    <row r="930" spans="1:20" ht="15.75">
      <c r="A930" s="13">
        <v>69457</v>
      </c>
      <c r="B930" s="46">
        <f t="shared" si="5"/>
        <v>28</v>
      </c>
      <c r="C930" s="37">
        <v>122.58</v>
      </c>
      <c r="D930" s="37">
        <v>297.94099999999997</v>
      </c>
      <c r="E930" s="43">
        <v>729.47900000000004</v>
      </c>
      <c r="F930" s="37">
        <v>1150</v>
      </c>
      <c r="G930" s="37">
        <v>100</v>
      </c>
      <c r="H930" s="45">
        <v>600</v>
      </c>
      <c r="I930" s="37">
        <v>695</v>
      </c>
      <c r="J930" s="37">
        <v>50</v>
      </c>
      <c r="K930" s="38"/>
      <c r="L930" s="38"/>
      <c r="M930" s="38"/>
      <c r="N930" s="38"/>
      <c r="O930" s="38"/>
      <c r="P930" s="38"/>
      <c r="Q930" s="38"/>
      <c r="R930" s="38"/>
      <c r="S930" s="38"/>
      <c r="T930" s="38"/>
    </row>
    <row r="931" spans="1:20" ht="15.75">
      <c r="A931" s="13">
        <v>69488</v>
      </c>
      <c r="B931" s="46">
        <f t="shared" si="5"/>
        <v>31</v>
      </c>
      <c r="C931" s="37">
        <v>122.58</v>
      </c>
      <c r="D931" s="37">
        <v>297.94099999999997</v>
      </c>
      <c r="E931" s="43">
        <v>729.47900000000004</v>
      </c>
      <c r="F931" s="37">
        <v>1150</v>
      </c>
      <c r="G931" s="37">
        <v>100</v>
      </c>
      <c r="H931" s="45">
        <v>600</v>
      </c>
      <c r="I931" s="37">
        <v>695</v>
      </c>
      <c r="J931" s="37">
        <v>50</v>
      </c>
      <c r="K931" s="38"/>
      <c r="L931" s="38"/>
      <c r="M931" s="38"/>
      <c r="N931" s="38"/>
      <c r="O931" s="38"/>
      <c r="P931" s="38"/>
      <c r="Q931" s="38"/>
      <c r="R931" s="38"/>
      <c r="S931" s="38"/>
      <c r="T931" s="38"/>
    </row>
    <row r="932" spans="1:20" ht="15.75">
      <c r="A932" s="13">
        <v>69518</v>
      </c>
      <c r="B932" s="46">
        <f t="shared" si="5"/>
        <v>30</v>
      </c>
      <c r="C932" s="37">
        <v>141.29300000000001</v>
      </c>
      <c r="D932" s="37">
        <v>267.99299999999999</v>
      </c>
      <c r="E932" s="43">
        <v>829.71400000000006</v>
      </c>
      <c r="F932" s="37">
        <v>1239</v>
      </c>
      <c r="G932" s="37">
        <v>100</v>
      </c>
      <c r="H932" s="45">
        <v>600</v>
      </c>
      <c r="I932" s="37">
        <v>695</v>
      </c>
      <c r="J932" s="37">
        <v>50</v>
      </c>
      <c r="K932" s="38"/>
      <c r="L932" s="38"/>
      <c r="M932" s="38"/>
      <c r="N932" s="38"/>
      <c r="O932" s="38"/>
      <c r="P932" s="38"/>
      <c r="Q932" s="38"/>
      <c r="R932" s="38"/>
      <c r="S932" s="38"/>
      <c r="T932" s="38"/>
    </row>
    <row r="933" spans="1:20" ht="15.75">
      <c r="A933" s="13">
        <v>69549</v>
      </c>
      <c r="B933" s="46">
        <f t="shared" si="5"/>
        <v>31</v>
      </c>
      <c r="C933" s="37">
        <v>194.20500000000001</v>
      </c>
      <c r="D933" s="37">
        <v>267.46600000000001</v>
      </c>
      <c r="E933" s="43">
        <v>812.32899999999995</v>
      </c>
      <c r="F933" s="37">
        <v>1274</v>
      </c>
      <c r="G933" s="37">
        <v>75</v>
      </c>
      <c r="H933" s="45">
        <v>600</v>
      </c>
      <c r="I933" s="37">
        <v>695</v>
      </c>
      <c r="J933" s="37">
        <v>50</v>
      </c>
      <c r="K933" s="38"/>
      <c r="L933" s="38"/>
      <c r="M933" s="38"/>
      <c r="N933" s="38"/>
      <c r="O933" s="38"/>
      <c r="P933" s="38"/>
      <c r="Q933" s="38"/>
      <c r="R933" s="38"/>
      <c r="S933" s="38"/>
      <c r="T933" s="38"/>
    </row>
    <row r="934" spans="1:20" ht="15.75">
      <c r="A934" s="13">
        <v>69579</v>
      </c>
      <c r="B934" s="46">
        <f t="shared" si="5"/>
        <v>30</v>
      </c>
      <c r="C934" s="37">
        <v>194.20500000000001</v>
      </c>
      <c r="D934" s="37">
        <v>267.46600000000001</v>
      </c>
      <c r="E934" s="43">
        <v>812.32899999999995</v>
      </c>
      <c r="F934" s="37">
        <v>1274</v>
      </c>
      <c r="G934" s="37">
        <v>50</v>
      </c>
      <c r="H934" s="45">
        <v>600</v>
      </c>
      <c r="I934" s="37">
        <v>695</v>
      </c>
      <c r="J934" s="37">
        <v>50</v>
      </c>
      <c r="K934" s="38"/>
      <c r="L934" s="38"/>
      <c r="M934" s="38"/>
      <c r="N934" s="38"/>
      <c r="O934" s="38"/>
      <c r="P934" s="38"/>
      <c r="Q934" s="38"/>
      <c r="R934" s="38"/>
      <c r="S934" s="38"/>
      <c r="T934" s="38"/>
    </row>
    <row r="935" spans="1:20" ht="15.75">
      <c r="A935" s="13">
        <v>69610</v>
      </c>
      <c r="B935" s="46">
        <f t="shared" si="5"/>
        <v>31</v>
      </c>
      <c r="C935" s="37">
        <v>194.20500000000001</v>
      </c>
      <c r="D935" s="37">
        <v>267.46600000000001</v>
      </c>
      <c r="E935" s="43">
        <v>812.32899999999995</v>
      </c>
      <c r="F935" s="37">
        <v>1274</v>
      </c>
      <c r="G935" s="37">
        <v>50</v>
      </c>
      <c r="H935" s="45">
        <v>600</v>
      </c>
      <c r="I935" s="37">
        <v>695</v>
      </c>
      <c r="J935" s="37">
        <v>0</v>
      </c>
      <c r="K935" s="38"/>
      <c r="L935" s="38"/>
      <c r="M935" s="38"/>
      <c r="N935" s="38"/>
      <c r="O935" s="38"/>
      <c r="P935" s="38"/>
      <c r="Q935" s="38"/>
      <c r="R935" s="38"/>
      <c r="S935" s="38"/>
      <c r="T935" s="38"/>
    </row>
    <row r="936" spans="1:20" ht="15.75">
      <c r="A936" s="13">
        <v>69641</v>
      </c>
      <c r="B936" s="46">
        <f t="shared" si="5"/>
        <v>31</v>
      </c>
      <c r="C936" s="37">
        <v>194.20500000000001</v>
      </c>
      <c r="D936" s="37">
        <v>267.46600000000001</v>
      </c>
      <c r="E936" s="43">
        <v>812.32899999999995</v>
      </c>
      <c r="F936" s="37">
        <v>1274</v>
      </c>
      <c r="G936" s="37">
        <v>50</v>
      </c>
      <c r="H936" s="45">
        <v>600</v>
      </c>
      <c r="I936" s="37">
        <v>695</v>
      </c>
      <c r="J936" s="37">
        <v>0</v>
      </c>
      <c r="K936" s="38"/>
      <c r="L936" s="38"/>
      <c r="M936" s="38"/>
      <c r="N936" s="38"/>
      <c r="O936" s="38"/>
      <c r="P936" s="38"/>
      <c r="Q936" s="38"/>
      <c r="R936" s="38"/>
      <c r="S936" s="38"/>
      <c r="T936" s="38"/>
    </row>
    <row r="937" spans="1:20" ht="15.75">
      <c r="A937" s="13">
        <v>69671</v>
      </c>
      <c r="B937" s="46">
        <f t="shared" si="5"/>
        <v>30</v>
      </c>
      <c r="C937" s="37">
        <v>194.20500000000001</v>
      </c>
      <c r="D937" s="37">
        <v>267.46600000000001</v>
      </c>
      <c r="E937" s="43">
        <v>812.32899999999995</v>
      </c>
      <c r="F937" s="37">
        <v>1274</v>
      </c>
      <c r="G937" s="37">
        <v>50</v>
      </c>
      <c r="H937" s="45">
        <v>600</v>
      </c>
      <c r="I937" s="37">
        <v>695</v>
      </c>
      <c r="J937" s="37">
        <v>0</v>
      </c>
      <c r="K937" s="38"/>
      <c r="L937" s="38"/>
      <c r="M937" s="38"/>
      <c r="N937" s="38"/>
      <c r="O937" s="38"/>
      <c r="P937" s="38"/>
      <c r="Q937" s="38"/>
      <c r="R937" s="38"/>
      <c r="S937" s="38"/>
      <c r="T937" s="38"/>
    </row>
    <row r="938" spans="1:20" ht="15.75">
      <c r="A938" s="13">
        <v>69702</v>
      </c>
      <c r="B938" s="46">
        <f t="shared" si="5"/>
        <v>31</v>
      </c>
      <c r="C938" s="37">
        <v>131.881</v>
      </c>
      <c r="D938" s="37">
        <v>277.16699999999997</v>
      </c>
      <c r="E938" s="43">
        <v>829.952</v>
      </c>
      <c r="F938" s="37">
        <v>1239</v>
      </c>
      <c r="G938" s="37">
        <v>75</v>
      </c>
      <c r="H938" s="45">
        <v>600</v>
      </c>
      <c r="I938" s="37">
        <v>695</v>
      </c>
      <c r="J938" s="37">
        <v>0</v>
      </c>
      <c r="K938" s="38"/>
      <c r="L938" s="38"/>
      <c r="M938" s="38"/>
      <c r="N938" s="38"/>
      <c r="O938" s="38"/>
      <c r="P938" s="38"/>
      <c r="Q938" s="38"/>
      <c r="R938" s="38"/>
      <c r="S938" s="38"/>
      <c r="T938" s="38"/>
    </row>
    <row r="939" spans="1:20" ht="15.75">
      <c r="A939" s="13">
        <v>69732</v>
      </c>
      <c r="B939" s="46">
        <f t="shared" si="5"/>
        <v>30</v>
      </c>
      <c r="C939" s="37">
        <v>122.58</v>
      </c>
      <c r="D939" s="37">
        <v>297.94099999999997</v>
      </c>
      <c r="E939" s="43">
        <v>729.47900000000004</v>
      </c>
      <c r="F939" s="37">
        <v>1150</v>
      </c>
      <c r="G939" s="37">
        <v>100</v>
      </c>
      <c r="H939" s="45">
        <v>600</v>
      </c>
      <c r="I939" s="37">
        <v>695</v>
      </c>
      <c r="J939" s="37">
        <v>50</v>
      </c>
      <c r="K939" s="38"/>
      <c r="L939" s="38"/>
      <c r="M939" s="38"/>
      <c r="N939" s="38"/>
      <c r="O939" s="38"/>
      <c r="P939" s="38"/>
      <c r="Q939" s="38"/>
      <c r="R939" s="38"/>
      <c r="S939" s="38"/>
      <c r="T939" s="38"/>
    </row>
    <row r="940" spans="1:20" ht="15.75">
      <c r="A940" s="13">
        <v>69763</v>
      </c>
      <c r="B940" s="46">
        <f t="shared" si="5"/>
        <v>31</v>
      </c>
      <c r="C940" s="37">
        <v>122.58</v>
      </c>
      <c r="D940" s="37">
        <v>297.94099999999997</v>
      </c>
      <c r="E940" s="43">
        <v>729.47900000000004</v>
      </c>
      <c r="F940" s="37">
        <v>1150</v>
      </c>
      <c r="G940" s="37">
        <v>100</v>
      </c>
      <c r="H940" s="45">
        <v>600</v>
      </c>
      <c r="I940" s="37">
        <v>695</v>
      </c>
      <c r="J940" s="37">
        <v>50</v>
      </c>
      <c r="K940" s="38"/>
      <c r="L940" s="38"/>
      <c r="M940" s="38"/>
      <c r="N940" s="38"/>
      <c r="O940" s="38"/>
      <c r="P940" s="38"/>
      <c r="Q940" s="38"/>
      <c r="R940" s="38"/>
      <c r="S940" s="38"/>
      <c r="T940" s="38"/>
    </row>
    <row r="941" spans="1:20" ht="15.75">
      <c r="A941" s="13">
        <v>69794</v>
      </c>
      <c r="B941" s="46">
        <f t="shared" si="5"/>
        <v>31</v>
      </c>
      <c r="C941" s="37">
        <v>122.58</v>
      </c>
      <c r="D941" s="37">
        <v>297.94099999999997</v>
      </c>
      <c r="E941" s="43">
        <v>729.47900000000004</v>
      </c>
      <c r="F941" s="37">
        <v>1150</v>
      </c>
      <c r="G941" s="37">
        <v>100</v>
      </c>
      <c r="H941" s="45">
        <v>600</v>
      </c>
      <c r="I941" s="37">
        <v>695</v>
      </c>
      <c r="J941" s="37">
        <v>50</v>
      </c>
      <c r="K941" s="38"/>
      <c r="L941" s="38"/>
      <c r="M941" s="38"/>
      <c r="N941" s="38"/>
      <c r="O941" s="38"/>
      <c r="P941" s="38"/>
      <c r="Q941" s="38"/>
      <c r="R941" s="38"/>
      <c r="S941" s="38"/>
      <c r="T941" s="38"/>
    </row>
    <row r="942" spans="1:20" ht="15.75">
      <c r="A942" s="13">
        <v>69822</v>
      </c>
      <c r="B942" s="46">
        <f t="shared" si="5"/>
        <v>28</v>
      </c>
      <c r="C942" s="37">
        <v>122.58</v>
      </c>
      <c r="D942" s="37">
        <v>297.94099999999997</v>
      </c>
      <c r="E942" s="43">
        <v>729.47900000000004</v>
      </c>
      <c r="F942" s="37">
        <v>1150</v>
      </c>
      <c r="G942" s="37">
        <v>100</v>
      </c>
      <c r="H942" s="45">
        <v>600</v>
      </c>
      <c r="I942" s="37">
        <v>695</v>
      </c>
      <c r="J942" s="37">
        <v>50</v>
      </c>
      <c r="K942" s="38"/>
      <c r="L942" s="38"/>
      <c r="M942" s="38"/>
      <c r="N942" s="38"/>
      <c r="O942" s="38"/>
      <c r="P942" s="38"/>
      <c r="Q942" s="38"/>
      <c r="R942" s="38"/>
      <c r="S942" s="38"/>
      <c r="T942" s="38"/>
    </row>
    <row r="943" spans="1:20" ht="15.75">
      <c r="A943" s="13">
        <v>69853</v>
      </c>
      <c r="B943" s="46">
        <f t="shared" si="5"/>
        <v>31</v>
      </c>
      <c r="C943" s="37">
        <v>122.58</v>
      </c>
      <c r="D943" s="37">
        <v>297.94099999999997</v>
      </c>
      <c r="E943" s="43">
        <v>729.47900000000004</v>
      </c>
      <c r="F943" s="37">
        <v>1150</v>
      </c>
      <c r="G943" s="37">
        <v>100</v>
      </c>
      <c r="H943" s="45">
        <v>600</v>
      </c>
      <c r="I943" s="37">
        <v>695</v>
      </c>
      <c r="J943" s="37">
        <v>50</v>
      </c>
      <c r="K943" s="38"/>
      <c r="L943" s="38"/>
      <c r="M943" s="38"/>
      <c r="N943" s="38"/>
      <c r="O943" s="38"/>
      <c r="P943" s="38"/>
      <c r="Q943" s="38"/>
      <c r="R943" s="38"/>
      <c r="S943" s="38"/>
      <c r="T943" s="38"/>
    </row>
    <row r="944" spans="1:20" ht="15.75">
      <c r="A944" s="13">
        <v>69883</v>
      </c>
      <c r="B944" s="46">
        <f t="shared" si="5"/>
        <v>30</v>
      </c>
      <c r="C944" s="37">
        <v>141.29300000000001</v>
      </c>
      <c r="D944" s="37">
        <v>267.99299999999999</v>
      </c>
      <c r="E944" s="43">
        <v>829.71400000000006</v>
      </c>
      <c r="F944" s="37">
        <v>1239</v>
      </c>
      <c r="G944" s="37">
        <v>100</v>
      </c>
      <c r="H944" s="45">
        <v>600</v>
      </c>
      <c r="I944" s="37">
        <v>695</v>
      </c>
      <c r="J944" s="37">
        <v>50</v>
      </c>
      <c r="K944" s="38"/>
      <c r="L944" s="38"/>
      <c r="M944" s="38"/>
      <c r="N944" s="38"/>
      <c r="O944" s="38"/>
      <c r="P944" s="38"/>
      <c r="Q944" s="38"/>
      <c r="R944" s="38"/>
      <c r="S944" s="38"/>
      <c r="T944" s="38"/>
    </row>
    <row r="945" spans="1:20" ht="15.75">
      <c r="A945" s="13">
        <v>69914</v>
      </c>
      <c r="B945" s="46">
        <f t="shared" si="5"/>
        <v>31</v>
      </c>
      <c r="C945" s="37">
        <v>194.20500000000001</v>
      </c>
      <c r="D945" s="37">
        <v>267.46600000000001</v>
      </c>
      <c r="E945" s="43">
        <v>812.32899999999995</v>
      </c>
      <c r="F945" s="37">
        <v>1274</v>
      </c>
      <c r="G945" s="37">
        <v>75</v>
      </c>
      <c r="H945" s="45">
        <v>600</v>
      </c>
      <c r="I945" s="37">
        <v>695</v>
      </c>
      <c r="J945" s="37">
        <v>50</v>
      </c>
      <c r="K945" s="38"/>
      <c r="L945" s="38"/>
      <c r="M945" s="38"/>
      <c r="N945" s="38"/>
      <c r="O945" s="38"/>
      <c r="P945" s="38"/>
      <c r="Q945" s="38"/>
      <c r="R945" s="38"/>
      <c r="S945" s="38"/>
      <c r="T945" s="38"/>
    </row>
    <row r="946" spans="1:20" ht="15.75">
      <c r="A946" s="13">
        <v>69944</v>
      </c>
      <c r="B946" s="46">
        <f t="shared" si="5"/>
        <v>30</v>
      </c>
      <c r="C946" s="37">
        <v>194.20500000000001</v>
      </c>
      <c r="D946" s="37">
        <v>267.46600000000001</v>
      </c>
      <c r="E946" s="43">
        <v>812.32899999999995</v>
      </c>
      <c r="F946" s="37">
        <v>1274</v>
      </c>
      <c r="G946" s="37">
        <v>50</v>
      </c>
      <c r="H946" s="45">
        <v>600</v>
      </c>
      <c r="I946" s="37">
        <v>695</v>
      </c>
      <c r="J946" s="37">
        <v>50</v>
      </c>
      <c r="K946" s="38"/>
      <c r="L946" s="38"/>
      <c r="M946" s="38"/>
      <c r="N946" s="38"/>
      <c r="O946" s="38"/>
      <c r="P946" s="38"/>
      <c r="Q946" s="38"/>
      <c r="R946" s="38"/>
      <c r="S946" s="38"/>
      <c r="T946" s="38"/>
    </row>
    <row r="947" spans="1:20" ht="15.75">
      <c r="A947" s="13">
        <v>69975</v>
      </c>
      <c r="B947" s="46">
        <f t="shared" si="5"/>
        <v>31</v>
      </c>
      <c r="C947" s="37">
        <v>194.20500000000001</v>
      </c>
      <c r="D947" s="37">
        <v>267.46600000000001</v>
      </c>
      <c r="E947" s="43">
        <v>812.32899999999995</v>
      </c>
      <c r="F947" s="37">
        <v>1274</v>
      </c>
      <c r="G947" s="37">
        <v>50</v>
      </c>
      <c r="H947" s="45">
        <v>600</v>
      </c>
      <c r="I947" s="37">
        <v>695</v>
      </c>
      <c r="J947" s="37">
        <v>0</v>
      </c>
      <c r="K947" s="38"/>
      <c r="L947" s="38"/>
      <c r="M947" s="38"/>
      <c r="N947" s="38"/>
      <c r="O947" s="38"/>
      <c r="P947" s="38"/>
      <c r="Q947" s="38"/>
      <c r="R947" s="38"/>
      <c r="S947" s="38"/>
      <c r="T947" s="38"/>
    </row>
    <row r="948" spans="1:20" ht="15.75">
      <c r="A948" s="13">
        <v>70006</v>
      </c>
      <c r="B948" s="46">
        <f t="shared" si="5"/>
        <v>31</v>
      </c>
      <c r="C948" s="37">
        <v>194.20500000000001</v>
      </c>
      <c r="D948" s="37">
        <v>267.46600000000001</v>
      </c>
      <c r="E948" s="43">
        <v>812.32899999999995</v>
      </c>
      <c r="F948" s="37">
        <v>1274</v>
      </c>
      <c r="G948" s="37">
        <v>50</v>
      </c>
      <c r="H948" s="45">
        <v>600</v>
      </c>
      <c r="I948" s="37">
        <v>695</v>
      </c>
      <c r="J948" s="37">
        <v>0</v>
      </c>
      <c r="K948" s="38"/>
      <c r="L948" s="38"/>
      <c r="M948" s="38"/>
      <c r="N948" s="38"/>
      <c r="O948" s="38"/>
      <c r="P948" s="38"/>
      <c r="Q948" s="38"/>
      <c r="R948" s="38"/>
      <c r="S948" s="38"/>
      <c r="T948" s="38"/>
    </row>
    <row r="949" spans="1:20" ht="15.75">
      <c r="A949" s="13">
        <v>70036</v>
      </c>
      <c r="B949" s="46">
        <f t="shared" si="5"/>
        <v>30</v>
      </c>
      <c r="C949" s="37">
        <v>194.20500000000001</v>
      </c>
      <c r="D949" s="37">
        <v>267.46600000000001</v>
      </c>
      <c r="E949" s="43">
        <v>812.32899999999995</v>
      </c>
      <c r="F949" s="37">
        <v>1274</v>
      </c>
      <c r="G949" s="37">
        <v>50</v>
      </c>
      <c r="H949" s="45">
        <v>600</v>
      </c>
      <c r="I949" s="37">
        <v>695</v>
      </c>
      <c r="J949" s="37">
        <v>0</v>
      </c>
      <c r="K949" s="38"/>
      <c r="L949" s="38"/>
      <c r="M949" s="38"/>
      <c r="N949" s="38"/>
      <c r="O949" s="38"/>
      <c r="P949" s="38"/>
      <c r="Q949" s="38"/>
      <c r="R949" s="38"/>
      <c r="S949" s="38"/>
      <c r="T949" s="38"/>
    </row>
    <row r="950" spans="1:20" ht="15.75">
      <c r="A950" s="13">
        <v>70067</v>
      </c>
      <c r="B950" s="46">
        <f t="shared" si="5"/>
        <v>31</v>
      </c>
      <c r="C950" s="37">
        <v>131.881</v>
      </c>
      <c r="D950" s="37">
        <v>277.16699999999997</v>
      </c>
      <c r="E950" s="43">
        <v>829.952</v>
      </c>
      <c r="F950" s="37">
        <v>1239</v>
      </c>
      <c r="G950" s="37">
        <v>75</v>
      </c>
      <c r="H950" s="45">
        <v>600</v>
      </c>
      <c r="I950" s="37">
        <v>695</v>
      </c>
      <c r="J950" s="37">
        <v>0</v>
      </c>
      <c r="K950" s="38"/>
      <c r="L950" s="38"/>
      <c r="M950" s="38"/>
      <c r="N950" s="38"/>
      <c r="O950" s="38"/>
      <c r="P950" s="38"/>
      <c r="Q950" s="38"/>
      <c r="R950" s="38"/>
      <c r="S950" s="38"/>
      <c r="T950" s="38"/>
    </row>
    <row r="951" spans="1:20" ht="15.75">
      <c r="A951" s="13">
        <v>70097</v>
      </c>
      <c r="B951" s="46">
        <f t="shared" si="5"/>
        <v>30</v>
      </c>
      <c r="C951" s="37">
        <v>122.58</v>
      </c>
      <c r="D951" s="37">
        <v>297.94099999999997</v>
      </c>
      <c r="E951" s="43">
        <v>729.47900000000004</v>
      </c>
      <c r="F951" s="37">
        <v>1150</v>
      </c>
      <c r="G951" s="37">
        <v>100</v>
      </c>
      <c r="H951" s="45">
        <v>600</v>
      </c>
      <c r="I951" s="37">
        <v>695</v>
      </c>
      <c r="J951" s="37">
        <v>50</v>
      </c>
      <c r="K951" s="38"/>
      <c r="L951" s="38"/>
      <c r="M951" s="38"/>
      <c r="N951" s="38"/>
      <c r="O951" s="38"/>
      <c r="P951" s="38"/>
      <c r="Q951" s="38"/>
      <c r="R951" s="38"/>
      <c r="S951" s="38"/>
      <c r="T951" s="38"/>
    </row>
    <row r="952" spans="1:20" ht="15.75">
      <c r="A952" s="13">
        <v>70128</v>
      </c>
      <c r="B952" s="46">
        <f t="shared" si="5"/>
        <v>31</v>
      </c>
      <c r="C952" s="37">
        <v>122.58</v>
      </c>
      <c r="D952" s="37">
        <v>297.94099999999997</v>
      </c>
      <c r="E952" s="43">
        <v>729.47900000000004</v>
      </c>
      <c r="F952" s="37">
        <v>1150</v>
      </c>
      <c r="G952" s="37">
        <v>100</v>
      </c>
      <c r="H952" s="45">
        <v>600</v>
      </c>
      <c r="I952" s="37">
        <v>695</v>
      </c>
      <c r="J952" s="37">
        <v>50</v>
      </c>
      <c r="K952" s="38"/>
      <c r="L952" s="38"/>
      <c r="M952" s="38"/>
      <c r="N952" s="38"/>
      <c r="O952" s="38"/>
      <c r="P952" s="38"/>
      <c r="Q952" s="38"/>
      <c r="R952" s="38"/>
      <c r="S952" s="38"/>
      <c r="T952" s="38"/>
    </row>
    <row r="953" spans="1:20" ht="15.75">
      <c r="A953" s="13">
        <v>70159</v>
      </c>
      <c r="B953" s="46">
        <f t="shared" si="5"/>
        <v>31</v>
      </c>
      <c r="C953" s="37">
        <v>122.58</v>
      </c>
      <c r="D953" s="37">
        <v>297.94099999999997</v>
      </c>
      <c r="E953" s="43">
        <v>729.47900000000004</v>
      </c>
      <c r="F953" s="37">
        <v>1150</v>
      </c>
      <c r="G953" s="37">
        <v>100</v>
      </c>
      <c r="H953" s="45">
        <v>600</v>
      </c>
      <c r="I953" s="37">
        <v>695</v>
      </c>
      <c r="J953" s="37">
        <v>50</v>
      </c>
      <c r="K953" s="38"/>
      <c r="L953" s="38"/>
      <c r="M953" s="38"/>
      <c r="N953" s="38"/>
      <c r="O953" s="38"/>
      <c r="P953" s="38"/>
      <c r="Q953" s="38"/>
      <c r="R953" s="38"/>
      <c r="S953" s="38"/>
      <c r="T953" s="38"/>
    </row>
    <row r="954" spans="1:20" ht="15.75">
      <c r="A954" s="13">
        <v>70188</v>
      </c>
      <c r="B954" s="46">
        <f t="shared" si="5"/>
        <v>29</v>
      </c>
      <c r="C954" s="37">
        <v>122.58</v>
      </c>
      <c r="D954" s="37">
        <v>297.94099999999997</v>
      </c>
      <c r="E954" s="43">
        <v>729.47900000000004</v>
      </c>
      <c r="F954" s="37">
        <v>1150</v>
      </c>
      <c r="G954" s="37">
        <v>100</v>
      </c>
      <c r="H954" s="45">
        <v>600</v>
      </c>
      <c r="I954" s="37">
        <v>695</v>
      </c>
      <c r="J954" s="37">
        <v>50</v>
      </c>
      <c r="K954" s="38"/>
      <c r="L954" s="38"/>
      <c r="M954" s="38"/>
      <c r="N954" s="38"/>
      <c r="O954" s="38"/>
      <c r="P954" s="38"/>
      <c r="Q954" s="38"/>
      <c r="R954" s="38"/>
      <c r="S954" s="38"/>
      <c r="T954" s="38"/>
    </row>
    <row r="955" spans="1:20" ht="15.75">
      <c r="A955" s="13">
        <v>70219</v>
      </c>
      <c r="B955" s="46">
        <f t="shared" si="5"/>
        <v>31</v>
      </c>
      <c r="C955" s="37">
        <v>122.58</v>
      </c>
      <c r="D955" s="37">
        <v>297.94099999999997</v>
      </c>
      <c r="E955" s="43">
        <v>729.47900000000004</v>
      </c>
      <c r="F955" s="37">
        <v>1150</v>
      </c>
      <c r="G955" s="37">
        <v>100</v>
      </c>
      <c r="H955" s="45">
        <v>600</v>
      </c>
      <c r="I955" s="37">
        <v>695</v>
      </c>
      <c r="J955" s="37">
        <v>50</v>
      </c>
      <c r="K955" s="38"/>
      <c r="L955" s="38"/>
      <c r="M955" s="38"/>
      <c r="N955" s="38"/>
      <c r="O955" s="38"/>
      <c r="P955" s="38"/>
      <c r="Q955" s="38"/>
      <c r="R955" s="38"/>
      <c r="S955" s="38"/>
      <c r="T955" s="38"/>
    </row>
    <row r="956" spans="1:20" ht="15.75">
      <c r="A956" s="13">
        <v>70249</v>
      </c>
      <c r="B956" s="46">
        <f t="shared" si="5"/>
        <v>30</v>
      </c>
      <c r="C956" s="37">
        <v>141.29300000000001</v>
      </c>
      <c r="D956" s="37">
        <v>267.99299999999999</v>
      </c>
      <c r="E956" s="43">
        <v>829.71400000000006</v>
      </c>
      <c r="F956" s="37">
        <v>1239</v>
      </c>
      <c r="G956" s="37">
        <v>100</v>
      </c>
      <c r="H956" s="45">
        <v>600</v>
      </c>
      <c r="I956" s="37">
        <v>695</v>
      </c>
      <c r="J956" s="37">
        <v>50</v>
      </c>
      <c r="K956" s="38"/>
      <c r="L956" s="38"/>
      <c r="M956" s="38"/>
      <c r="N956" s="38"/>
      <c r="O956" s="38"/>
      <c r="P956" s="38"/>
      <c r="Q956" s="38"/>
      <c r="R956" s="38"/>
      <c r="S956" s="38"/>
      <c r="T956" s="38"/>
    </row>
    <row r="957" spans="1:20" ht="15.75">
      <c r="A957" s="13">
        <v>70280</v>
      </c>
      <c r="B957" s="46">
        <f t="shared" si="5"/>
        <v>31</v>
      </c>
      <c r="C957" s="37">
        <v>194.20500000000001</v>
      </c>
      <c r="D957" s="37">
        <v>267.46600000000001</v>
      </c>
      <c r="E957" s="43">
        <v>812.32899999999995</v>
      </c>
      <c r="F957" s="37">
        <v>1274</v>
      </c>
      <c r="G957" s="37">
        <v>75</v>
      </c>
      <c r="H957" s="45">
        <v>600</v>
      </c>
      <c r="I957" s="37">
        <v>695</v>
      </c>
      <c r="J957" s="37">
        <v>50</v>
      </c>
      <c r="K957" s="38"/>
      <c r="L957" s="38"/>
      <c r="M957" s="38"/>
      <c r="N957" s="38"/>
      <c r="O957" s="38"/>
      <c r="P957" s="38"/>
      <c r="Q957" s="38"/>
      <c r="R957" s="38"/>
      <c r="S957" s="38"/>
      <c r="T957" s="38"/>
    </row>
    <row r="958" spans="1:20" ht="15.75">
      <c r="A958" s="13">
        <v>70310</v>
      </c>
      <c r="B958" s="46">
        <f t="shared" si="5"/>
        <v>30</v>
      </c>
      <c r="C958" s="37">
        <v>194.20500000000001</v>
      </c>
      <c r="D958" s="37">
        <v>267.46600000000001</v>
      </c>
      <c r="E958" s="43">
        <v>812.32899999999995</v>
      </c>
      <c r="F958" s="37">
        <v>1274</v>
      </c>
      <c r="G958" s="37">
        <v>50</v>
      </c>
      <c r="H958" s="45">
        <v>600</v>
      </c>
      <c r="I958" s="37">
        <v>695</v>
      </c>
      <c r="J958" s="37">
        <v>50</v>
      </c>
      <c r="K958" s="38"/>
      <c r="L958" s="38"/>
      <c r="M958" s="38"/>
      <c r="N958" s="38"/>
      <c r="O958" s="38"/>
      <c r="P958" s="38"/>
      <c r="Q958" s="38"/>
      <c r="R958" s="38"/>
      <c r="S958" s="38"/>
      <c r="T958" s="38"/>
    </row>
    <row r="959" spans="1:20" ht="15.75">
      <c r="A959" s="13">
        <v>70341</v>
      </c>
      <c r="B959" s="46">
        <f t="shared" si="5"/>
        <v>31</v>
      </c>
      <c r="C959" s="37">
        <v>194.20500000000001</v>
      </c>
      <c r="D959" s="37">
        <v>267.46600000000001</v>
      </c>
      <c r="E959" s="43">
        <v>812.32899999999995</v>
      </c>
      <c r="F959" s="37">
        <v>1274</v>
      </c>
      <c r="G959" s="37">
        <v>50</v>
      </c>
      <c r="H959" s="45">
        <v>600</v>
      </c>
      <c r="I959" s="37">
        <v>695</v>
      </c>
      <c r="J959" s="37">
        <v>0</v>
      </c>
      <c r="K959" s="38"/>
      <c r="L959" s="38"/>
      <c r="M959" s="38"/>
      <c r="N959" s="38"/>
      <c r="O959" s="38"/>
      <c r="P959" s="38"/>
      <c r="Q959" s="38"/>
      <c r="R959" s="38"/>
      <c r="S959" s="38"/>
      <c r="T959" s="38"/>
    </row>
    <row r="960" spans="1:20" ht="15.75">
      <c r="A960" s="13">
        <v>70372</v>
      </c>
      <c r="B960" s="46">
        <f t="shared" si="5"/>
        <v>31</v>
      </c>
      <c r="C960" s="37">
        <v>194.20500000000001</v>
      </c>
      <c r="D960" s="37">
        <v>267.46600000000001</v>
      </c>
      <c r="E960" s="43">
        <v>812.32899999999995</v>
      </c>
      <c r="F960" s="37">
        <v>1274</v>
      </c>
      <c r="G960" s="37">
        <v>50</v>
      </c>
      <c r="H960" s="45">
        <v>600</v>
      </c>
      <c r="I960" s="37">
        <v>695</v>
      </c>
      <c r="J960" s="37">
        <v>0</v>
      </c>
      <c r="K960" s="38"/>
      <c r="L960" s="38"/>
      <c r="M960" s="38"/>
      <c r="N960" s="38"/>
      <c r="O960" s="38"/>
      <c r="P960" s="38"/>
      <c r="Q960" s="38"/>
      <c r="R960" s="38"/>
      <c r="S960" s="38"/>
      <c r="T960" s="38"/>
    </row>
    <row r="961" spans="1:20" ht="15.75">
      <c r="A961" s="13">
        <v>70402</v>
      </c>
      <c r="B961" s="46">
        <f t="shared" si="5"/>
        <v>30</v>
      </c>
      <c r="C961" s="37">
        <v>194.20500000000001</v>
      </c>
      <c r="D961" s="37">
        <v>267.46600000000001</v>
      </c>
      <c r="E961" s="43">
        <v>812.32899999999995</v>
      </c>
      <c r="F961" s="37">
        <v>1274</v>
      </c>
      <c r="G961" s="37">
        <v>50</v>
      </c>
      <c r="H961" s="45">
        <v>600</v>
      </c>
      <c r="I961" s="37">
        <v>695</v>
      </c>
      <c r="J961" s="37">
        <v>0</v>
      </c>
      <c r="K961" s="38"/>
      <c r="L961" s="38"/>
      <c r="M961" s="38"/>
      <c r="N961" s="38"/>
      <c r="O961" s="38"/>
      <c r="P961" s="38"/>
      <c r="Q961" s="38"/>
      <c r="R961" s="38"/>
      <c r="S961" s="38"/>
      <c r="T961" s="38"/>
    </row>
    <row r="962" spans="1:20" ht="15.75">
      <c r="A962" s="13">
        <v>70433</v>
      </c>
      <c r="B962" s="46">
        <f t="shared" si="5"/>
        <v>31</v>
      </c>
      <c r="C962" s="37">
        <v>131.881</v>
      </c>
      <c r="D962" s="37">
        <v>277.16699999999997</v>
      </c>
      <c r="E962" s="43">
        <v>829.952</v>
      </c>
      <c r="F962" s="37">
        <v>1239</v>
      </c>
      <c r="G962" s="37">
        <v>75</v>
      </c>
      <c r="H962" s="45">
        <v>600</v>
      </c>
      <c r="I962" s="37">
        <v>695</v>
      </c>
      <c r="J962" s="37">
        <v>0</v>
      </c>
      <c r="K962" s="38"/>
      <c r="L962" s="38"/>
      <c r="M962" s="38"/>
      <c r="N962" s="38"/>
      <c r="O962" s="38"/>
      <c r="P962" s="38"/>
      <c r="Q962" s="38"/>
      <c r="R962" s="38"/>
      <c r="S962" s="38"/>
      <c r="T962" s="38"/>
    </row>
    <row r="963" spans="1:20" ht="15.75">
      <c r="A963" s="13">
        <v>70463</v>
      </c>
      <c r="B963" s="46">
        <f t="shared" si="5"/>
        <v>30</v>
      </c>
      <c r="C963" s="37">
        <v>122.58</v>
      </c>
      <c r="D963" s="37">
        <v>297.94099999999997</v>
      </c>
      <c r="E963" s="43">
        <v>729.47900000000004</v>
      </c>
      <c r="F963" s="37">
        <v>1150</v>
      </c>
      <c r="G963" s="37">
        <v>100</v>
      </c>
      <c r="H963" s="45">
        <v>600</v>
      </c>
      <c r="I963" s="37">
        <v>695</v>
      </c>
      <c r="J963" s="37">
        <v>50</v>
      </c>
      <c r="K963" s="38"/>
      <c r="L963" s="38"/>
      <c r="M963" s="38"/>
      <c r="N963" s="38"/>
      <c r="O963" s="38"/>
      <c r="P963" s="38"/>
      <c r="Q963" s="38"/>
      <c r="R963" s="38"/>
      <c r="S963" s="38"/>
      <c r="T963" s="38"/>
    </row>
    <row r="964" spans="1:20" ht="15.75">
      <c r="A964" s="13">
        <v>70494</v>
      </c>
      <c r="B964" s="46">
        <f t="shared" si="5"/>
        <v>31</v>
      </c>
      <c r="C964" s="37">
        <v>122.58</v>
      </c>
      <c r="D964" s="37">
        <v>297.94099999999997</v>
      </c>
      <c r="E964" s="43">
        <v>729.47900000000004</v>
      </c>
      <c r="F964" s="37">
        <v>1150</v>
      </c>
      <c r="G964" s="37">
        <v>100</v>
      </c>
      <c r="H964" s="45">
        <v>600</v>
      </c>
      <c r="I964" s="37">
        <v>695</v>
      </c>
      <c r="J964" s="37">
        <v>50</v>
      </c>
      <c r="K964" s="38"/>
      <c r="L964" s="38"/>
      <c r="M964" s="38"/>
      <c r="N964" s="38"/>
      <c r="O964" s="38"/>
      <c r="P964" s="38"/>
      <c r="Q964" s="38"/>
      <c r="R964" s="38"/>
      <c r="S964" s="38"/>
      <c r="T964" s="38"/>
    </row>
    <row r="965" spans="1:20" ht="15.75">
      <c r="A965" s="13">
        <v>70525</v>
      </c>
      <c r="B965" s="46">
        <f t="shared" si="5"/>
        <v>31</v>
      </c>
      <c r="C965" s="37">
        <v>122.58</v>
      </c>
      <c r="D965" s="37">
        <v>297.94099999999997</v>
      </c>
      <c r="E965" s="43">
        <v>729.47900000000004</v>
      </c>
      <c r="F965" s="37">
        <v>1150</v>
      </c>
      <c r="G965" s="37">
        <v>100</v>
      </c>
      <c r="H965" s="45">
        <v>600</v>
      </c>
      <c r="I965" s="37">
        <v>695</v>
      </c>
      <c r="J965" s="37">
        <v>50</v>
      </c>
      <c r="K965" s="38"/>
      <c r="L965" s="38"/>
      <c r="M965" s="38"/>
      <c r="N965" s="38"/>
      <c r="O965" s="38"/>
      <c r="P965" s="38"/>
      <c r="Q965" s="38"/>
      <c r="R965" s="38"/>
      <c r="S965" s="38"/>
      <c r="T965" s="38"/>
    </row>
    <row r="966" spans="1:20" ht="15.75">
      <c r="A966" s="13">
        <v>70553</v>
      </c>
      <c r="B966" s="46">
        <f t="shared" si="5"/>
        <v>28</v>
      </c>
      <c r="C966" s="37">
        <v>122.58</v>
      </c>
      <c r="D966" s="37">
        <v>297.94099999999997</v>
      </c>
      <c r="E966" s="43">
        <v>729.47900000000004</v>
      </c>
      <c r="F966" s="37">
        <v>1150</v>
      </c>
      <c r="G966" s="37">
        <v>100</v>
      </c>
      <c r="H966" s="45">
        <v>600</v>
      </c>
      <c r="I966" s="37">
        <v>695</v>
      </c>
      <c r="J966" s="37">
        <v>50</v>
      </c>
      <c r="K966" s="38"/>
      <c r="L966" s="38"/>
      <c r="M966" s="38"/>
      <c r="N966" s="38"/>
      <c r="O966" s="38"/>
      <c r="P966" s="38"/>
      <c r="Q966" s="38"/>
      <c r="R966" s="38"/>
      <c r="S966" s="38"/>
      <c r="T966" s="38"/>
    </row>
    <row r="967" spans="1:20" ht="15.75">
      <c r="A967" s="13">
        <v>70584</v>
      </c>
      <c r="B967" s="46">
        <f t="shared" si="5"/>
        <v>31</v>
      </c>
      <c r="C967" s="37">
        <v>122.58</v>
      </c>
      <c r="D967" s="37">
        <v>297.94099999999997</v>
      </c>
      <c r="E967" s="43">
        <v>729.47900000000004</v>
      </c>
      <c r="F967" s="37">
        <v>1150</v>
      </c>
      <c r="G967" s="37">
        <v>100</v>
      </c>
      <c r="H967" s="45">
        <v>600</v>
      </c>
      <c r="I967" s="37">
        <v>695</v>
      </c>
      <c r="J967" s="37">
        <v>50</v>
      </c>
      <c r="K967" s="38"/>
      <c r="L967" s="38"/>
      <c r="M967" s="38"/>
      <c r="N967" s="38"/>
      <c r="O967" s="38"/>
      <c r="P967" s="38"/>
      <c r="Q967" s="38"/>
      <c r="R967" s="38"/>
      <c r="S967" s="38"/>
      <c r="T967" s="38"/>
    </row>
    <row r="968" spans="1:20" ht="15.75">
      <c r="A968" s="13">
        <v>70614</v>
      </c>
      <c r="B968" s="46">
        <f t="shared" si="5"/>
        <v>30</v>
      </c>
      <c r="C968" s="37">
        <v>141.29300000000001</v>
      </c>
      <c r="D968" s="37">
        <v>267.99299999999999</v>
      </c>
      <c r="E968" s="43">
        <v>829.71400000000006</v>
      </c>
      <c r="F968" s="37">
        <v>1239</v>
      </c>
      <c r="G968" s="37">
        <v>100</v>
      </c>
      <c r="H968" s="45">
        <v>600</v>
      </c>
      <c r="I968" s="37">
        <v>695</v>
      </c>
      <c r="J968" s="37">
        <v>50</v>
      </c>
      <c r="K968" s="38"/>
      <c r="L968" s="38"/>
      <c r="M968" s="38"/>
      <c r="N968" s="38"/>
      <c r="O968" s="38"/>
      <c r="P968" s="38"/>
      <c r="Q968" s="38"/>
      <c r="R968" s="38"/>
      <c r="S968" s="38"/>
      <c r="T968" s="38"/>
    </row>
    <row r="969" spans="1:20" ht="15.75">
      <c r="A969" s="13">
        <v>70645</v>
      </c>
      <c r="B969" s="46">
        <f t="shared" si="5"/>
        <v>31</v>
      </c>
      <c r="C969" s="37">
        <v>194.20500000000001</v>
      </c>
      <c r="D969" s="37">
        <v>267.46600000000001</v>
      </c>
      <c r="E969" s="43">
        <v>812.32899999999995</v>
      </c>
      <c r="F969" s="37">
        <v>1274</v>
      </c>
      <c r="G969" s="37">
        <v>75</v>
      </c>
      <c r="H969" s="45">
        <v>600</v>
      </c>
      <c r="I969" s="37">
        <v>695</v>
      </c>
      <c r="J969" s="37">
        <v>50</v>
      </c>
      <c r="K969" s="38"/>
      <c r="L969" s="38"/>
      <c r="M969" s="38"/>
      <c r="N969" s="38"/>
      <c r="O969" s="38"/>
      <c r="P969" s="38"/>
      <c r="Q969" s="38"/>
      <c r="R969" s="38"/>
      <c r="S969" s="38"/>
      <c r="T969" s="38"/>
    </row>
    <row r="970" spans="1:20" ht="15.75">
      <c r="A970" s="13">
        <v>70675</v>
      </c>
      <c r="B970" s="46">
        <f t="shared" si="5"/>
        <v>30</v>
      </c>
      <c r="C970" s="37">
        <v>194.20500000000001</v>
      </c>
      <c r="D970" s="37">
        <v>267.46600000000001</v>
      </c>
      <c r="E970" s="43">
        <v>812.32899999999995</v>
      </c>
      <c r="F970" s="37">
        <v>1274</v>
      </c>
      <c r="G970" s="37">
        <v>50</v>
      </c>
      <c r="H970" s="45">
        <v>600</v>
      </c>
      <c r="I970" s="37">
        <v>695</v>
      </c>
      <c r="J970" s="37">
        <v>50</v>
      </c>
      <c r="K970" s="38"/>
      <c r="L970" s="38"/>
      <c r="M970" s="38"/>
      <c r="N970" s="38"/>
      <c r="O970" s="38"/>
      <c r="P970" s="38"/>
      <c r="Q970" s="38"/>
      <c r="R970" s="38"/>
      <c r="S970" s="38"/>
      <c r="T970" s="38"/>
    </row>
    <row r="971" spans="1:20" ht="15.75">
      <c r="A971" s="13">
        <v>70706</v>
      </c>
      <c r="B971" s="46">
        <f t="shared" si="5"/>
        <v>31</v>
      </c>
      <c r="C971" s="37">
        <v>194.20500000000001</v>
      </c>
      <c r="D971" s="37">
        <v>267.46600000000001</v>
      </c>
      <c r="E971" s="43">
        <v>812.32899999999995</v>
      </c>
      <c r="F971" s="37">
        <v>1274</v>
      </c>
      <c r="G971" s="37">
        <v>50</v>
      </c>
      <c r="H971" s="45">
        <v>600</v>
      </c>
      <c r="I971" s="37">
        <v>695</v>
      </c>
      <c r="J971" s="37">
        <v>0</v>
      </c>
      <c r="K971" s="38"/>
      <c r="L971" s="38"/>
      <c r="M971" s="38"/>
      <c r="N971" s="38"/>
      <c r="O971" s="38"/>
      <c r="P971" s="38"/>
      <c r="Q971" s="38"/>
      <c r="R971" s="38"/>
      <c r="S971" s="38"/>
      <c r="T971" s="38"/>
    </row>
    <row r="972" spans="1:20" ht="15.75">
      <c r="A972" s="13">
        <v>70737</v>
      </c>
      <c r="B972" s="46">
        <f t="shared" si="5"/>
        <v>31</v>
      </c>
      <c r="C972" s="37">
        <v>194.20500000000001</v>
      </c>
      <c r="D972" s="37">
        <v>267.46600000000001</v>
      </c>
      <c r="E972" s="43">
        <v>812.32899999999995</v>
      </c>
      <c r="F972" s="37">
        <v>1274</v>
      </c>
      <c r="G972" s="37">
        <v>50</v>
      </c>
      <c r="H972" s="45">
        <v>600</v>
      </c>
      <c r="I972" s="37">
        <v>695</v>
      </c>
      <c r="J972" s="37">
        <v>0</v>
      </c>
      <c r="K972" s="38"/>
      <c r="L972" s="38"/>
      <c r="M972" s="38"/>
      <c r="N972" s="38"/>
      <c r="O972" s="38"/>
      <c r="P972" s="38"/>
      <c r="Q972" s="38"/>
      <c r="R972" s="38"/>
      <c r="S972" s="38"/>
      <c r="T972" s="38"/>
    </row>
    <row r="973" spans="1:20" ht="15.75">
      <c r="A973" s="13">
        <v>70767</v>
      </c>
      <c r="B973" s="46">
        <f t="shared" si="5"/>
        <v>30</v>
      </c>
      <c r="C973" s="37">
        <v>194.20500000000001</v>
      </c>
      <c r="D973" s="37">
        <v>267.46600000000001</v>
      </c>
      <c r="E973" s="43">
        <v>812.32899999999995</v>
      </c>
      <c r="F973" s="37">
        <v>1274</v>
      </c>
      <c r="G973" s="37">
        <v>50</v>
      </c>
      <c r="H973" s="45">
        <v>600</v>
      </c>
      <c r="I973" s="37">
        <v>695</v>
      </c>
      <c r="J973" s="37">
        <v>0</v>
      </c>
      <c r="K973" s="38"/>
      <c r="L973" s="38"/>
      <c r="M973" s="38"/>
      <c r="N973" s="38"/>
      <c r="O973" s="38"/>
      <c r="P973" s="38"/>
      <c r="Q973" s="38"/>
      <c r="R973" s="38"/>
      <c r="S973" s="38"/>
      <c r="T973" s="38"/>
    </row>
    <row r="974" spans="1:20" ht="15.75">
      <c r="A974" s="13">
        <v>70798</v>
      </c>
      <c r="B974" s="46">
        <f t="shared" si="5"/>
        <v>31</v>
      </c>
      <c r="C974" s="37">
        <v>131.881</v>
      </c>
      <c r="D974" s="37">
        <v>277.16699999999997</v>
      </c>
      <c r="E974" s="43">
        <v>829.952</v>
      </c>
      <c r="F974" s="37">
        <v>1239</v>
      </c>
      <c r="G974" s="37">
        <v>75</v>
      </c>
      <c r="H974" s="45">
        <v>600</v>
      </c>
      <c r="I974" s="37">
        <v>695</v>
      </c>
      <c r="J974" s="37">
        <v>0</v>
      </c>
      <c r="K974" s="38"/>
      <c r="L974" s="38"/>
      <c r="M974" s="38"/>
      <c r="N974" s="38"/>
      <c r="O974" s="38"/>
      <c r="P974" s="38"/>
      <c r="Q974" s="38"/>
      <c r="R974" s="38"/>
      <c r="S974" s="38"/>
      <c r="T974" s="38"/>
    </row>
    <row r="975" spans="1:20" ht="15.75">
      <c r="A975" s="13">
        <v>70828</v>
      </c>
      <c r="B975" s="46">
        <f t="shared" si="5"/>
        <v>30</v>
      </c>
      <c r="C975" s="37">
        <v>122.58</v>
      </c>
      <c r="D975" s="37">
        <v>297.94099999999997</v>
      </c>
      <c r="E975" s="43">
        <v>729.47900000000004</v>
      </c>
      <c r="F975" s="37">
        <v>1150</v>
      </c>
      <c r="G975" s="37">
        <v>100</v>
      </c>
      <c r="H975" s="45">
        <v>600</v>
      </c>
      <c r="I975" s="37">
        <v>695</v>
      </c>
      <c r="J975" s="37">
        <v>50</v>
      </c>
      <c r="K975" s="38"/>
      <c r="L975" s="38"/>
      <c r="M975" s="38"/>
      <c r="N975" s="38"/>
      <c r="O975" s="38"/>
      <c r="P975" s="38"/>
      <c r="Q975" s="38"/>
      <c r="R975" s="38"/>
      <c r="S975" s="38"/>
      <c r="T975" s="38"/>
    </row>
    <row r="976" spans="1:20" ht="15.75">
      <c r="A976" s="13">
        <v>70859</v>
      </c>
      <c r="B976" s="46">
        <f t="shared" si="5"/>
        <v>31</v>
      </c>
      <c r="C976" s="37">
        <v>122.58</v>
      </c>
      <c r="D976" s="37">
        <v>297.94099999999997</v>
      </c>
      <c r="E976" s="43">
        <v>729.47900000000004</v>
      </c>
      <c r="F976" s="37">
        <v>1150</v>
      </c>
      <c r="G976" s="37">
        <v>100</v>
      </c>
      <c r="H976" s="45">
        <v>600</v>
      </c>
      <c r="I976" s="37">
        <v>695</v>
      </c>
      <c r="J976" s="37">
        <v>50</v>
      </c>
      <c r="K976" s="38"/>
      <c r="L976" s="38"/>
      <c r="M976" s="38"/>
      <c r="N976" s="38"/>
      <c r="O976" s="38"/>
      <c r="P976" s="38"/>
      <c r="Q976" s="38"/>
      <c r="R976" s="38"/>
      <c r="S976" s="38"/>
      <c r="T976" s="38"/>
    </row>
    <row r="977" spans="1:20" ht="15.75">
      <c r="A977" s="13">
        <v>70890</v>
      </c>
      <c r="B977" s="46">
        <f t="shared" ref="B977:B1040" si="6">EOMONTH(A977,0)-EOMONTH(A977,-1)</f>
        <v>31</v>
      </c>
      <c r="C977" s="37">
        <v>122.58</v>
      </c>
      <c r="D977" s="37">
        <v>297.94099999999997</v>
      </c>
      <c r="E977" s="43">
        <v>729.47900000000004</v>
      </c>
      <c r="F977" s="37">
        <v>1150</v>
      </c>
      <c r="G977" s="37">
        <v>100</v>
      </c>
      <c r="H977" s="45">
        <v>600</v>
      </c>
      <c r="I977" s="37">
        <v>695</v>
      </c>
      <c r="J977" s="37">
        <v>50</v>
      </c>
      <c r="K977" s="38"/>
      <c r="L977" s="38"/>
      <c r="M977" s="38"/>
      <c r="N977" s="38"/>
      <c r="O977" s="38"/>
      <c r="P977" s="38"/>
      <c r="Q977" s="38"/>
      <c r="R977" s="38"/>
      <c r="S977" s="38"/>
      <c r="T977" s="38"/>
    </row>
    <row r="978" spans="1:20" ht="15.75">
      <c r="A978" s="13">
        <v>70918</v>
      </c>
      <c r="B978" s="46">
        <f t="shared" si="6"/>
        <v>28</v>
      </c>
      <c r="C978" s="37">
        <v>122.58</v>
      </c>
      <c r="D978" s="37">
        <v>297.94099999999997</v>
      </c>
      <c r="E978" s="43">
        <v>729.47900000000004</v>
      </c>
      <c r="F978" s="37">
        <v>1150</v>
      </c>
      <c r="G978" s="37">
        <v>100</v>
      </c>
      <c r="H978" s="45">
        <v>600</v>
      </c>
      <c r="I978" s="37">
        <v>695</v>
      </c>
      <c r="J978" s="37">
        <v>50</v>
      </c>
      <c r="K978" s="38"/>
      <c r="L978" s="38"/>
      <c r="M978" s="38"/>
      <c r="N978" s="38"/>
      <c r="O978" s="38"/>
      <c r="P978" s="38"/>
      <c r="Q978" s="38"/>
      <c r="R978" s="38"/>
      <c r="S978" s="38"/>
      <c r="T978" s="38"/>
    </row>
    <row r="979" spans="1:20" ht="15.75">
      <c r="A979" s="13">
        <v>70949</v>
      </c>
      <c r="B979" s="46">
        <f t="shared" si="6"/>
        <v>31</v>
      </c>
      <c r="C979" s="37">
        <v>122.58</v>
      </c>
      <c r="D979" s="37">
        <v>297.94099999999997</v>
      </c>
      <c r="E979" s="43">
        <v>729.47900000000004</v>
      </c>
      <c r="F979" s="37">
        <v>1150</v>
      </c>
      <c r="G979" s="37">
        <v>100</v>
      </c>
      <c r="H979" s="45">
        <v>600</v>
      </c>
      <c r="I979" s="37">
        <v>695</v>
      </c>
      <c r="J979" s="37">
        <v>50</v>
      </c>
      <c r="K979" s="38"/>
      <c r="L979" s="38"/>
      <c r="M979" s="38"/>
      <c r="N979" s="38"/>
      <c r="O979" s="38"/>
      <c r="P979" s="38"/>
      <c r="Q979" s="38"/>
      <c r="R979" s="38"/>
      <c r="S979" s="38"/>
      <c r="T979" s="38"/>
    </row>
    <row r="980" spans="1:20" ht="15.75">
      <c r="A980" s="13">
        <v>70979</v>
      </c>
      <c r="B980" s="46">
        <f t="shared" si="6"/>
        <v>30</v>
      </c>
      <c r="C980" s="37">
        <v>141.29300000000001</v>
      </c>
      <c r="D980" s="37">
        <v>267.99299999999999</v>
      </c>
      <c r="E980" s="43">
        <v>829.71400000000006</v>
      </c>
      <c r="F980" s="37">
        <v>1239</v>
      </c>
      <c r="G980" s="37">
        <v>100</v>
      </c>
      <c r="H980" s="45">
        <v>600</v>
      </c>
      <c r="I980" s="37">
        <v>695</v>
      </c>
      <c r="J980" s="37">
        <v>50</v>
      </c>
      <c r="K980" s="38"/>
      <c r="L980" s="38"/>
      <c r="M980" s="38"/>
      <c r="N980" s="38"/>
      <c r="O980" s="38"/>
      <c r="P980" s="38"/>
      <c r="Q980" s="38"/>
      <c r="R980" s="38"/>
      <c r="S980" s="38"/>
      <c r="T980" s="38"/>
    </row>
    <row r="981" spans="1:20" ht="15.75">
      <c r="A981" s="13">
        <v>71010</v>
      </c>
      <c r="B981" s="46">
        <f t="shared" si="6"/>
        <v>31</v>
      </c>
      <c r="C981" s="37">
        <v>194.20500000000001</v>
      </c>
      <c r="D981" s="37">
        <v>267.46600000000001</v>
      </c>
      <c r="E981" s="43">
        <v>812.32899999999995</v>
      </c>
      <c r="F981" s="37">
        <v>1274</v>
      </c>
      <c r="G981" s="37">
        <v>75</v>
      </c>
      <c r="H981" s="45">
        <v>600</v>
      </c>
      <c r="I981" s="37">
        <v>695</v>
      </c>
      <c r="J981" s="37">
        <v>50</v>
      </c>
      <c r="K981" s="38"/>
      <c r="L981" s="38"/>
      <c r="M981" s="38"/>
      <c r="N981" s="38"/>
      <c r="O981" s="38"/>
      <c r="P981" s="38"/>
      <c r="Q981" s="38"/>
      <c r="R981" s="38"/>
      <c r="S981" s="38"/>
      <c r="T981" s="38"/>
    </row>
    <row r="982" spans="1:20" ht="15.75">
      <c r="A982" s="13">
        <v>71040</v>
      </c>
      <c r="B982" s="46">
        <f t="shared" si="6"/>
        <v>30</v>
      </c>
      <c r="C982" s="37">
        <v>194.20500000000001</v>
      </c>
      <c r="D982" s="37">
        <v>267.46600000000001</v>
      </c>
      <c r="E982" s="43">
        <v>812.32899999999995</v>
      </c>
      <c r="F982" s="37">
        <v>1274</v>
      </c>
      <c r="G982" s="37">
        <v>50</v>
      </c>
      <c r="H982" s="45">
        <v>600</v>
      </c>
      <c r="I982" s="37">
        <v>695</v>
      </c>
      <c r="J982" s="37">
        <v>50</v>
      </c>
      <c r="K982" s="38"/>
      <c r="L982" s="38"/>
      <c r="M982" s="38"/>
      <c r="N982" s="38"/>
      <c r="O982" s="38"/>
      <c r="P982" s="38"/>
      <c r="Q982" s="38"/>
      <c r="R982" s="38"/>
      <c r="S982" s="38"/>
      <c r="T982" s="38"/>
    </row>
    <row r="983" spans="1:20" ht="15.75">
      <c r="A983" s="13">
        <v>71071</v>
      </c>
      <c r="B983" s="46">
        <f t="shared" si="6"/>
        <v>31</v>
      </c>
      <c r="C983" s="37">
        <v>194.20500000000001</v>
      </c>
      <c r="D983" s="37">
        <v>267.46600000000001</v>
      </c>
      <c r="E983" s="43">
        <v>812.32899999999995</v>
      </c>
      <c r="F983" s="37">
        <v>1274</v>
      </c>
      <c r="G983" s="37">
        <v>50</v>
      </c>
      <c r="H983" s="45">
        <v>600</v>
      </c>
      <c r="I983" s="37">
        <v>695</v>
      </c>
      <c r="J983" s="37">
        <v>0</v>
      </c>
      <c r="K983" s="38"/>
      <c r="L983" s="38"/>
      <c r="M983" s="38"/>
      <c r="N983" s="38"/>
      <c r="O983" s="38"/>
      <c r="P983" s="38"/>
      <c r="Q983" s="38"/>
      <c r="R983" s="38"/>
      <c r="S983" s="38"/>
      <c r="T983" s="38"/>
    </row>
    <row r="984" spans="1:20" ht="15.75">
      <c r="A984" s="13">
        <v>71102</v>
      </c>
      <c r="B984" s="46">
        <f t="shared" si="6"/>
        <v>31</v>
      </c>
      <c r="C984" s="37">
        <v>194.20500000000001</v>
      </c>
      <c r="D984" s="37">
        <v>267.46600000000001</v>
      </c>
      <c r="E984" s="43">
        <v>812.32899999999995</v>
      </c>
      <c r="F984" s="37">
        <v>1274</v>
      </c>
      <c r="G984" s="37">
        <v>50</v>
      </c>
      <c r="H984" s="45">
        <v>600</v>
      </c>
      <c r="I984" s="37">
        <v>695</v>
      </c>
      <c r="J984" s="37">
        <v>0</v>
      </c>
      <c r="K984" s="38"/>
      <c r="L984" s="38"/>
      <c r="M984" s="38"/>
      <c r="N984" s="38"/>
      <c r="O984" s="38"/>
      <c r="P984" s="38"/>
      <c r="Q984" s="38"/>
      <c r="R984" s="38"/>
      <c r="S984" s="38"/>
      <c r="T984" s="38"/>
    </row>
    <row r="985" spans="1:20" ht="15.75">
      <c r="A985" s="13">
        <v>71132</v>
      </c>
      <c r="B985" s="46">
        <f t="shared" si="6"/>
        <v>30</v>
      </c>
      <c r="C985" s="37">
        <v>194.20500000000001</v>
      </c>
      <c r="D985" s="37">
        <v>267.46600000000001</v>
      </c>
      <c r="E985" s="43">
        <v>812.32899999999995</v>
      </c>
      <c r="F985" s="37">
        <v>1274</v>
      </c>
      <c r="G985" s="37">
        <v>50</v>
      </c>
      <c r="H985" s="45">
        <v>600</v>
      </c>
      <c r="I985" s="37">
        <v>695</v>
      </c>
      <c r="J985" s="37">
        <v>0</v>
      </c>
      <c r="K985" s="38"/>
      <c r="L985" s="38"/>
      <c r="M985" s="38"/>
      <c r="N985" s="38"/>
      <c r="O985" s="38"/>
      <c r="P985" s="38"/>
      <c r="Q985" s="38"/>
      <c r="R985" s="38"/>
      <c r="S985" s="38"/>
      <c r="T985" s="38"/>
    </row>
    <row r="986" spans="1:20" ht="15.75">
      <c r="A986" s="13">
        <v>71163</v>
      </c>
      <c r="B986" s="46">
        <f t="shared" si="6"/>
        <v>31</v>
      </c>
      <c r="C986" s="37">
        <v>131.881</v>
      </c>
      <c r="D986" s="37">
        <v>277.16699999999997</v>
      </c>
      <c r="E986" s="43">
        <v>829.952</v>
      </c>
      <c r="F986" s="37">
        <v>1239</v>
      </c>
      <c r="G986" s="37">
        <v>75</v>
      </c>
      <c r="H986" s="45">
        <v>600</v>
      </c>
      <c r="I986" s="37">
        <v>695</v>
      </c>
      <c r="J986" s="37">
        <v>0</v>
      </c>
      <c r="K986" s="38"/>
      <c r="L986" s="38"/>
      <c r="M986" s="38"/>
      <c r="N986" s="38"/>
      <c r="O986" s="38"/>
      <c r="P986" s="38"/>
      <c r="Q986" s="38"/>
      <c r="R986" s="38"/>
      <c r="S986" s="38"/>
      <c r="T986" s="38"/>
    </row>
    <row r="987" spans="1:20" ht="15.75">
      <c r="A987" s="13">
        <v>71193</v>
      </c>
      <c r="B987" s="46">
        <f t="shared" si="6"/>
        <v>30</v>
      </c>
      <c r="C987" s="37">
        <v>122.58</v>
      </c>
      <c r="D987" s="37">
        <v>297.94099999999997</v>
      </c>
      <c r="E987" s="43">
        <v>729.47900000000004</v>
      </c>
      <c r="F987" s="37">
        <v>1150</v>
      </c>
      <c r="G987" s="37">
        <v>100</v>
      </c>
      <c r="H987" s="45">
        <v>600</v>
      </c>
      <c r="I987" s="37">
        <v>695</v>
      </c>
      <c r="J987" s="37">
        <v>50</v>
      </c>
      <c r="K987" s="38"/>
      <c r="L987" s="38"/>
      <c r="M987" s="38"/>
      <c r="N987" s="38"/>
      <c r="O987" s="38"/>
      <c r="P987" s="38"/>
      <c r="Q987" s="38"/>
      <c r="R987" s="38"/>
      <c r="S987" s="38"/>
      <c r="T987" s="38"/>
    </row>
    <row r="988" spans="1:20" ht="15.75">
      <c r="A988" s="13">
        <v>71224</v>
      </c>
      <c r="B988" s="46">
        <f t="shared" si="6"/>
        <v>31</v>
      </c>
      <c r="C988" s="37">
        <v>122.58</v>
      </c>
      <c r="D988" s="37">
        <v>297.94099999999997</v>
      </c>
      <c r="E988" s="43">
        <v>729.47900000000004</v>
      </c>
      <c r="F988" s="37">
        <v>1150</v>
      </c>
      <c r="G988" s="37">
        <v>100</v>
      </c>
      <c r="H988" s="45">
        <v>600</v>
      </c>
      <c r="I988" s="37">
        <v>695</v>
      </c>
      <c r="J988" s="37">
        <v>50</v>
      </c>
      <c r="K988" s="38"/>
      <c r="L988" s="38"/>
      <c r="M988" s="38"/>
      <c r="N988" s="38"/>
      <c r="O988" s="38"/>
      <c r="P988" s="38"/>
      <c r="Q988" s="38"/>
      <c r="R988" s="38"/>
      <c r="S988" s="38"/>
      <c r="T988" s="38"/>
    </row>
    <row r="989" spans="1:20" ht="15.75">
      <c r="A989" s="13">
        <v>71255</v>
      </c>
      <c r="B989" s="46">
        <f t="shared" si="6"/>
        <v>31</v>
      </c>
      <c r="C989" s="37">
        <v>122.58</v>
      </c>
      <c r="D989" s="37">
        <v>297.94099999999997</v>
      </c>
      <c r="E989" s="43">
        <v>729.47900000000004</v>
      </c>
      <c r="F989" s="37">
        <v>1150</v>
      </c>
      <c r="G989" s="37">
        <v>100</v>
      </c>
      <c r="H989" s="45">
        <v>600</v>
      </c>
      <c r="I989" s="37">
        <v>695</v>
      </c>
      <c r="J989" s="37">
        <v>50</v>
      </c>
      <c r="K989" s="38"/>
      <c r="L989" s="38"/>
      <c r="M989" s="38"/>
      <c r="N989" s="38"/>
      <c r="O989" s="38"/>
      <c r="P989" s="38"/>
      <c r="Q989" s="38"/>
      <c r="R989" s="38"/>
      <c r="S989" s="38"/>
      <c r="T989" s="38"/>
    </row>
    <row r="990" spans="1:20" ht="15.75">
      <c r="A990" s="13">
        <v>71283</v>
      </c>
      <c r="B990" s="46">
        <f t="shared" si="6"/>
        <v>28</v>
      </c>
      <c r="C990" s="37">
        <v>122.58</v>
      </c>
      <c r="D990" s="37">
        <v>297.94099999999997</v>
      </c>
      <c r="E990" s="43">
        <v>729.47900000000004</v>
      </c>
      <c r="F990" s="37">
        <v>1150</v>
      </c>
      <c r="G990" s="37">
        <v>100</v>
      </c>
      <c r="H990" s="45">
        <v>600</v>
      </c>
      <c r="I990" s="37">
        <v>695</v>
      </c>
      <c r="J990" s="37">
        <v>50</v>
      </c>
      <c r="K990" s="38"/>
      <c r="L990" s="38"/>
      <c r="M990" s="38"/>
      <c r="N990" s="38"/>
      <c r="O990" s="38"/>
      <c r="P990" s="38"/>
      <c r="Q990" s="38"/>
      <c r="R990" s="38"/>
      <c r="S990" s="38"/>
      <c r="T990" s="38"/>
    </row>
    <row r="991" spans="1:20" ht="15.75">
      <c r="A991" s="13">
        <v>71314</v>
      </c>
      <c r="B991" s="46">
        <f t="shared" si="6"/>
        <v>31</v>
      </c>
      <c r="C991" s="37">
        <v>122.58</v>
      </c>
      <c r="D991" s="37">
        <v>297.94099999999997</v>
      </c>
      <c r="E991" s="43">
        <v>729.47900000000004</v>
      </c>
      <c r="F991" s="37">
        <v>1150</v>
      </c>
      <c r="G991" s="37">
        <v>100</v>
      </c>
      <c r="H991" s="45">
        <v>600</v>
      </c>
      <c r="I991" s="37">
        <v>695</v>
      </c>
      <c r="J991" s="37">
        <v>50</v>
      </c>
      <c r="K991" s="38"/>
      <c r="L991" s="38"/>
      <c r="M991" s="38"/>
      <c r="N991" s="38"/>
      <c r="O991" s="38"/>
      <c r="P991" s="38"/>
      <c r="Q991" s="38"/>
      <c r="R991" s="38"/>
      <c r="S991" s="38"/>
      <c r="T991" s="38"/>
    </row>
    <row r="992" spans="1:20" ht="15.75">
      <c r="A992" s="13">
        <v>71344</v>
      </c>
      <c r="B992" s="46">
        <f t="shared" si="6"/>
        <v>30</v>
      </c>
      <c r="C992" s="37">
        <v>141.29300000000001</v>
      </c>
      <c r="D992" s="37">
        <v>267.99299999999999</v>
      </c>
      <c r="E992" s="43">
        <v>829.71400000000006</v>
      </c>
      <c r="F992" s="37">
        <v>1239</v>
      </c>
      <c r="G992" s="37">
        <v>100</v>
      </c>
      <c r="H992" s="45">
        <v>600</v>
      </c>
      <c r="I992" s="37">
        <v>695</v>
      </c>
      <c r="J992" s="37">
        <v>50</v>
      </c>
      <c r="K992" s="38"/>
      <c r="L992" s="38"/>
      <c r="M992" s="38"/>
      <c r="N992" s="38"/>
      <c r="O992" s="38"/>
      <c r="P992" s="38"/>
      <c r="Q992" s="38"/>
      <c r="R992" s="38"/>
      <c r="S992" s="38"/>
      <c r="T992" s="38"/>
    </row>
    <row r="993" spans="1:20" ht="15.75">
      <c r="A993" s="13">
        <v>71375</v>
      </c>
      <c r="B993" s="46">
        <f t="shared" si="6"/>
        <v>31</v>
      </c>
      <c r="C993" s="37">
        <v>194.20500000000001</v>
      </c>
      <c r="D993" s="37">
        <v>267.46600000000001</v>
      </c>
      <c r="E993" s="43">
        <v>812.32899999999995</v>
      </c>
      <c r="F993" s="37">
        <v>1274</v>
      </c>
      <c r="G993" s="37">
        <v>75</v>
      </c>
      <c r="H993" s="45">
        <v>600</v>
      </c>
      <c r="I993" s="37">
        <v>695</v>
      </c>
      <c r="J993" s="37">
        <v>50</v>
      </c>
      <c r="K993" s="38"/>
      <c r="L993" s="38"/>
      <c r="M993" s="38"/>
      <c r="N993" s="38"/>
      <c r="O993" s="38"/>
      <c r="P993" s="38"/>
      <c r="Q993" s="38"/>
      <c r="R993" s="38"/>
      <c r="S993" s="38"/>
      <c r="T993" s="38"/>
    </row>
    <row r="994" spans="1:20" ht="15.75">
      <c r="A994" s="13">
        <v>71405</v>
      </c>
      <c r="B994" s="46">
        <f t="shared" si="6"/>
        <v>30</v>
      </c>
      <c r="C994" s="37">
        <v>194.20500000000001</v>
      </c>
      <c r="D994" s="37">
        <v>267.46600000000001</v>
      </c>
      <c r="E994" s="43">
        <v>812.32899999999995</v>
      </c>
      <c r="F994" s="37">
        <v>1274</v>
      </c>
      <c r="G994" s="37">
        <v>50</v>
      </c>
      <c r="H994" s="45">
        <v>600</v>
      </c>
      <c r="I994" s="37">
        <v>695</v>
      </c>
      <c r="J994" s="37">
        <v>50</v>
      </c>
      <c r="K994" s="38"/>
      <c r="L994" s="38"/>
      <c r="M994" s="38"/>
      <c r="N994" s="38"/>
      <c r="O994" s="38"/>
      <c r="P994" s="38"/>
      <c r="Q994" s="38"/>
      <c r="R994" s="38"/>
      <c r="S994" s="38"/>
      <c r="T994" s="38"/>
    </row>
    <row r="995" spans="1:20" ht="15.75">
      <c r="A995" s="13">
        <v>71436</v>
      </c>
      <c r="B995" s="46">
        <f t="shared" si="6"/>
        <v>31</v>
      </c>
      <c r="C995" s="37">
        <v>194.20500000000001</v>
      </c>
      <c r="D995" s="37">
        <v>267.46600000000001</v>
      </c>
      <c r="E995" s="43">
        <v>812.32899999999995</v>
      </c>
      <c r="F995" s="37">
        <v>1274</v>
      </c>
      <c r="G995" s="37">
        <v>50</v>
      </c>
      <c r="H995" s="45">
        <v>600</v>
      </c>
      <c r="I995" s="37">
        <v>695</v>
      </c>
      <c r="J995" s="37">
        <v>0</v>
      </c>
      <c r="K995" s="38"/>
      <c r="L995" s="38"/>
      <c r="M995" s="38"/>
      <c r="N995" s="38"/>
      <c r="O995" s="38"/>
      <c r="P995" s="38"/>
      <c r="Q995" s="38"/>
      <c r="R995" s="38"/>
      <c r="S995" s="38"/>
      <c r="T995" s="38"/>
    </row>
    <row r="996" spans="1:20" ht="15.75">
      <c r="A996" s="13">
        <v>71467</v>
      </c>
      <c r="B996" s="46">
        <f t="shared" si="6"/>
        <v>31</v>
      </c>
      <c r="C996" s="37">
        <v>194.20500000000001</v>
      </c>
      <c r="D996" s="37">
        <v>267.46600000000001</v>
      </c>
      <c r="E996" s="43">
        <v>812.32899999999995</v>
      </c>
      <c r="F996" s="37">
        <v>1274</v>
      </c>
      <c r="G996" s="37">
        <v>50</v>
      </c>
      <c r="H996" s="45">
        <v>600</v>
      </c>
      <c r="I996" s="37">
        <v>695</v>
      </c>
      <c r="J996" s="37">
        <v>0</v>
      </c>
      <c r="K996" s="38"/>
      <c r="L996" s="38"/>
      <c r="M996" s="38"/>
      <c r="N996" s="38"/>
      <c r="O996" s="38"/>
      <c r="P996" s="38"/>
      <c r="Q996" s="38"/>
      <c r="R996" s="38"/>
      <c r="S996" s="38"/>
      <c r="T996" s="38"/>
    </row>
    <row r="997" spans="1:20" ht="15.75">
      <c r="A997" s="13">
        <v>71497</v>
      </c>
      <c r="B997" s="46">
        <f t="shared" si="6"/>
        <v>30</v>
      </c>
      <c r="C997" s="37">
        <v>194.20500000000001</v>
      </c>
      <c r="D997" s="37">
        <v>267.46600000000001</v>
      </c>
      <c r="E997" s="43">
        <v>812.32899999999995</v>
      </c>
      <c r="F997" s="37">
        <v>1274</v>
      </c>
      <c r="G997" s="37">
        <v>50</v>
      </c>
      <c r="H997" s="45">
        <v>600</v>
      </c>
      <c r="I997" s="37">
        <v>695</v>
      </c>
      <c r="J997" s="37">
        <v>0</v>
      </c>
      <c r="K997" s="38"/>
      <c r="L997" s="38"/>
      <c r="M997" s="38"/>
      <c r="N997" s="38"/>
      <c r="O997" s="38"/>
      <c r="P997" s="38"/>
      <c r="Q997" s="38"/>
      <c r="R997" s="38"/>
      <c r="S997" s="38"/>
      <c r="T997" s="38"/>
    </row>
    <row r="998" spans="1:20" ht="15.75">
      <c r="A998" s="13">
        <v>71528</v>
      </c>
      <c r="B998" s="46">
        <f t="shared" si="6"/>
        <v>31</v>
      </c>
      <c r="C998" s="37">
        <v>131.881</v>
      </c>
      <c r="D998" s="37">
        <v>277.16699999999997</v>
      </c>
      <c r="E998" s="43">
        <v>829.952</v>
      </c>
      <c r="F998" s="37">
        <v>1239</v>
      </c>
      <c r="G998" s="37">
        <v>75</v>
      </c>
      <c r="H998" s="45">
        <v>600</v>
      </c>
      <c r="I998" s="37">
        <v>695</v>
      </c>
      <c r="J998" s="37">
        <v>0</v>
      </c>
      <c r="K998" s="38"/>
      <c r="L998" s="38"/>
      <c r="M998" s="38"/>
      <c r="N998" s="38"/>
      <c r="O998" s="38"/>
      <c r="P998" s="38"/>
      <c r="Q998" s="38"/>
      <c r="R998" s="38"/>
      <c r="S998" s="38"/>
      <c r="T998" s="38"/>
    </row>
    <row r="999" spans="1:20" ht="15.75">
      <c r="A999" s="13">
        <v>71558</v>
      </c>
      <c r="B999" s="46">
        <f t="shared" si="6"/>
        <v>30</v>
      </c>
      <c r="C999" s="37">
        <v>122.58</v>
      </c>
      <c r="D999" s="37">
        <v>297.94099999999997</v>
      </c>
      <c r="E999" s="43">
        <v>729.47900000000004</v>
      </c>
      <c r="F999" s="37">
        <v>1150</v>
      </c>
      <c r="G999" s="37">
        <v>100</v>
      </c>
      <c r="H999" s="45">
        <v>600</v>
      </c>
      <c r="I999" s="37">
        <v>695</v>
      </c>
      <c r="J999" s="37">
        <v>50</v>
      </c>
      <c r="K999" s="38"/>
      <c r="L999" s="38"/>
      <c r="M999" s="38"/>
      <c r="N999" s="38"/>
      <c r="O999" s="38"/>
      <c r="P999" s="38"/>
      <c r="Q999" s="38"/>
      <c r="R999" s="38"/>
      <c r="S999" s="38"/>
      <c r="T999" s="38"/>
    </row>
    <row r="1000" spans="1:20" ht="15.75">
      <c r="A1000" s="13">
        <v>71589</v>
      </c>
      <c r="B1000" s="46">
        <f t="shared" si="6"/>
        <v>31</v>
      </c>
      <c r="C1000" s="37">
        <v>122.58</v>
      </c>
      <c r="D1000" s="37">
        <v>297.94099999999997</v>
      </c>
      <c r="E1000" s="43">
        <v>729.47900000000004</v>
      </c>
      <c r="F1000" s="37">
        <v>1150</v>
      </c>
      <c r="G1000" s="37">
        <v>100</v>
      </c>
      <c r="H1000" s="45">
        <v>600</v>
      </c>
      <c r="I1000" s="37">
        <v>695</v>
      </c>
      <c r="J1000" s="37">
        <v>50</v>
      </c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</row>
    <row r="1001" spans="1:20" ht="15.75">
      <c r="A1001" s="13">
        <v>71620</v>
      </c>
      <c r="B1001" s="46">
        <f t="shared" si="6"/>
        <v>31</v>
      </c>
      <c r="C1001" s="37">
        <v>122.58</v>
      </c>
      <c r="D1001" s="37">
        <v>297.94099999999997</v>
      </c>
      <c r="E1001" s="43">
        <v>729.47900000000004</v>
      </c>
      <c r="F1001" s="37">
        <v>1150</v>
      </c>
      <c r="G1001" s="37">
        <v>100</v>
      </c>
      <c r="H1001" s="45">
        <v>600</v>
      </c>
      <c r="I1001" s="37">
        <v>695</v>
      </c>
      <c r="J1001" s="37">
        <v>50</v>
      </c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</row>
    <row r="1002" spans="1:20" ht="15.75">
      <c r="A1002" s="13">
        <v>71649</v>
      </c>
      <c r="B1002" s="46">
        <f t="shared" si="6"/>
        <v>29</v>
      </c>
      <c r="C1002" s="37">
        <v>122.58</v>
      </c>
      <c r="D1002" s="37">
        <v>297.94099999999997</v>
      </c>
      <c r="E1002" s="43">
        <v>729.47900000000004</v>
      </c>
      <c r="F1002" s="37">
        <v>1150</v>
      </c>
      <c r="G1002" s="37">
        <v>100</v>
      </c>
      <c r="H1002" s="45">
        <v>600</v>
      </c>
      <c r="I1002" s="37">
        <v>695</v>
      </c>
      <c r="J1002" s="37">
        <v>50</v>
      </c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</row>
    <row r="1003" spans="1:20" ht="15.75">
      <c r="A1003" s="13">
        <v>71680</v>
      </c>
      <c r="B1003" s="46">
        <f t="shared" si="6"/>
        <v>31</v>
      </c>
      <c r="C1003" s="37">
        <v>122.58</v>
      </c>
      <c r="D1003" s="37">
        <v>297.94099999999997</v>
      </c>
      <c r="E1003" s="43">
        <v>729.47900000000004</v>
      </c>
      <c r="F1003" s="37">
        <v>1150</v>
      </c>
      <c r="G1003" s="37">
        <v>100</v>
      </c>
      <c r="H1003" s="45">
        <v>600</v>
      </c>
      <c r="I1003" s="37">
        <v>695</v>
      </c>
      <c r="J1003" s="37">
        <v>50</v>
      </c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</row>
    <row r="1004" spans="1:20" ht="15.75">
      <c r="A1004" s="13">
        <v>71710</v>
      </c>
      <c r="B1004" s="46">
        <f t="shared" si="6"/>
        <v>30</v>
      </c>
      <c r="C1004" s="37">
        <v>141.29300000000001</v>
      </c>
      <c r="D1004" s="37">
        <v>267.99299999999999</v>
      </c>
      <c r="E1004" s="43">
        <v>829.71400000000006</v>
      </c>
      <c r="F1004" s="37">
        <v>1239</v>
      </c>
      <c r="G1004" s="37">
        <v>100</v>
      </c>
      <c r="H1004" s="45">
        <v>600</v>
      </c>
      <c r="I1004" s="37">
        <v>695</v>
      </c>
      <c r="J1004" s="37">
        <v>50</v>
      </c>
      <c r="K1004" s="38"/>
      <c r="L1004" s="38"/>
      <c r="M1004" s="38"/>
      <c r="N1004" s="38"/>
      <c r="O1004" s="38"/>
      <c r="P1004" s="38"/>
      <c r="Q1004" s="38"/>
      <c r="R1004" s="38"/>
      <c r="S1004" s="38"/>
      <c r="T1004" s="38"/>
    </row>
    <row r="1005" spans="1:20" ht="15.75">
      <c r="A1005" s="13">
        <v>71741</v>
      </c>
      <c r="B1005" s="46">
        <f t="shared" si="6"/>
        <v>31</v>
      </c>
      <c r="C1005" s="37">
        <v>194.20500000000001</v>
      </c>
      <c r="D1005" s="37">
        <v>267.46600000000001</v>
      </c>
      <c r="E1005" s="43">
        <v>812.32899999999995</v>
      </c>
      <c r="F1005" s="37">
        <v>1274</v>
      </c>
      <c r="G1005" s="37">
        <v>75</v>
      </c>
      <c r="H1005" s="45">
        <v>600</v>
      </c>
      <c r="I1005" s="37">
        <v>695</v>
      </c>
      <c r="J1005" s="37">
        <v>50</v>
      </c>
      <c r="K1005" s="38"/>
      <c r="L1005" s="38"/>
      <c r="M1005" s="38"/>
      <c r="N1005" s="38"/>
      <c r="O1005" s="38"/>
      <c r="P1005" s="38"/>
      <c r="Q1005" s="38"/>
      <c r="R1005" s="38"/>
      <c r="S1005" s="38"/>
      <c r="T1005" s="38"/>
    </row>
    <row r="1006" spans="1:20" ht="15.75">
      <c r="A1006" s="13">
        <v>71771</v>
      </c>
      <c r="B1006" s="46">
        <f t="shared" si="6"/>
        <v>30</v>
      </c>
      <c r="C1006" s="37">
        <v>194.20500000000001</v>
      </c>
      <c r="D1006" s="37">
        <v>267.46600000000001</v>
      </c>
      <c r="E1006" s="43">
        <v>812.32899999999995</v>
      </c>
      <c r="F1006" s="37">
        <v>1274</v>
      </c>
      <c r="G1006" s="37">
        <v>50</v>
      </c>
      <c r="H1006" s="45">
        <v>600</v>
      </c>
      <c r="I1006" s="37">
        <v>695</v>
      </c>
      <c r="J1006" s="37">
        <v>50</v>
      </c>
      <c r="K1006" s="38"/>
      <c r="L1006" s="38"/>
      <c r="M1006" s="38"/>
      <c r="N1006" s="38"/>
      <c r="O1006" s="38"/>
      <c r="P1006" s="38"/>
      <c r="Q1006" s="38"/>
      <c r="R1006" s="38"/>
      <c r="S1006" s="38"/>
      <c r="T1006" s="38"/>
    </row>
    <row r="1007" spans="1:20" ht="15.75">
      <c r="A1007" s="13">
        <v>71802</v>
      </c>
      <c r="B1007" s="46">
        <f t="shared" si="6"/>
        <v>31</v>
      </c>
      <c r="C1007" s="37">
        <v>194.20500000000001</v>
      </c>
      <c r="D1007" s="37">
        <v>267.46600000000001</v>
      </c>
      <c r="E1007" s="43">
        <v>812.32899999999995</v>
      </c>
      <c r="F1007" s="37">
        <v>1274</v>
      </c>
      <c r="G1007" s="37">
        <v>50</v>
      </c>
      <c r="H1007" s="45">
        <v>600</v>
      </c>
      <c r="I1007" s="37">
        <v>695</v>
      </c>
      <c r="J1007" s="37">
        <v>0</v>
      </c>
      <c r="K1007" s="38"/>
      <c r="L1007" s="38"/>
      <c r="M1007" s="38"/>
      <c r="N1007" s="38"/>
      <c r="O1007" s="38"/>
      <c r="P1007" s="38"/>
      <c r="Q1007" s="38"/>
      <c r="R1007" s="38"/>
      <c r="S1007" s="38"/>
      <c r="T1007" s="38"/>
    </row>
    <row r="1008" spans="1:20" ht="15.75">
      <c r="A1008" s="13">
        <v>71833</v>
      </c>
      <c r="B1008" s="46">
        <f t="shared" si="6"/>
        <v>31</v>
      </c>
      <c r="C1008" s="37">
        <v>194.20500000000001</v>
      </c>
      <c r="D1008" s="37">
        <v>267.46600000000001</v>
      </c>
      <c r="E1008" s="43">
        <v>812.32899999999995</v>
      </c>
      <c r="F1008" s="37">
        <v>1274</v>
      </c>
      <c r="G1008" s="37">
        <v>50</v>
      </c>
      <c r="H1008" s="45">
        <v>600</v>
      </c>
      <c r="I1008" s="37">
        <v>695</v>
      </c>
      <c r="J1008" s="37">
        <v>0</v>
      </c>
      <c r="K1008" s="38"/>
      <c r="L1008" s="38"/>
      <c r="M1008" s="38"/>
      <c r="N1008" s="38"/>
      <c r="O1008" s="38"/>
      <c r="P1008" s="38"/>
      <c r="Q1008" s="38"/>
      <c r="R1008" s="38"/>
      <c r="S1008" s="38"/>
      <c r="T1008" s="38"/>
    </row>
    <row r="1009" spans="1:20" ht="15.75">
      <c r="A1009" s="13">
        <v>71863</v>
      </c>
      <c r="B1009" s="46">
        <f t="shared" si="6"/>
        <v>30</v>
      </c>
      <c r="C1009" s="37">
        <v>194.20500000000001</v>
      </c>
      <c r="D1009" s="37">
        <v>267.46600000000001</v>
      </c>
      <c r="E1009" s="43">
        <v>812.32899999999995</v>
      </c>
      <c r="F1009" s="37">
        <v>1274</v>
      </c>
      <c r="G1009" s="37">
        <v>50</v>
      </c>
      <c r="H1009" s="45">
        <v>600</v>
      </c>
      <c r="I1009" s="37">
        <v>695</v>
      </c>
      <c r="J1009" s="37">
        <v>0</v>
      </c>
      <c r="K1009" s="38"/>
      <c r="L1009" s="38"/>
      <c r="M1009" s="38"/>
      <c r="N1009" s="38"/>
      <c r="O1009" s="38"/>
      <c r="P1009" s="38"/>
      <c r="Q1009" s="38"/>
      <c r="R1009" s="38"/>
      <c r="S1009" s="38"/>
      <c r="T1009" s="38"/>
    </row>
    <row r="1010" spans="1:20" ht="15.75">
      <c r="A1010" s="13">
        <v>71894</v>
      </c>
      <c r="B1010" s="46">
        <f t="shared" si="6"/>
        <v>31</v>
      </c>
      <c r="C1010" s="37">
        <v>131.881</v>
      </c>
      <c r="D1010" s="37">
        <v>277.16699999999997</v>
      </c>
      <c r="E1010" s="43">
        <v>829.952</v>
      </c>
      <c r="F1010" s="37">
        <v>1239</v>
      </c>
      <c r="G1010" s="37">
        <v>75</v>
      </c>
      <c r="H1010" s="45">
        <v>600</v>
      </c>
      <c r="I1010" s="37">
        <v>695</v>
      </c>
      <c r="J1010" s="37">
        <v>0</v>
      </c>
      <c r="K1010" s="38"/>
      <c r="L1010" s="38"/>
      <c r="M1010" s="38"/>
      <c r="N1010" s="38"/>
      <c r="O1010" s="38"/>
      <c r="P1010" s="38"/>
      <c r="Q1010" s="38"/>
      <c r="R1010" s="38"/>
      <c r="S1010" s="38"/>
      <c r="T1010" s="38"/>
    </row>
    <row r="1011" spans="1:20" ht="15.75">
      <c r="A1011" s="13">
        <v>71924</v>
      </c>
      <c r="B1011" s="46">
        <f t="shared" si="6"/>
        <v>30</v>
      </c>
      <c r="C1011" s="37">
        <v>122.58</v>
      </c>
      <c r="D1011" s="37">
        <v>297.94099999999997</v>
      </c>
      <c r="E1011" s="43">
        <v>729.47900000000004</v>
      </c>
      <c r="F1011" s="37">
        <v>1150</v>
      </c>
      <c r="G1011" s="37">
        <v>100</v>
      </c>
      <c r="H1011" s="45">
        <v>600</v>
      </c>
      <c r="I1011" s="37">
        <v>695</v>
      </c>
      <c r="J1011" s="37">
        <v>50</v>
      </c>
      <c r="K1011" s="38"/>
      <c r="L1011" s="38"/>
      <c r="M1011" s="38"/>
      <c r="N1011" s="38"/>
      <c r="O1011" s="38"/>
      <c r="P1011" s="38"/>
      <c r="Q1011" s="38"/>
      <c r="R1011" s="38"/>
      <c r="S1011" s="38"/>
      <c r="T1011" s="38"/>
    </row>
    <row r="1012" spans="1:20" ht="15.75">
      <c r="A1012" s="13">
        <v>71955</v>
      </c>
      <c r="B1012" s="46">
        <f t="shared" si="6"/>
        <v>31</v>
      </c>
      <c r="C1012" s="37">
        <v>122.58</v>
      </c>
      <c r="D1012" s="37">
        <v>297.94099999999997</v>
      </c>
      <c r="E1012" s="43">
        <v>729.47900000000004</v>
      </c>
      <c r="F1012" s="37">
        <v>1150</v>
      </c>
      <c r="G1012" s="37">
        <v>100</v>
      </c>
      <c r="H1012" s="45">
        <v>600</v>
      </c>
      <c r="I1012" s="37">
        <v>695</v>
      </c>
      <c r="J1012" s="37">
        <v>50</v>
      </c>
      <c r="K1012" s="38"/>
      <c r="L1012" s="38"/>
      <c r="M1012" s="38"/>
      <c r="N1012" s="38"/>
      <c r="O1012" s="38"/>
      <c r="P1012" s="38"/>
      <c r="Q1012" s="38"/>
      <c r="R1012" s="38"/>
      <c r="S1012" s="38"/>
      <c r="T1012" s="38"/>
    </row>
    <row r="1013" spans="1:20" ht="15.75">
      <c r="A1013" s="13">
        <v>71986</v>
      </c>
      <c r="B1013" s="46">
        <f t="shared" si="6"/>
        <v>31</v>
      </c>
      <c r="C1013" s="37">
        <v>122.58</v>
      </c>
      <c r="D1013" s="37">
        <v>297.94099999999997</v>
      </c>
      <c r="E1013" s="43">
        <v>729.47900000000004</v>
      </c>
      <c r="F1013" s="37">
        <v>1150</v>
      </c>
      <c r="G1013" s="37">
        <v>100</v>
      </c>
      <c r="H1013" s="45">
        <v>600</v>
      </c>
      <c r="I1013" s="37">
        <v>695</v>
      </c>
      <c r="J1013" s="37">
        <v>50</v>
      </c>
      <c r="K1013" s="38"/>
      <c r="L1013" s="38"/>
      <c r="M1013" s="38"/>
      <c r="N1013" s="38"/>
      <c r="O1013" s="38"/>
      <c r="P1013" s="38"/>
      <c r="Q1013" s="38"/>
      <c r="R1013" s="38"/>
      <c r="S1013" s="38"/>
      <c r="T1013" s="38"/>
    </row>
    <row r="1014" spans="1:20" ht="15.75">
      <c r="A1014" s="13">
        <v>72014</v>
      </c>
      <c r="B1014" s="46">
        <f t="shared" si="6"/>
        <v>28</v>
      </c>
      <c r="C1014" s="37">
        <v>122.58</v>
      </c>
      <c r="D1014" s="37">
        <v>297.94099999999997</v>
      </c>
      <c r="E1014" s="43">
        <v>729.47900000000004</v>
      </c>
      <c r="F1014" s="37">
        <v>1150</v>
      </c>
      <c r="G1014" s="37">
        <v>100</v>
      </c>
      <c r="H1014" s="45">
        <v>600</v>
      </c>
      <c r="I1014" s="37">
        <v>695</v>
      </c>
      <c r="J1014" s="37">
        <v>50</v>
      </c>
      <c r="K1014" s="38"/>
      <c r="L1014" s="38"/>
      <c r="M1014" s="38"/>
      <c r="N1014" s="38"/>
      <c r="O1014" s="38"/>
      <c r="P1014" s="38"/>
      <c r="Q1014" s="38"/>
      <c r="R1014" s="38"/>
      <c r="S1014" s="38"/>
      <c r="T1014" s="38"/>
    </row>
    <row r="1015" spans="1:20" ht="15.75">
      <c r="A1015" s="13">
        <v>72045</v>
      </c>
      <c r="B1015" s="46">
        <f t="shared" si="6"/>
        <v>31</v>
      </c>
      <c r="C1015" s="37">
        <v>122.58</v>
      </c>
      <c r="D1015" s="37">
        <v>297.94099999999997</v>
      </c>
      <c r="E1015" s="43">
        <v>729.47900000000004</v>
      </c>
      <c r="F1015" s="37">
        <v>1150</v>
      </c>
      <c r="G1015" s="37">
        <v>100</v>
      </c>
      <c r="H1015" s="45">
        <v>600</v>
      </c>
      <c r="I1015" s="37">
        <v>695</v>
      </c>
      <c r="J1015" s="37">
        <v>50</v>
      </c>
      <c r="K1015" s="38"/>
      <c r="L1015" s="38"/>
      <c r="M1015" s="38"/>
      <c r="N1015" s="38"/>
      <c r="O1015" s="38"/>
      <c r="P1015" s="38"/>
      <c r="Q1015" s="38"/>
      <c r="R1015" s="38"/>
      <c r="S1015" s="38"/>
      <c r="T1015" s="38"/>
    </row>
    <row r="1016" spans="1:20" ht="15.75">
      <c r="A1016" s="13">
        <v>72075</v>
      </c>
      <c r="B1016" s="46">
        <f t="shared" si="6"/>
        <v>30</v>
      </c>
      <c r="C1016" s="37">
        <v>141.29300000000001</v>
      </c>
      <c r="D1016" s="37">
        <v>267.99299999999999</v>
      </c>
      <c r="E1016" s="43">
        <v>829.71400000000006</v>
      </c>
      <c r="F1016" s="37">
        <v>1239</v>
      </c>
      <c r="G1016" s="37">
        <v>100</v>
      </c>
      <c r="H1016" s="45">
        <v>600</v>
      </c>
      <c r="I1016" s="37">
        <v>695</v>
      </c>
      <c r="J1016" s="37">
        <v>50</v>
      </c>
      <c r="K1016" s="38"/>
      <c r="L1016" s="38"/>
      <c r="M1016" s="38"/>
      <c r="N1016" s="38"/>
      <c r="O1016" s="38"/>
      <c r="P1016" s="38"/>
      <c r="Q1016" s="38"/>
      <c r="R1016" s="38"/>
      <c r="S1016" s="38"/>
      <c r="T1016" s="38"/>
    </row>
    <row r="1017" spans="1:20" ht="15.75">
      <c r="A1017" s="13">
        <v>72106</v>
      </c>
      <c r="B1017" s="46">
        <f t="shared" si="6"/>
        <v>31</v>
      </c>
      <c r="C1017" s="37">
        <v>194.20500000000001</v>
      </c>
      <c r="D1017" s="37">
        <v>267.46600000000001</v>
      </c>
      <c r="E1017" s="43">
        <v>812.32899999999995</v>
      </c>
      <c r="F1017" s="37">
        <v>1274</v>
      </c>
      <c r="G1017" s="37">
        <v>75</v>
      </c>
      <c r="H1017" s="45">
        <v>600</v>
      </c>
      <c r="I1017" s="37">
        <v>695</v>
      </c>
      <c r="J1017" s="37">
        <v>50</v>
      </c>
      <c r="K1017" s="38"/>
      <c r="L1017" s="38"/>
      <c r="M1017" s="38"/>
      <c r="N1017" s="38"/>
      <c r="O1017" s="38"/>
      <c r="P1017" s="38"/>
      <c r="Q1017" s="38"/>
      <c r="R1017" s="38"/>
      <c r="S1017" s="38"/>
      <c r="T1017" s="38"/>
    </row>
    <row r="1018" spans="1:20" ht="15.75">
      <c r="A1018" s="13">
        <v>72136</v>
      </c>
      <c r="B1018" s="46">
        <f t="shared" si="6"/>
        <v>30</v>
      </c>
      <c r="C1018" s="37">
        <v>194.20500000000001</v>
      </c>
      <c r="D1018" s="37">
        <v>267.46600000000001</v>
      </c>
      <c r="E1018" s="43">
        <v>812.32899999999995</v>
      </c>
      <c r="F1018" s="37">
        <v>1274</v>
      </c>
      <c r="G1018" s="37">
        <v>50</v>
      </c>
      <c r="H1018" s="45">
        <v>600</v>
      </c>
      <c r="I1018" s="37">
        <v>695</v>
      </c>
      <c r="J1018" s="37">
        <v>50</v>
      </c>
      <c r="K1018" s="38"/>
      <c r="L1018" s="38"/>
      <c r="M1018" s="38"/>
      <c r="N1018" s="38"/>
      <c r="O1018" s="38"/>
      <c r="P1018" s="38"/>
      <c r="Q1018" s="38"/>
      <c r="R1018" s="38"/>
      <c r="S1018" s="38"/>
      <c r="T1018" s="38"/>
    </row>
    <row r="1019" spans="1:20" ht="15.75">
      <c r="A1019" s="13">
        <v>72167</v>
      </c>
      <c r="B1019" s="46">
        <f t="shared" si="6"/>
        <v>31</v>
      </c>
      <c r="C1019" s="37">
        <v>194.20500000000001</v>
      </c>
      <c r="D1019" s="37">
        <v>267.46600000000001</v>
      </c>
      <c r="E1019" s="43">
        <v>812.32899999999995</v>
      </c>
      <c r="F1019" s="37">
        <v>1274</v>
      </c>
      <c r="G1019" s="37">
        <v>50</v>
      </c>
      <c r="H1019" s="45">
        <v>600</v>
      </c>
      <c r="I1019" s="37">
        <v>695</v>
      </c>
      <c r="J1019" s="37">
        <v>0</v>
      </c>
      <c r="K1019" s="38"/>
      <c r="L1019" s="38"/>
      <c r="M1019" s="38"/>
      <c r="N1019" s="38"/>
      <c r="O1019" s="38"/>
      <c r="P1019" s="38"/>
      <c r="Q1019" s="38"/>
      <c r="R1019" s="38"/>
      <c r="S1019" s="38"/>
      <c r="T1019" s="38"/>
    </row>
    <row r="1020" spans="1:20" ht="15.75">
      <c r="A1020" s="13">
        <v>72198</v>
      </c>
      <c r="B1020" s="46">
        <f t="shared" si="6"/>
        <v>31</v>
      </c>
      <c r="C1020" s="37">
        <v>194.20500000000001</v>
      </c>
      <c r="D1020" s="37">
        <v>267.46600000000001</v>
      </c>
      <c r="E1020" s="43">
        <v>812.32899999999995</v>
      </c>
      <c r="F1020" s="37">
        <v>1274</v>
      </c>
      <c r="G1020" s="37">
        <v>50</v>
      </c>
      <c r="H1020" s="45">
        <v>600</v>
      </c>
      <c r="I1020" s="37">
        <v>695</v>
      </c>
      <c r="J1020" s="37">
        <v>0</v>
      </c>
      <c r="K1020" s="38"/>
      <c r="L1020" s="38"/>
      <c r="M1020" s="38"/>
      <c r="N1020" s="38"/>
      <c r="O1020" s="38"/>
      <c r="P1020" s="38"/>
      <c r="Q1020" s="38"/>
      <c r="R1020" s="38"/>
      <c r="S1020" s="38"/>
      <c r="T1020" s="38"/>
    </row>
    <row r="1021" spans="1:20" ht="15.75">
      <c r="A1021" s="13">
        <v>72228</v>
      </c>
      <c r="B1021" s="46">
        <f t="shared" si="6"/>
        <v>30</v>
      </c>
      <c r="C1021" s="37">
        <v>194.20500000000001</v>
      </c>
      <c r="D1021" s="37">
        <v>267.46600000000001</v>
      </c>
      <c r="E1021" s="43">
        <v>812.32899999999995</v>
      </c>
      <c r="F1021" s="37">
        <v>1274</v>
      </c>
      <c r="G1021" s="37">
        <v>50</v>
      </c>
      <c r="H1021" s="45">
        <v>600</v>
      </c>
      <c r="I1021" s="37">
        <v>695</v>
      </c>
      <c r="J1021" s="37">
        <v>0</v>
      </c>
      <c r="K1021" s="38"/>
      <c r="L1021" s="38"/>
      <c r="M1021" s="38"/>
      <c r="N1021" s="38"/>
      <c r="O1021" s="38"/>
      <c r="P1021" s="38"/>
      <c r="Q1021" s="38"/>
      <c r="R1021" s="38"/>
      <c r="S1021" s="38"/>
      <c r="T1021" s="38"/>
    </row>
    <row r="1022" spans="1:20" ht="15.75">
      <c r="A1022" s="13">
        <v>72259</v>
      </c>
      <c r="B1022" s="46">
        <f t="shared" si="6"/>
        <v>31</v>
      </c>
      <c r="C1022" s="37">
        <v>131.881</v>
      </c>
      <c r="D1022" s="37">
        <v>277.16699999999997</v>
      </c>
      <c r="E1022" s="43">
        <v>829.952</v>
      </c>
      <c r="F1022" s="37">
        <v>1239</v>
      </c>
      <c r="G1022" s="37">
        <v>75</v>
      </c>
      <c r="H1022" s="45">
        <v>600</v>
      </c>
      <c r="I1022" s="37">
        <v>695</v>
      </c>
      <c r="J1022" s="37">
        <v>0</v>
      </c>
      <c r="K1022" s="38"/>
      <c r="L1022" s="38"/>
      <c r="M1022" s="38"/>
      <c r="N1022" s="38"/>
      <c r="O1022" s="38"/>
      <c r="P1022" s="38"/>
      <c r="Q1022" s="38"/>
      <c r="R1022" s="38"/>
      <c r="S1022" s="38"/>
      <c r="T1022" s="38"/>
    </row>
    <row r="1023" spans="1:20" ht="15.75">
      <c r="A1023" s="13">
        <v>72289</v>
      </c>
      <c r="B1023" s="46">
        <f t="shared" si="6"/>
        <v>30</v>
      </c>
      <c r="C1023" s="37">
        <v>122.58</v>
      </c>
      <c r="D1023" s="37">
        <v>297.94099999999997</v>
      </c>
      <c r="E1023" s="43">
        <v>729.47900000000004</v>
      </c>
      <c r="F1023" s="37">
        <v>1150</v>
      </c>
      <c r="G1023" s="37">
        <v>100</v>
      </c>
      <c r="H1023" s="45">
        <v>600</v>
      </c>
      <c r="I1023" s="37">
        <v>695</v>
      </c>
      <c r="J1023" s="37">
        <v>50</v>
      </c>
      <c r="K1023" s="38"/>
      <c r="L1023" s="38"/>
      <c r="M1023" s="38"/>
      <c r="N1023" s="38"/>
      <c r="O1023" s="38"/>
      <c r="P1023" s="38"/>
      <c r="Q1023" s="38"/>
      <c r="R1023" s="38"/>
      <c r="S1023" s="38"/>
      <c r="T1023" s="38"/>
    </row>
    <row r="1024" spans="1:20" ht="15.75">
      <c r="A1024" s="13">
        <v>72320</v>
      </c>
      <c r="B1024" s="46">
        <f t="shared" si="6"/>
        <v>31</v>
      </c>
      <c r="C1024" s="37">
        <v>122.58</v>
      </c>
      <c r="D1024" s="37">
        <v>297.94099999999997</v>
      </c>
      <c r="E1024" s="43">
        <v>729.47900000000004</v>
      </c>
      <c r="F1024" s="37">
        <v>1150</v>
      </c>
      <c r="G1024" s="37">
        <v>100</v>
      </c>
      <c r="H1024" s="45">
        <v>600</v>
      </c>
      <c r="I1024" s="37">
        <v>695</v>
      </c>
      <c r="J1024" s="37">
        <v>50</v>
      </c>
      <c r="K1024" s="38"/>
      <c r="L1024" s="38"/>
      <c r="M1024" s="38"/>
      <c r="N1024" s="38"/>
      <c r="O1024" s="38"/>
      <c r="P1024" s="38"/>
      <c r="Q1024" s="38"/>
      <c r="R1024" s="38"/>
      <c r="S1024" s="38"/>
      <c r="T1024" s="38"/>
    </row>
    <row r="1025" spans="1:20" ht="15.75">
      <c r="A1025" s="13">
        <v>72351</v>
      </c>
      <c r="B1025" s="46">
        <f t="shared" si="6"/>
        <v>31</v>
      </c>
      <c r="C1025" s="37">
        <v>122.58</v>
      </c>
      <c r="D1025" s="37">
        <v>297.94099999999997</v>
      </c>
      <c r="E1025" s="43">
        <v>729.47900000000004</v>
      </c>
      <c r="F1025" s="37">
        <v>1150</v>
      </c>
      <c r="G1025" s="37">
        <v>100</v>
      </c>
      <c r="H1025" s="45">
        <v>600</v>
      </c>
      <c r="I1025" s="37">
        <v>695</v>
      </c>
      <c r="J1025" s="37">
        <v>50</v>
      </c>
      <c r="K1025" s="38"/>
      <c r="L1025" s="38"/>
      <c r="M1025" s="38"/>
      <c r="N1025" s="38"/>
      <c r="O1025" s="38"/>
      <c r="P1025" s="38"/>
      <c r="Q1025" s="38"/>
      <c r="R1025" s="38"/>
      <c r="S1025" s="38"/>
      <c r="T1025" s="38"/>
    </row>
    <row r="1026" spans="1:20" ht="15.75">
      <c r="A1026" s="13">
        <v>72379</v>
      </c>
      <c r="B1026" s="46">
        <f t="shared" si="6"/>
        <v>28</v>
      </c>
      <c r="C1026" s="37">
        <v>122.58</v>
      </c>
      <c r="D1026" s="37">
        <v>297.94099999999997</v>
      </c>
      <c r="E1026" s="43">
        <v>729.47900000000004</v>
      </c>
      <c r="F1026" s="37">
        <v>1150</v>
      </c>
      <c r="G1026" s="37">
        <v>100</v>
      </c>
      <c r="H1026" s="45">
        <v>600</v>
      </c>
      <c r="I1026" s="37">
        <v>695</v>
      </c>
      <c r="J1026" s="37">
        <v>50</v>
      </c>
      <c r="K1026" s="38"/>
      <c r="L1026" s="38"/>
      <c r="M1026" s="38"/>
      <c r="N1026" s="38"/>
      <c r="O1026" s="38"/>
      <c r="P1026" s="38"/>
      <c r="Q1026" s="38"/>
      <c r="R1026" s="38"/>
      <c r="S1026" s="38"/>
      <c r="T1026" s="38"/>
    </row>
    <row r="1027" spans="1:20" ht="15.75">
      <c r="A1027" s="13">
        <v>72410</v>
      </c>
      <c r="B1027" s="46">
        <f t="shared" si="6"/>
        <v>31</v>
      </c>
      <c r="C1027" s="37">
        <v>122.58</v>
      </c>
      <c r="D1027" s="37">
        <v>297.94099999999997</v>
      </c>
      <c r="E1027" s="43">
        <v>729.47900000000004</v>
      </c>
      <c r="F1027" s="37">
        <v>1150</v>
      </c>
      <c r="G1027" s="37">
        <v>100</v>
      </c>
      <c r="H1027" s="45">
        <v>600</v>
      </c>
      <c r="I1027" s="37">
        <v>695</v>
      </c>
      <c r="J1027" s="37">
        <v>50</v>
      </c>
      <c r="K1027" s="38"/>
      <c r="L1027" s="38"/>
      <c r="M1027" s="38"/>
      <c r="N1027" s="38"/>
      <c r="O1027" s="38"/>
      <c r="P1027" s="38"/>
      <c r="Q1027" s="38"/>
      <c r="R1027" s="38"/>
      <c r="S1027" s="38"/>
      <c r="T1027" s="38"/>
    </row>
    <row r="1028" spans="1:20" ht="15.75">
      <c r="A1028" s="13">
        <v>72440</v>
      </c>
      <c r="B1028" s="46">
        <f t="shared" si="6"/>
        <v>30</v>
      </c>
      <c r="C1028" s="37">
        <v>141.29300000000001</v>
      </c>
      <c r="D1028" s="37">
        <v>267.99299999999999</v>
      </c>
      <c r="E1028" s="43">
        <v>829.71400000000006</v>
      </c>
      <c r="F1028" s="37">
        <v>1239</v>
      </c>
      <c r="G1028" s="37">
        <v>100</v>
      </c>
      <c r="H1028" s="45">
        <v>600</v>
      </c>
      <c r="I1028" s="37">
        <v>695</v>
      </c>
      <c r="J1028" s="37">
        <v>50</v>
      </c>
      <c r="K1028" s="38"/>
      <c r="L1028" s="38"/>
      <c r="M1028" s="38"/>
      <c r="N1028" s="38"/>
      <c r="O1028" s="38"/>
      <c r="P1028" s="38"/>
      <c r="Q1028" s="38"/>
      <c r="R1028" s="38"/>
      <c r="S1028" s="38"/>
      <c r="T1028" s="38"/>
    </row>
    <row r="1029" spans="1:20" ht="15.75">
      <c r="A1029" s="13">
        <v>72471</v>
      </c>
      <c r="B1029" s="46">
        <f t="shared" si="6"/>
        <v>31</v>
      </c>
      <c r="C1029" s="37">
        <v>194.20500000000001</v>
      </c>
      <c r="D1029" s="37">
        <v>267.46600000000001</v>
      </c>
      <c r="E1029" s="43">
        <v>812.32899999999995</v>
      </c>
      <c r="F1029" s="37">
        <v>1274</v>
      </c>
      <c r="G1029" s="37">
        <v>75</v>
      </c>
      <c r="H1029" s="45">
        <v>600</v>
      </c>
      <c r="I1029" s="37">
        <v>695</v>
      </c>
      <c r="J1029" s="37">
        <v>50</v>
      </c>
      <c r="K1029" s="38"/>
      <c r="L1029" s="38"/>
      <c r="M1029" s="38"/>
      <c r="N1029" s="38"/>
      <c r="O1029" s="38"/>
      <c r="P1029" s="38"/>
      <c r="Q1029" s="38"/>
      <c r="R1029" s="38"/>
      <c r="S1029" s="38"/>
      <c r="T1029" s="38"/>
    </row>
    <row r="1030" spans="1:20" ht="15.75">
      <c r="A1030" s="13">
        <v>72501</v>
      </c>
      <c r="B1030" s="46">
        <f t="shared" si="6"/>
        <v>30</v>
      </c>
      <c r="C1030" s="37">
        <v>194.20500000000001</v>
      </c>
      <c r="D1030" s="37">
        <v>267.46600000000001</v>
      </c>
      <c r="E1030" s="43">
        <v>812.32899999999995</v>
      </c>
      <c r="F1030" s="37">
        <v>1274</v>
      </c>
      <c r="G1030" s="37">
        <v>50</v>
      </c>
      <c r="H1030" s="45">
        <v>600</v>
      </c>
      <c r="I1030" s="37">
        <v>695</v>
      </c>
      <c r="J1030" s="37">
        <v>50</v>
      </c>
      <c r="K1030" s="38"/>
      <c r="L1030" s="38"/>
      <c r="M1030" s="38"/>
      <c r="N1030" s="38"/>
      <c r="O1030" s="38"/>
      <c r="P1030" s="38"/>
      <c r="Q1030" s="38"/>
      <c r="R1030" s="38"/>
      <c r="S1030" s="38"/>
      <c r="T1030" s="38"/>
    </row>
    <row r="1031" spans="1:20" ht="15.75">
      <c r="A1031" s="13">
        <v>72532</v>
      </c>
      <c r="B1031" s="46">
        <f t="shared" si="6"/>
        <v>31</v>
      </c>
      <c r="C1031" s="37">
        <v>194.20500000000001</v>
      </c>
      <c r="D1031" s="37">
        <v>267.46600000000001</v>
      </c>
      <c r="E1031" s="43">
        <v>812.32899999999995</v>
      </c>
      <c r="F1031" s="37">
        <v>1274</v>
      </c>
      <c r="G1031" s="37">
        <v>50</v>
      </c>
      <c r="H1031" s="45">
        <v>600</v>
      </c>
      <c r="I1031" s="37">
        <v>695</v>
      </c>
      <c r="J1031" s="37">
        <v>0</v>
      </c>
      <c r="K1031" s="38"/>
      <c r="L1031" s="38"/>
      <c r="M1031" s="38"/>
      <c r="N1031" s="38"/>
      <c r="O1031" s="38"/>
      <c r="P1031" s="38"/>
      <c r="Q1031" s="38"/>
      <c r="R1031" s="38"/>
      <c r="S1031" s="38"/>
      <c r="T1031" s="38"/>
    </row>
    <row r="1032" spans="1:20" ht="15.75">
      <c r="A1032" s="13">
        <v>72563</v>
      </c>
      <c r="B1032" s="46">
        <f t="shared" si="6"/>
        <v>31</v>
      </c>
      <c r="C1032" s="37">
        <v>194.20500000000001</v>
      </c>
      <c r="D1032" s="37">
        <v>267.46600000000001</v>
      </c>
      <c r="E1032" s="43">
        <v>812.32899999999995</v>
      </c>
      <c r="F1032" s="37">
        <v>1274</v>
      </c>
      <c r="G1032" s="37">
        <v>50</v>
      </c>
      <c r="H1032" s="45">
        <v>600</v>
      </c>
      <c r="I1032" s="37">
        <v>695</v>
      </c>
      <c r="J1032" s="37">
        <v>0</v>
      </c>
      <c r="K1032" s="38"/>
      <c r="L1032" s="38"/>
      <c r="M1032" s="38"/>
      <c r="N1032" s="38"/>
      <c r="O1032" s="38"/>
      <c r="P1032" s="38"/>
      <c r="Q1032" s="38"/>
      <c r="R1032" s="38"/>
      <c r="S1032" s="38"/>
      <c r="T1032" s="38"/>
    </row>
    <row r="1033" spans="1:20" ht="15.75">
      <c r="A1033" s="13">
        <v>72593</v>
      </c>
      <c r="B1033" s="46">
        <f t="shared" si="6"/>
        <v>30</v>
      </c>
      <c r="C1033" s="37">
        <v>194.20500000000001</v>
      </c>
      <c r="D1033" s="37">
        <v>267.46600000000001</v>
      </c>
      <c r="E1033" s="43">
        <v>812.32899999999995</v>
      </c>
      <c r="F1033" s="37">
        <v>1274</v>
      </c>
      <c r="G1033" s="37">
        <v>50</v>
      </c>
      <c r="H1033" s="45">
        <v>600</v>
      </c>
      <c r="I1033" s="37">
        <v>695</v>
      </c>
      <c r="J1033" s="37">
        <v>0</v>
      </c>
      <c r="K1033" s="38"/>
      <c r="L1033" s="38"/>
      <c r="M1033" s="38"/>
      <c r="N1033" s="38"/>
      <c r="O1033" s="38"/>
      <c r="P1033" s="38"/>
      <c r="Q1033" s="38"/>
      <c r="R1033" s="38"/>
      <c r="S1033" s="38"/>
      <c r="T1033" s="38"/>
    </row>
    <row r="1034" spans="1:20" ht="15.75">
      <c r="A1034" s="13">
        <v>72624</v>
      </c>
      <c r="B1034" s="46">
        <f t="shared" si="6"/>
        <v>31</v>
      </c>
      <c r="C1034" s="37">
        <v>131.881</v>
      </c>
      <c r="D1034" s="37">
        <v>277.16699999999997</v>
      </c>
      <c r="E1034" s="43">
        <v>829.952</v>
      </c>
      <c r="F1034" s="37">
        <v>1239</v>
      </c>
      <c r="G1034" s="37">
        <v>75</v>
      </c>
      <c r="H1034" s="45">
        <v>600</v>
      </c>
      <c r="I1034" s="37">
        <v>695</v>
      </c>
      <c r="J1034" s="37">
        <v>0</v>
      </c>
      <c r="K1034" s="38"/>
      <c r="L1034" s="38"/>
      <c r="M1034" s="38"/>
      <c r="N1034" s="38"/>
      <c r="O1034" s="38"/>
      <c r="P1034" s="38"/>
      <c r="Q1034" s="38"/>
      <c r="R1034" s="38"/>
      <c r="S1034" s="38"/>
      <c r="T1034" s="38"/>
    </row>
    <row r="1035" spans="1:20" ht="15.75">
      <c r="A1035" s="13">
        <v>72654</v>
      </c>
      <c r="B1035" s="46">
        <f t="shared" si="6"/>
        <v>30</v>
      </c>
      <c r="C1035" s="37">
        <v>122.58</v>
      </c>
      <c r="D1035" s="37">
        <v>297.94099999999997</v>
      </c>
      <c r="E1035" s="43">
        <v>729.47900000000004</v>
      </c>
      <c r="F1035" s="37">
        <v>1150</v>
      </c>
      <c r="G1035" s="37">
        <v>100</v>
      </c>
      <c r="H1035" s="45">
        <v>600</v>
      </c>
      <c r="I1035" s="37">
        <v>695</v>
      </c>
      <c r="J1035" s="37">
        <v>50</v>
      </c>
      <c r="K1035" s="38"/>
      <c r="L1035" s="38"/>
      <c r="M1035" s="38"/>
      <c r="N1035" s="38"/>
      <c r="O1035" s="38"/>
      <c r="P1035" s="38"/>
      <c r="Q1035" s="38"/>
      <c r="R1035" s="38"/>
      <c r="S1035" s="38"/>
      <c r="T1035" s="38"/>
    </row>
    <row r="1036" spans="1:20" ht="15.75">
      <c r="A1036" s="13">
        <v>72685</v>
      </c>
      <c r="B1036" s="46">
        <f t="shared" si="6"/>
        <v>31</v>
      </c>
      <c r="C1036" s="37">
        <v>122.58</v>
      </c>
      <c r="D1036" s="37">
        <v>297.94099999999997</v>
      </c>
      <c r="E1036" s="43">
        <v>729.47900000000004</v>
      </c>
      <c r="F1036" s="37">
        <v>1150</v>
      </c>
      <c r="G1036" s="37">
        <v>100</v>
      </c>
      <c r="H1036" s="45">
        <v>600</v>
      </c>
      <c r="I1036" s="37">
        <v>695</v>
      </c>
      <c r="J1036" s="37">
        <v>50</v>
      </c>
      <c r="K1036" s="38"/>
      <c r="L1036" s="38"/>
      <c r="M1036" s="38"/>
      <c r="N1036" s="38"/>
      <c r="O1036" s="38"/>
      <c r="P1036" s="38"/>
      <c r="Q1036" s="38"/>
      <c r="R1036" s="38"/>
      <c r="S1036" s="38"/>
      <c r="T1036" s="38"/>
    </row>
    <row r="1037" spans="1:20" ht="15.75">
      <c r="A1037" s="13">
        <v>72716</v>
      </c>
      <c r="B1037" s="46">
        <f t="shared" si="6"/>
        <v>31</v>
      </c>
      <c r="C1037" s="37">
        <v>122.58</v>
      </c>
      <c r="D1037" s="37">
        <v>297.94099999999997</v>
      </c>
      <c r="E1037" s="43">
        <v>729.47900000000004</v>
      </c>
      <c r="F1037" s="37">
        <v>1150</v>
      </c>
      <c r="G1037" s="37">
        <v>100</v>
      </c>
      <c r="H1037" s="45">
        <v>600</v>
      </c>
      <c r="I1037" s="37">
        <v>695</v>
      </c>
      <c r="J1037" s="37">
        <v>50</v>
      </c>
      <c r="K1037" s="38"/>
      <c r="L1037" s="38"/>
      <c r="M1037" s="38"/>
      <c r="N1037" s="38"/>
      <c r="O1037" s="38"/>
      <c r="P1037" s="38"/>
      <c r="Q1037" s="38"/>
      <c r="R1037" s="38"/>
      <c r="S1037" s="38"/>
      <c r="T1037" s="38"/>
    </row>
    <row r="1038" spans="1:20" ht="15.75">
      <c r="A1038" s="13">
        <v>72744</v>
      </c>
      <c r="B1038" s="46">
        <f t="shared" si="6"/>
        <v>28</v>
      </c>
      <c r="C1038" s="37">
        <v>122.58</v>
      </c>
      <c r="D1038" s="37">
        <v>297.94099999999997</v>
      </c>
      <c r="E1038" s="43">
        <v>729.47900000000004</v>
      </c>
      <c r="F1038" s="37">
        <v>1150</v>
      </c>
      <c r="G1038" s="37">
        <v>100</v>
      </c>
      <c r="H1038" s="45">
        <v>600</v>
      </c>
      <c r="I1038" s="37">
        <v>695</v>
      </c>
      <c r="J1038" s="37">
        <v>50</v>
      </c>
      <c r="K1038" s="38"/>
      <c r="L1038" s="38"/>
      <c r="M1038" s="38"/>
      <c r="N1038" s="38"/>
      <c r="O1038" s="38"/>
      <c r="P1038" s="38"/>
      <c r="Q1038" s="38"/>
      <c r="R1038" s="38"/>
      <c r="S1038" s="38"/>
      <c r="T1038" s="38"/>
    </row>
    <row r="1039" spans="1:20" ht="15.75">
      <c r="A1039" s="13">
        <v>72775</v>
      </c>
      <c r="B1039" s="46">
        <f t="shared" si="6"/>
        <v>31</v>
      </c>
      <c r="C1039" s="37">
        <v>122.58</v>
      </c>
      <c r="D1039" s="37">
        <v>297.94099999999997</v>
      </c>
      <c r="E1039" s="43">
        <v>729.47900000000004</v>
      </c>
      <c r="F1039" s="37">
        <v>1150</v>
      </c>
      <c r="G1039" s="37">
        <v>100</v>
      </c>
      <c r="H1039" s="45">
        <v>600</v>
      </c>
      <c r="I1039" s="37">
        <v>695</v>
      </c>
      <c r="J1039" s="37">
        <v>50</v>
      </c>
      <c r="K1039" s="38"/>
      <c r="L1039" s="38"/>
      <c r="M1039" s="38"/>
      <c r="N1039" s="38"/>
      <c r="O1039" s="38"/>
      <c r="P1039" s="38"/>
      <c r="Q1039" s="38"/>
      <c r="R1039" s="38"/>
      <c r="S1039" s="38"/>
      <c r="T1039" s="38"/>
    </row>
    <row r="1040" spans="1:20" ht="15.75">
      <c r="A1040" s="13">
        <v>72805</v>
      </c>
      <c r="B1040" s="46">
        <f t="shared" si="6"/>
        <v>30</v>
      </c>
      <c r="C1040" s="37">
        <v>141.29300000000001</v>
      </c>
      <c r="D1040" s="37">
        <v>267.99299999999999</v>
      </c>
      <c r="E1040" s="43">
        <v>829.71400000000006</v>
      </c>
      <c r="F1040" s="37">
        <v>1239</v>
      </c>
      <c r="G1040" s="37">
        <v>100</v>
      </c>
      <c r="H1040" s="45">
        <v>600</v>
      </c>
      <c r="I1040" s="37">
        <v>695</v>
      </c>
      <c r="J1040" s="37">
        <v>50</v>
      </c>
      <c r="K1040" s="38"/>
      <c r="L1040" s="38"/>
      <c r="M1040" s="38"/>
      <c r="N1040" s="38"/>
      <c r="O1040" s="38"/>
      <c r="P1040" s="38"/>
      <c r="Q1040" s="38"/>
      <c r="R1040" s="38"/>
      <c r="S1040" s="38"/>
      <c r="T1040" s="38"/>
    </row>
    <row r="1041" spans="1:20" ht="15.75">
      <c r="A1041" s="13">
        <v>72836</v>
      </c>
      <c r="B1041" s="46">
        <f t="shared" ref="B1041:B1060" si="7">EOMONTH(A1041,0)-EOMONTH(A1041,-1)</f>
        <v>31</v>
      </c>
      <c r="C1041" s="37">
        <v>194.20500000000001</v>
      </c>
      <c r="D1041" s="37">
        <v>267.46600000000001</v>
      </c>
      <c r="E1041" s="43">
        <v>812.32899999999995</v>
      </c>
      <c r="F1041" s="37">
        <v>1274</v>
      </c>
      <c r="G1041" s="37">
        <v>75</v>
      </c>
      <c r="H1041" s="45">
        <v>600</v>
      </c>
      <c r="I1041" s="37">
        <v>695</v>
      </c>
      <c r="J1041" s="37">
        <v>50</v>
      </c>
      <c r="K1041" s="38"/>
      <c r="L1041" s="38"/>
      <c r="M1041" s="38"/>
      <c r="N1041" s="38"/>
      <c r="O1041" s="38"/>
      <c r="P1041" s="38"/>
      <c r="Q1041" s="38"/>
      <c r="R1041" s="38"/>
      <c r="S1041" s="38"/>
      <c r="T1041" s="38"/>
    </row>
    <row r="1042" spans="1:20" ht="15.75">
      <c r="A1042" s="13">
        <v>72866</v>
      </c>
      <c r="B1042" s="46">
        <f t="shared" si="7"/>
        <v>30</v>
      </c>
      <c r="C1042" s="37">
        <v>194.20500000000001</v>
      </c>
      <c r="D1042" s="37">
        <v>267.46600000000001</v>
      </c>
      <c r="E1042" s="43">
        <v>812.32899999999995</v>
      </c>
      <c r="F1042" s="37">
        <v>1274</v>
      </c>
      <c r="G1042" s="37">
        <v>50</v>
      </c>
      <c r="H1042" s="45">
        <v>600</v>
      </c>
      <c r="I1042" s="37">
        <v>695</v>
      </c>
      <c r="J1042" s="37">
        <v>50</v>
      </c>
      <c r="K1042" s="38"/>
      <c r="L1042" s="38"/>
      <c r="M1042" s="38"/>
      <c r="N1042" s="38"/>
      <c r="O1042" s="38"/>
      <c r="P1042" s="38"/>
      <c r="Q1042" s="38"/>
      <c r="R1042" s="38"/>
      <c r="S1042" s="38"/>
      <c r="T1042" s="38"/>
    </row>
    <row r="1043" spans="1:20" ht="15.75">
      <c r="A1043" s="13">
        <v>72897</v>
      </c>
      <c r="B1043" s="46">
        <f t="shared" si="7"/>
        <v>31</v>
      </c>
      <c r="C1043" s="37">
        <v>194.20500000000001</v>
      </c>
      <c r="D1043" s="37">
        <v>267.46600000000001</v>
      </c>
      <c r="E1043" s="43">
        <v>812.32899999999995</v>
      </c>
      <c r="F1043" s="37">
        <v>1274</v>
      </c>
      <c r="G1043" s="37">
        <v>50</v>
      </c>
      <c r="H1043" s="45">
        <v>600</v>
      </c>
      <c r="I1043" s="37">
        <v>695</v>
      </c>
      <c r="J1043" s="37">
        <v>0</v>
      </c>
      <c r="K1043" s="38"/>
      <c r="L1043" s="38"/>
      <c r="M1043" s="38"/>
      <c r="N1043" s="38"/>
      <c r="O1043" s="38"/>
      <c r="P1043" s="38"/>
      <c r="Q1043" s="38"/>
      <c r="R1043" s="38"/>
      <c r="S1043" s="38"/>
      <c r="T1043" s="38"/>
    </row>
    <row r="1044" spans="1:20" ht="15.75">
      <c r="A1044" s="13">
        <v>72928</v>
      </c>
      <c r="B1044" s="46">
        <f t="shared" si="7"/>
        <v>31</v>
      </c>
      <c r="C1044" s="37">
        <v>194.20500000000001</v>
      </c>
      <c r="D1044" s="37">
        <v>267.46600000000001</v>
      </c>
      <c r="E1044" s="43">
        <v>812.32899999999995</v>
      </c>
      <c r="F1044" s="37">
        <v>1274</v>
      </c>
      <c r="G1044" s="37">
        <v>50</v>
      </c>
      <c r="H1044" s="45">
        <v>600</v>
      </c>
      <c r="I1044" s="37">
        <v>695</v>
      </c>
      <c r="J1044" s="37">
        <v>0</v>
      </c>
      <c r="K1044" s="38"/>
      <c r="L1044" s="38"/>
      <c r="M1044" s="38"/>
      <c r="N1044" s="38"/>
      <c r="O1044" s="38"/>
      <c r="P1044" s="38"/>
      <c r="Q1044" s="38"/>
      <c r="R1044" s="38"/>
      <c r="S1044" s="38"/>
      <c r="T1044" s="38"/>
    </row>
    <row r="1045" spans="1:20" ht="15.75">
      <c r="A1045" s="13">
        <v>72958</v>
      </c>
      <c r="B1045" s="46">
        <f t="shared" si="7"/>
        <v>30</v>
      </c>
      <c r="C1045" s="37">
        <v>194.20500000000001</v>
      </c>
      <c r="D1045" s="37">
        <v>267.46600000000001</v>
      </c>
      <c r="E1045" s="43">
        <v>812.32899999999995</v>
      </c>
      <c r="F1045" s="37">
        <v>1274</v>
      </c>
      <c r="G1045" s="37">
        <v>50</v>
      </c>
      <c r="H1045" s="45">
        <v>600</v>
      </c>
      <c r="I1045" s="37">
        <v>695</v>
      </c>
      <c r="J1045" s="37">
        <v>0</v>
      </c>
      <c r="K1045" s="38"/>
      <c r="L1045" s="38"/>
      <c r="M1045" s="38"/>
      <c r="N1045" s="38"/>
      <c r="O1045" s="38"/>
      <c r="P1045" s="38"/>
      <c r="Q1045" s="38"/>
      <c r="R1045" s="38"/>
      <c r="S1045" s="38"/>
      <c r="T1045" s="38"/>
    </row>
    <row r="1046" spans="1:20" ht="15.75">
      <c r="A1046" s="13">
        <v>72989</v>
      </c>
      <c r="B1046" s="46">
        <f t="shared" si="7"/>
        <v>31</v>
      </c>
      <c r="C1046" s="37">
        <v>131.881</v>
      </c>
      <c r="D1046" s="37">
        <v>277.16699999999997</v>
      </c>
      <c r="E1046" s="43">
        <v>829.952</v>
      </c>
      <c r="F1046" s="37">
        <v>1239</v>
      </c>
      <c r="G1046" s="37">
        <v>75</v>
      </c>
      <c r="H1046" s="45">
        <v>600</v>
      </c>
      <c r="I1046" s="37">
        <v>695</v>
      </c>
      <c r="J1046" s="37">
        <v>0</v>
      </c>
      <c r="K1046" s="38"/>
      <c r="L1046" s="38"/>
      <c r="M1046" s="38"/>
      <c r="N1046" s="38"/>
      <c r="O1046" s="38"/>
      <c r="P1046" s="38"/>
      <c r="Q1046" s="38"/>
      <c r="R1046" s="38"/>
      <c r="S1046" s="38"/>
      <c r="T1046" s="38"/>
    </row>
    <row r="1047" spans="1:20" ht="15.75">
      <c r="A1047" s="13">
        <v>73019</v>
      </c>
      <c r="B1047" s="46">
        <f t="shared" si="7"/>
        <v>30</v>
      </c>
      <c r="C1047" s="37">
        <v>122.58</v>
      </c>
      <c r="D1047" s="37">
        <v>297.94099999999997</v>
      </c>
      <c r="E1047" s="43">
        <v>729.47900000000004</v>
      </c>
      <c r="F1047" s="37">
        <v>1150</v>
      </c>
      <c r="G1047" s="37">
        <v>100</v>
      </c>
      <c r="H1047" s="45">
        <v>600</v>
      </c>
      <c r="I1047" s="37">
        <v>695</v>
      </c>
      <c r="J1047" s="37">
        <v>50</v>
      </c>
      <c r="K1047" s="38"/>
      <c r="L1047" s="38"/>
      <c r="M1047" s="38"/>
      <c r="N1047" s="38"/>
      <c r="O1047" s="38"/>
      <c r="P1047" s="38"/>
      <c r="Q1047" s="38"/>
      <c r="R1047" s="38"/>
      <c r="S1047" s="38"/>
      <c r="T1047" s="38"/>
    </row>
    <row r="1048" spans="1:20" ht="15.75">
      <c r="A1048" s="13">
        <v>73050</v>
      </c>
      <c r="B1048" s="46">
        <f t="shared" si="7"/>
        <v>31</v>
      </c>
      <c r="C1048" s="37">
        <v>122.58</v>
      </c>
      <c r="D1048" s="37">
        <v>297.94099999999997</v>
      </c>
      <c r="E1048" s="43">
        <v>729.47900000000004</v>
      </c>
      <c r="F1048" s="37">
        <v>1150</v>
      </c>
      <c r="G1048" s="37">
        <v>100</v>
      </c>
      <c r="H1048" s="45">
        <v>600</v>
      </c>
      <c r="I1048" s="37">
        <v>695</v>
      </c>
      <c r="J1048" s="37">
        <v>50</v>
      </c>
      <c r="K1048" s="38"/>
      <c r="L1048" s="38"/>
      <c r="M1048" s="38"/>
      <c r="N1048" s="38"/>
      <c r="O1048" s="38"/>
      <c r="P1048" s="38"/>
      <c r="Q1048" s="38"/>
      <c r="R1048" s="38"/>
      <c r="S1048" s="38"/>
      <c r="T1048" s="38"/>
    </row>
    <row r="1049" spans="1:20" ht="15.75">
      <c r="A1049" s="13">
        <v>73081</v>
      </c>
      <c r="B1049" s="46">
        <f t="shared" si="7"/>
        <v>31</v>
      </c>
      <c r="C1049" s="37">
        <v>122.58</v>
      </c>
      <c r="D1049" s="37">
        <v>297.94099999999997</v>
      </c>
      <c r="E1049" s="43">
        <v>729.47900000000004</v>
      </c>
      <c r="F1049" s="37">
        <v>1150</v>
      </c>
      <c r="G1049" s="37">
        <v>100</v>
      </c>
      <c r="H1049" s="45">
        <v>600</v>
      </c>
      <c r="I1049" s="37">
        <v>695</v>
      </c>
      <c r="J1049" s="37">
        <v>50</v>
      </c>
      <c r="K1049" s="38"/>
      <c r="L1049" s="38"/>
      <c r="M1049" s="38"/>
      <c r="N1049" s="38"/>
      <c r="O1049" s="38"/>
      <c r="P1049" s="38"/>
      <c r="Q1049" s="38"/>
      <c r="R1049" s="38"/>
      <c r="S1049" s="38"/>
      <c r="T1049" s="38"/>
    </row>
    <row r="1050" spans="1:20" ht="15.75">
      <c r="A1050" s="13">
        <v>73109</v>
      </c>
      <c r="B1050" s="46">
        <f t="shared" si="7"/>
        <v>28</v>
      </c>
      <c r="C1050" s="37">
        <v>122.58</v>
      </c>
      <c r="D1050" s="37">
        <v>297.94099999999997</v>
      </c>
      <c r="E1050" s="43">
        <v>729.47900000000004</v>
      </c>
      <c r="F1050" s="37">
        <v>1150</v>
      </c>
      <c r="G1050" s="37">
        <v>100</v>
      </c>
      <c r="H1050" s="45">
        <v>600</v>
      </c>
      <c r="I1050" s="37">
        <v>695</v>
      </c>
      <c r="J1050" s="37">
        <v>50</v>
      </c>
      <c r="K1050" s="38"/>
      <c r="L1050" s="38"/>
      <c r="M1050" s="38"/>
      <c r="N1050" s="38"/>
      <c r="O1050" s="38"/>
      <c r="P1050" s="38"/>
      <c r="Q1050" s="38"/>
      <c r="R1050" s="38"/>
      <c r="S1050" s="38"/>
      <c r="T1050" s="38"/>
    </row>
    <row r="1051" spans="1:20" ht="15.75">
      <c r="A1051" s="13">
        <v>73140</v>
      </c>
      <c r="B1051" s="46">
        <f t="shared" si="7"/>
        <v>31</v>
      </c>
      <c r="C1051" s="37">
        <v>122.58</v>
      </c>
      <c r="D1051" s="37">
        <v>297.94099999999997</v>
      </c>
      <c r="E1051" s="43">
        <v>729.47900000000004</v>
      </c>
      <c r="F1051" s="37">
        <v>1150</v>
      </c>
      <c r="G1051" s="37">
        <v>100</v>
      </c>
      <c r="H1051" s="45">
        <v>600</v>
      </c>
      <c r="I1051" s="37">
        <v>695</v>
      </c>
      <c r="J1051" s="37">
        <v>50</v>
      </c>
      <c r="K1051" s="38"/>
      <c r="L1051" s="38"/>
      <c r="M1051" s="38"/>
      <c r="N1051" s="38"/>
      <c r="O1051" s="38"/>
      <c r="P1051" s="38"/>
      <c r="Q1051" s="38"/>
      <c r="R1051" s="38"/>
      <c r="S1051" s="38"/>
      <c r="T1051" s="38"/>
    </row>
    <row r="1052" spans="1:20" ht="15.75">
      <c r="A1052" s="13">
        <v>73170</v>
      </c>
      <c r="B1052" s="46">
        <f t="shared" si="7"/>
        <v>30</v>
      </c>
      <c r="C1052" s="37">
        <v>141.29300000000001</v>
      </c>
      <c r="D1052" s="37">
        <v>267.99299999999999</v>
      </c>
      <c r="E1052" s="43">
        <v>829.71400000000006</v>
      </c>
      <c r="F1052" s="37">
        <v>1239</v>
      </c>
      <c r="G1052" s="37">
        <v>100</v>
      </c>
      <c r="H1052" s="45">
        <v>600</v>
      </c>
      <c r="I1052" s="37">
        <v>695</v>
      </c>
      <c r="J1052" s="37">
        <v>50</v>
      </c>
      <c r="K1052" s="38"/>
      <c r="L1052" s="38"/>
      <c r="M1052" s="38"/>
      <c r="N1052" s="38"/>
      <c r="O1052" s="38"/>
      <c r="P1052" s="38"/>
      <c r="Q1052" s="38"/>
      <c r="R1052" s="38"/>
      <c r="S1052" s="38"/>
      <c r="T1052" s="38"/>
    </row>
    <row r="1053" spans="1:20" ht="15.75">
      <c r="A1053" s="13">
        <v>73201</v>
      </c>
      <c r="B1053" s="46">
        <f t="shared" si="7"/>
        <v>31</v>
      </c>
      <c r="C1053" s="37">
        <v>194.20500000000001</v>
      </c>
      <c r="D1053" s="37">
        <v>267.46600000000001</v>
      </c>
      <c r="E1053" s="43">
        <v>812.32899999999995</v>
      </c>
      <c r="F1053" s="37">
        <v>1274</v>
      </c>
      <c r="G1053" s="37">
        <v>75</v>
      </c>
      <c r="H1053" s="45">
        <v>600</v>
      </c>
      <c r="I1053" s="37">
        <v>695</v>
      </c>
      <c r="J1053" s="37">
        <v>50</v>
      </c>
      <c r="K1053" s="38"/>
      <c r="L1053" s="38"/>
      <c r="M1053" s="38"/>
      <c r="N1053" s="38"/>
      <c r="O1053" s="38"/>
      <c r="P1053" s="38"/>
      <c r="Q1053" s="38"/>
      <c r="R1053" s="38"/>
      <c r="S1053" s="38"/>
      <c r="T1053" s="38"/>
    </row>
    <row r="1054" spans="1:20" ht="15.75">
      <c r="A1054" s="13">
        <v>73231</v>
      </c>
      <c r="B1054" s="46">
        <f t="shared" si="7"/>
        <v>30</v>
      </c>
      <c r="C1054" s="37">
        <v>194.20500000000001</v>
      </c>
      <c r="D1054" s="37">
        <v>267.46600000000001</v>
      </c>
      <c r="E1054" s="43">
        <v>812.32899999999995</v>
      </c>
      <c r="F1054" s="37">
        <v>1274</v>
      </c>
      <c r="G1054" s="37">
        <v>50</v>
      </c>
      <c r="H1054" s="45">
        <v>600</v>
      </c>
      <c r="I1054" s="37">
        <v>695</v>
      </c>
      <c r="J1054" s="37">
        <v>50</v>
      </c>
      <c r="K1054" s="38"/>
      <c r="L1054" s="38"/>
      <c r="M1054" s="38"/>
      <c r="N1054" s="38"/>
      <c r="O1054" s="38"/>
      <c r="P1054" s="38"/>
      <c r="Q1054" s="38"/>
      <c r="R1054" s="38"/>
      <c r="S1054" s="38"/>
      <c r="T1054" s="38"/>
    </row>
    <row r="1055" spans="1:20" ht="15.75">
      <c r="A1055" s="13">
        <v>73262</v>
      </c>
      <c r="B1055" s="46">
        <f t="shared" si="7"/>
        <v>31</v>
      </c>
      <c r="C1055" s="37">
        <v>194.20500000000001</v>
      </c>
      <c r="D1055" s="37">
        <v>267.46600000000001</v>
      </c>
      <c r="E1055" s="43">
        <v>812.32899999999995</v>
      </c>
      <c r="F1055" s="37">
        <v>1274</v>
      </c>
      <c r="G1055" s="37">
        <v>50</v>
      </c>
      <c r="H1055" s="45">
        <v>600</v>
      </c>
      <c r="I1055" s="37">
        <v>695</v>
      </c>
      <c r="J1055" s="37">
        <v>0</v>
      </c>
      <c r="K1055" s="38"/>
      <c r="L1055" s="38"/>
      <c r="M1055" s="38"/>
      <c r="N1055" s="38"/>
      <c r="O1055" s="38"/>
      <c r="P1055" s="38"/>
      <c r="Q1055" s="38"/>
      <c r="R1055" s="38"/>
      <c r="S1055" s="38"/>
      <c r="T1055" s="38"/>
    </row>
    <row r="1056" spans="1:20" ht="15.75">
      <c r="A1056" s="13">
        <v>73293</v>
      </c>
      <c r="B1056" s="46">
        <f t="shared" si="7"/>
        <v>31</v>
      </c>
      <c r="C1056" s="37">
        <v>194.20500000000001</v>
      </c>
      <c r="D1056" s="37">
        <v>267.46600000000001</v>
      </c>
      <c r="E1056" s="43">
        <v>812.32899999999995</v>
      </c>
      <c r="F1056" s="37">
        <v>1274</v>
      </c>
      <c r="G1056" s="37">
        <v>50</v>
      </c>
      <c r="H1056" s="45">
        <v>600</v>
      </c>
      <c r="I1056" s="37">
        <v>695</v>
      </c>
      <c r="J1056" s="37">
        <v>0</v>
      </c>
      <c r="K1056" s="38"/>
      <c r="L1056" s="38"/>
      <c r="M1056" s="38"/>
      <c r="N1056" s="38"/>
      <c r="O1056" s="38"/>
      <c r="P1056" s="38"/>
      <c r="Q1056" s="38"/>
      <c r="R1056" s="38"/>
      <c r="S1056" s="38"/>
      <c r="T1056" s="38"/>
    </row>
    <row r="1057" spans="1:20" ht="15.75">
      <c r="A1057" s="13">
        <v>73323</v>
      </c>
      <c r="B1057" s="46">
        <f t="shared" si="7"/>
        <v>30</v>
      </c>
      <c r="C1057" s="37">
        <v>194.20500000000001</v>
      </c>
      <c r="D1057" s="37">
        <v>267.46600000000001</v>
      </c>
      <c r="E1057" s="43">
        <v>812.32899999999995</v>
      </c>
      <c r="F1057" s="37">
        <v>1274</v>
      </c>
      <c r="G1057" s="37">
        <v>50</v>
      </c>
      <c r="H1057" s="45">
        <v>600</v>
      </c>
      <c r="I1057" s="37">
        <v>695</v>
      </c>
      <c r="J1057" s="37">
        <v>0</v>
      </c>
      <c r="K1057" s="38"/>
      <c r="L1057" s="38"/>
      <c r="M1057" s="38"/>
      <c r="N1057" s="38"/>
      <c r="O1057" s="38"/>
      <c r="P1057" s="38"/>
      <c r="Q1057" s="38"/>
      <c r="R1057" s="38"/>
      <c r="S1057" s="38"/>
      <c r="T1057" s="38"/>
    </row>
    <row r="1058" spans="1:20" ht="15.75">
      <c r="A1058" s="13">
        <v>73354</v>
      </c>
      <c r="B1058" s="46">
        <f t="shared" si="7"/>
        <v>31</v>
      </c>
      <c r="C1058" s="37">
        <v>131.881</v>
      </c>
      <c r="D1058" s="37">
        <v>277.16699999999997</v>
      </c>
      <c r="E1058" s="43">
        <v>829.952</v>
      </c>
      <c r="F1058" s="37">
        <v>1239</v>
      </c>
      <c r="G1058" s="37">
        <v>75</v>
      </c>
      <c r="H1058" s="45">
        <v>600</v>
      </c>
      <c r="I1058" s="37">
        <v>695</v>
      </c>
      <c r="J1058" s="37">
        <v>0</v>
      </c>
      <c r="K1058" s="38"/>
      <c r="L1058" s="38"/>
      <c r="M1058" s="38"/>
      <c r="N1058" s="38"/>
      <c r="O1058" s="38"/>
      <c r="P1058" s="38"/>
      <c r="Q1058" s="38"/>
      <c r="R1058" s="38"/>
      <c r="S1058" s="38"/>
      <c r="T1058" s="38"/>
    </row>
    <row r="1059" spans="1:20" ht="15.75">
      <c r="A1059" s="13">
        <v>73384</v>
      </c>
      <c r="B1059" s="46">
        <f t="shared" si="7"/>
        <v>30</v>
      </c>
      <c r="C1059" s="37">
        <v>122.58</v>
      </c>
      <c r="D1059" s="37">
        <v>297.94099999999997</v>
      </c>
      <c r="E1059" s="43">
        <v>729.47900000000004</v>
      </c>
      <c r="F1059" s="37">
        <v>1150</v>
      </c>
      <c r="G1059" s="37">
        <v>100</v>
      </c>
      <c r="H1059" s="45">
        <v>600</v>
      </c>
      <c r="I1059" s="37">
        <v>695</v>
      </c>
      <c r="J1059" s="37">
        <v>50</v>
      </c>
      <c r="K1059" s="38"/>
      <c r="L1059" s="38"/>
      <c r="M1059" s="38"/>
      <c r="N1059" s="38"/>
      <c r="O1059" s="38"/>
      <c r="P1059" s="38"/>
      <c r="Q1059" s="38"/>
      <c r="R1059" s="38"/>
      <c r="S1059" s="38"/>
      <c r="T1059" s="38"/>
    </row>
    <row r="1060" spans="1:20" ht="15.75">
      <c r="A1060" s="13">
        <v>73415</v>
      </c>
      <c r="B1060" s="46">
        <f t="shared" si="7"/>
        <v>31</v>
      </c>
      <c r="C1060" s="37">
        <v>122.58</v>
      </c>
      <c r="D1060" s="37">
        <v>297.94099999999997</v>
      </c>
      <c r="E1060" s="43">
        <v>729.47900000000004</v>
      </c>
      <c r="F1060" s="37">
        <v>1150</v>
      </c>
      <c r="G1060" s="37">
        <v>100</v>
      </c>
      <c r="H1060" s="45">
        <v>600</v>
      </c>
      <c r="I1060" s="37">
        <v>695</v>
      </c>
      <c r="J1060" s="37">
        <v>50</v>
      </c>
      <c r="K1060" s="38"/>
      <c r="L1060" s="38"/>
      <c r="M1060" s="38"/>
      <c r="N1060" s="38"/>
      <c r="O1060" s="38"/>
      <c r="P1060" s="38"/>
      <c r="Q1060" s="38"/>
      <c r="R1060" s="38"/>
      <c r="S1060" s="38"/>
      <c r="T1060" s="38"/>
    </row>
    <row r="1061" spans="1:20" ht="15">
      <c r="A1061" s="10"/>
      <c r="B1061" s="44"/>
      <c r="C1061" s="37"/>
      <c r="D1061" s="37"/>
      <c r="E1061" s="43"/>
      <c r="F1061" s="37"/>
      <c r="G1061" s="37"/>
      <c r="H1061" s="37"/>
      <c r="I1061" s="37"/>
      <c r="J1061" s="37"/>
      <c r="K1061" s="38"/>
      <c r="L1061" s="38"/>
      <c r="M1061" s="38"/>
      <c r="N1061" s="38"/>
      <c r="O1061" s="38"/>
      <c r="P1061" s="38"/>
      <c r="Q1061" s="38"/>
      <c r="R1061" s="38"/>
      <c r="S1061" s="38"/>
      <c r="T1061" s="38"/>
    </row>
    <row r="1062" spans="1:20" ht="15.75">
      <c r="A1062" s="3">
        <v>2014</v>
      </c>
      <c r="B1062" s="3">
        <f t="shared" ref="B1062:B1093" si="8">DATE(A1062+1,1,1)-DATE(A1062,1,1)</f>
        <v>365</v>
      </c>
      <c r="C1062" s="40">
        <f>AVERAGE(C17:C28)</f>
        <v>154.75825</v>
      </c>
      <c r="D1062" s="40">
        <f>AVERAGE(D17:D28)</f>
        <v>281.0162499999999</v>
      </c>
      <c r="E1062" s="40">
        <f>AVERAGE(E17:E28)</f>
        <v>801.55883333333315</v>
      </c>
      <c r="F1062" s="40">
        <f>AVERAGE(F17:F28)</f>
        <v>1237.3333333333333</v>
      </c>
      <c r="G1062" s="40">
        <f>AVERAGE(G17:G28)</f>
        <v>79.166666666666671</v>
      </c>
      <c r="H1062" s="42"/>
      <c r="I1062" s="40">
        <f>AVERAGE(I17:I28)</f>
        <v>695</v>
      </c>
      <c r="J1062" s="40">
        <f>AVERAGE(J17:J28)</f>
        <v>33.333333333333336</v>
      </c>
      <c r="K1062" s="38"/>
      <c r="L1062" s="38"/>
      <c r="M1062" s="38"/>
      <c r="N1062" s="38"/>
      <c r="O1062" s="38"/>
      <c r="P1062" s="38"/>
      <c r="Q1062" s="38"/>
      <c r="R1062" s="38"/>
      <c r="S1062" s="38"/>
      <c r="T1062" s="38"/>
    </row>
    <row r="1063" spans="1:20" ht="15.75">
      <c r="A1063" s="3">
        <v>2015</v>
      </c>
      <c r="B1063" s="3">
        <f t="shared" si="8"/>
        <v>365</v>
      </c>
      <c r="C1063" s="40">
        <f>AVERAGE(C29:C40)</f>
        <v>154.75825</v>
      </c>
      <c r="D1063" s="40">
        <f>AVERAGE(D29:D40)</f>
        <v>281.0162499999999</v>
      </c>
      <c r="E1063" s="40">
        <f>AVERAGE(E29:E40)</f>
        <v>801.55883333333315</v>
      </c>
      <c r="F1063" s="40">
        <f>AVERAGE(F29:F40)</f>
        <v>1237.3333333333333</v>
      </c>
      <c r="G1063" s="40">
        <f>AVERAGE(G29:G40)</f>
        <v>79.166666666666671</v>
      </c>
      <c r="H1063" s="42"/>
      <c r="I1063" s="40">
        <f>AVERAGE(I29:I40)</f>
        <v>695</v>
      </c>
      <c r="J1063" s="40">
        <f>AVERAGE(J29:J40)</f>
        <v>33.333333333333336</v>
      </c>
      <c r="K1063" s="38"/>
      <c r="L1063" s="38"/>
      <c r="M1063" s="38"/>
      <c r="N1063" s="38"/>
      <c r="O1063" s="38"/>
      <c r="P1063" s="38"/>
      <c r="Q1063" s="38"/>
      <c r="R1063" s="38"/>
      <c r="S1063" s="38"/>
      <c r="T1063" s="38"/>
    </row>
    <row r="1064" spans="1:20" ht="15.75">
      <c r="A1064" s="3">
        <v>2016</v>
      </c>
      <c r="B1064" s="3">
        <f t="shared" si="8"/>
        <v>366</v>
      </c>
      <c r="C1064" s="40">
        <f>AVERAGE(C41:C52)</f>
        <v>154.75825</v>
      </c>
      <c r="D1064" s="40">
        <f>AVERAGE(D41:D52)</f>
        <v>281.0162499999999</v>
      </c>
      <c r="E1064" s="40">
        <f>AVERAGE(E41:E52)</f>
        <v>780.7254999999999</v>
      </c>
      <c r="F1064" s="40">
        <f>AVERAGE(F41:F52)</f>
        <v>1216.5</v>
      </c>
      <c r="G1064" s="40">
        <f>AVERAGE(G41:G52)</f>
        <v>79.166666666666671</v>
      </c>
      <c r="H1064" s="42"/>
      <c r="I1064" s="40">
        <f>AVERAGE(I41:I52)</f>
        <v>695</v>
      </c>
      <c r="J1064" s="40">
        <f>AVERAGE(J41:J52)</f>
        <v>33.333333333333336</v>
      </c>
      <c r="K1064" s="38"/>
      <c r="L1064" s="38"/>
      <c r="M1064" s="38"/>
      <c r="N1064" s="38"/>
      <c r="O1064" s="38"/>
      <c r="P1064" s="38"/>
      <c r="Q1064" s="38"/>
      <c r="R1064" s="38"/>
      <c r="S1064" s="38"/>
      <c r="T1064" s="38"/>
    </row>
    <row r="1065" spans="1:20" ht="15">
      <c r="A1065" s="3">
        <v>2017</v>
      </c>
      <c r="B1065" s="3">
        <f t="shared" si="8"/>
        <v>365</v>
      </c>
      <c r="C1065" s="40">
        <f t="shared" ref="C1065:J1065" si="9">AVERAGE(C53:C64)</f>
        <v>154.75825</v>
      </c>
      <c r="D1065" s="40">
        <f t="shared" si="9"/>
        <v>281.0162499999999</v>
      </c>
      <c r="E1065" s="40">
        <f t="shared" si="9"/>
        <v>780.7254999999999</v>
      </c>
      <c r="F1065" s="40">
        <f t="shared" si="9"/>
        <v>1216.5</v>
      </c>
      <c r="G1065" s="40">
        <f t="shared" si="9"/>
        <v>79.166666666666671</v>
      </c>
      <c r="H1065" s="41">
        <f t="shared" si="9"/>
        <v>400</v>
      </c>
      <c r="I1065" s="40">
        <f t="shared" si="9"/>
        <v>695</v>
      </c>
      <c r="J1065" s="40">
        <f t="shared" si="9"/>
        <v>33.333333333333336</v>
      </c>
      <c r="K1065" s="38"/>
      <c r="L1065" s="38"/>
      <c r="M1065" s="38"/>
      <c r="N1065" s="38"/>
      <c r="O1065" s="38"/>
      <c r="P1065" s="38"/>
      <c r="Q1065" s="38"/>
      <c r="R1065" s="38"/>
      <c r="S1065" s="38"/>
      <c r="T1065" s="38"/>
    </row>
    <row r="1066" spans="1:20" ht="15">
      <c r="A1066" s="3">
        <v>2018</v>
      </c>
      <c r="B1066" s="3">
        <f t="shared" si="8"/>
        <v>365</v>
      </c>
      <c r="C1066" s="40">
        <f t="shared" ref="C1066:J1066" si="10">AVERAGE(C65:C76)</f>
        <v>154.75825</v>
      </c>
      <c r="D1066" s="40">
        <f t="shared" si="10"/>
        <v>281.0162499999999</v>
      </c>
      <c r="E1066" s="40">
        <f t="shared" si="10"/>
        <v>780.7254999999999</v>
      </c>
      <c r="F1066" s="40">
        <f t="shared" si="10"/>
        <v>1216.5</v>
      </c>
      <c r="G1066" s="40">
        <f t="shared" si="10"/>
        <v>79.166666666666671</v>
      </c>
      <c r="H1066" s="41">
        <f t="shared" si="10"/>
        <v>400</v>
      </c>
      <c r="I1066" s="40">
        <f t="shared" si="10"/>
        <v>695</v>
      </c>
      <c r="J1066" s="40">
        <f t="shared" si="10"/>
        <v>33.333333333333336</v>
      </c>
      <c r="K1066" s="38"/>
      <c r="L1066" s="38"/>
      <c r="M1066" s="38"/>
      <c r="N1066" s="38"/>
      <c r="O1066" s="38"/>
      <c r="P1066" s="38"/>
      <c r="Q1066" s="38"/>
      <c r="R1066" s="38"/>
      <c r="S1066" s="38"/>
      <c r="T1066" s="38"/>
    </row>
    <row r="1067" spans="1:20" ht="15">
      <c r="A1067" s="3">
        <v>2019</v>
      </c>
      <c r="B1067" s="3">
        <f t="shared" si="8"/>
        <v>365</v>
      </c>
      <c r="C1067" s="40">
        <f t="shared" ref="C1067:J1067" si="11">AVERAGE(C77:C88)</f>
        <v>154.75825</v>
      </c>
      <c r="D1067" s="40">
        <f t="shared" si="11"/>
        <v>281.0162499999999</v>
      </c>
      <c r="E1067" s="40">
        <f t="shared" si="11"/>
        <v>780.7254999999999</v>
      </c>
      <c r="F1067" s="40">
        <f t="shared" si="11"/>
        <v>1216.5</v>
      </c>
      <c r="G1067" s="40">
        <f t="shared" si="11"/>
        <v>79.166666666666671</v>
      </c>
      <c r="H1067" s="41">
        <f t="shared" si="11"/>
        <v>400</v>
      </c>
      <c r="I1067" s="40">
        <f t="shared" si="11"/>
        <v>695</v>
      </c>
      <c r="J1067" s="40">
        <f t="shared" si="11"/>
        <v>33.333333333333336</v>
      </c>
      <c r="K1067" s="38"/>
      <c r="L1067" s="38"/>
      <c r="M1067" s="38"/>
      <c r="N1067" s="38"/>
      <c r="O1067" s="38"/>
      <c r="P1067" s="38"/>
      <c r="Q1067" s="38"/>
      <c r="R1067" s="38"/>
      <c r="S1067" s="38"/>
      <c r="T1067" s="38"/>
    </row>
    <row r="1068" spans="1:20" ht="15">
      <c r="A1068" s="3">
        <v>2020</v>
      </c>
      <c r="B1068" s="3">
        <f t="shared" si="8"/>
        <v>366</v>
      </c>
      <c r="C1068" s="40">
        <f t="shared" ref="C1068:J1068" si="12">AVERAGE(C89:C100)</f>
        <v>154.75825</v>
      </c>
      <c r="D1068" s="40">
        <f t="shared" si="12"/>
        <v>281.0162499999999</v>
      </c>
      <c r="E1068" s="40">
        <f t="shared" si="12"/>
        <v>780.7254999999999</v>
      </c>
      <c r="F1068" s="40">
        <f t="shared" si="12"/>
        <v>1216.5</v>
      </c>
      <c r="G1068" s="40">
        <f t="shared" si="12"/>
        <v>79.166666666666671</v>
      </c>
      <c r="H1068" s="41">
        <f t="shared" si="12"/>
        <v>533.33333333333337</v>
      </c>
      <c r="I1068" s="40">
        <f t="shared" si="12"/>
        <v>695</v>
      </c>
      <c r="J1068" s="40">
        <f t="shared" si="12"/>
        <v>33.333333333333336</v>
      </c>
      <c r="K1068" s="38"/>
      <c r="L1068" s="38"/>
      <c r="M1068" s="38"/>
      <c r="N1068" s="38"/>
      <c r="O1068" s="38"/>
      <c r="P1068" s="38"/>
      <c r="Q1068" s="38"/>
      <c r="R1068" s="38"/>
      <c r="S1068" s="38"/>
      <c r="T1068" s="38"/>
    </row>
    <row r="1069" spans="1:20" ht="15">
      <c r="A1069" s="3">
        <v>2021</v>
      </c>
      <c r="B1069" s="3">
        <f t="shared" si="8"/>
        <v>365</v>
      </c>
      <c r="C1069" s="40">
        <f t="shared" ref="C1069:J1069" si="13">AVERAGE(C101:C112)</f>
        <v>154.75825</v>
      </c>
      <c r="D1069" s="40">
        <f t="shared" si="13"/>
        <v>281.0162499999999</v>
      </c>
      <c r="E1069" s="40">
        <f t="shared" si="13"/>
        <v>780.7254999999999</v>
      </c>
      <c r="F1069" s="40">
        <f t="shared" si="13"/>
        <v>1216.5</v>
      </c>
      <c r="G1069" s="40">
        <f t="shared" si="13"/>
        <v>79.166666666666671</v>
      </c>
      <c r="H1069" s="41">
        <f t="shared" si="13"/>
        <v>600</v>
      </c>
      <c r="I1069" s="40">
        <f t="shared" si="13"/>
        <v>695</v>
      </c>
      <c r="J1069" s="40">
        <f t="shared" si="13"/>
        <v>33.333333333333336</v>
      </c>
      <c r="K1069" s="38"/>
      <c r="L1069" s="38"/>
      <c r="M1069" s="38"/>
      <c r="N1069" s="38"/>
      <c r="O1069" s="38"/>
      <c r="P1069" s="38"/>
      <c r="Q1069" s="38"/>
      <c r="R1069" s="38"/>
      <c r="S1069" s="38"/>
      <c r="T1069" s="38"/>
    </row>
    <row r="1070" spans="1:20" ht="15">
      <c r="A1070" s="3">
        <v>2022</v>
      </c>
      <c r="B1070" s="3">
        <f t="shared" si="8"/>
        <v>365</v>
      </c>
      <c r="C1070" s="40">
        <f t="shared" ref="C1070:J1070" si="14">AVERAGE(C113:C124)</f>
        <v>154.75825</v>
      </c>
      <c r="D1070" s="40">
        <f t="shared" si="14"/>
        <v>281.0162499999999</v>
      </c>
      <c r="E1070" s="40">
        <f t="shared" si="14"/>
        <v>780.7254999999999</v>
      </c>
      <c r="F1070" s="40">
        <f t="shared" si="14"/>
        <v>1216.5</v>
      </c>
      <c r="G1070" s="40">
        <f t="shared" si="14"/>
        <v>79.166666666666671</v>
      </c>
      <c r="H1070" s="41">
        <f t="shared" si="14"/>
        <v>600</v>
      </c>
      <c r="I1070" s="40">
        <f t="shared" si="14"/>
        <v>695</v>
      </c>
      <c r="J1070" s="40">
        <f t="shared" si="14"/>
        <v>33.333333333333336</v>
      </c>
      <c r="K1070" s="38"/>
      <c r="L1070" s="38"/>
      <c r="M1070" s="38"/>
      <c r="N1070" s="38"/>
      <c r="O1070" s="38"/>
      <c r="P1070" s="38"/>
      <c r="Q1070" s="38"/>
      <c r="R1070" s="38"/>
      <c r="S1070" s="38"/>
      <c r="T1070" s="38"/>
    </row>
    <row r="1071" spans="1:20" ht="15">
      <c r="A1071" s="3">
        <v>2023</v>
      </c>
      <c r="B1071" s="3">
        <f t="shared" si="8"/>
        <v>365</v>
      </c>
      <c r="C1071" s="40">
        <f t="shared" ref="C1071:J1071" si="15">AVERAGE(C125:C136)</f>
        <v>154.75825</v>
      </c>
      <c r="D1071" s="40">
        <f t="shared" si="15"/>
        <v>281.0162499999999</v>
      </c>
      <c r="E1071" s="40">
        <f t="shared" si="15"/>
        <v>780.7254999999999</v>
      </c>
      <c r="F1071" s="40">
        <f t="shared" si="15"/>
        <v>1216.5</v>
      </c>
      <c r="G1071" s="40">
        <f t="shared" si="15"/>
        <v>79.166666666666671</v>
      </c>
      <c r="H1071" s="41">
        <f t="shared" si="15"/>
        <v>600</v>
      </c>
      <c r="I1071" s="40">
        <f t="shared" si="15"/>
        <v>695</v>
      </c>
      <c r="J1071" s="40">
        <f t="shared" si="15"/>
        <v>33.333333333333336</v>
      </c>
      <c r="K1071" s="38"/>
      <c r="L1071" s="38"/>
      <c r="M1071" s="38"/>
      <c r="N1071" s="38"/>
      <c r="O1071" s="38"/>
      <c r="P1071" s="38"/>
      <c r="Q1071" s="38"/>
      <c r="R1071" s="38"/>
      <c r="S1071" s="38"/>
      <c r="T1071" s="38"/>
    </row>
    <row r="1072" spans="1:20" ht="15">
      <c r="A1072" s="3">
        <v>2024</v>
      </c>
      <c r="B1072" s="3">
        <f t="shared" si="8"/>
        <v>366</v>
      </c>
      <c r="C1072" s="40">
        <f t="shared" ref="C1072:J1072" si="16">AVERAGE(C137:C148)</f>
        <v>154.75825</v>
      </c>
      <c r="D1072" s="40">
        <f t="shared" si="16"/>
        <v>281.0162499999999</v>
      </c>
      <c r="E1072" s="40">
        <f t="shared" si="16"/>
        <v>780.7254999999999</v>
      </c>
      <c r="F1072" s="40">
        <f t="shared" si="16"/>
        <v>1216.5</v>
      </c>
      <c r="G1072" s="40">
        <f t="shared" si="16"/>
        <v>79.166666666666671</v>
      </c>
      <c r="H1072" s="41">
        <f t="shared" si="16"/>
        <v>600</v>
      </c>
      <c r="I1072" s="40">
        <f t="shared" si="16"/>
        <v>695</v>
      </c>
      <c r="J1072" s="40">
        <f t="shared" si="16"/>
        <v>33.333333333333336</v>
      </c>
      <c r="K1072" s="38"/>
      <c r="L1072" s="38"/>
      <c r="M1072" s="38"/>
      <c r="N1072" s="38"/>
      <c r="O1072" s="38"/>
      <c r="P1072" s="38"/>
      <c r="Q1072" s="38"/>
      <c r="R1072" s="38"/>
      <c r="S1072" s="38"/>
      <c r="T1072" s="38"/>
    </row>
    <row r="1073" spans="1:20" ht="15">
      <c r="A1073" s="3">
        <v>2025</v>
      </c>
      <c r="B1073" s="3">
        <f t="shared" si="8"/>
        <v>365</v>
      </c>
      <c r="C1073" s="40">
        <f t="shared" ref="C1073:J1073" si="17">AVERAGE(C149:C160)</f>
        <v>154.75825</v>
      </c>
      <c r="D1073" s="40">
        <f t="shared" si="17"/>
        <v>281.0162499999999</v>
      </c>
      <c r="E1073" s="40">
        <f t="shared" si="17"/>
        <v>780.7254999999999</v>
      </c>
      <c r="F1073" s="40">
        <f t="shared" si="17"/>
        <v>1216.5</v>
      </c>
      <c r="G1073" s="40">
        <f t="shared" si="17"/>
        <v>79.166666666666671</v>
      </c>
      <c r="H1073" s="41">
        <f t="shared" si="17"/>
        <v>600</v>
      </c>
      <c r="I1073" s="40">
        <f t="shared" si="17"/>
        <v>695</v>
      </c>
      <c r="J1073" s="40">
        <f t="shared" si="17"/>
        <v>33.333333333333336</v>
      </c>
      <c r="K1073" s="38"/>
      <c r="L1073" s="38"/>
      <c r="M1073" s="38"/>
      <c r="N1073" s="38"/>
      <c r="O1073" s="38"/>
      <c r="P1073" s="38"/>
      <c r="Q1073" s="38"/>
      <c r="R1073" s="38"/>
      <c r="S1073" s="38"/>
      <c r="T1073" s="38"/>
    </row>
    <row r="1074" spans="1:20" ht="15">
      <c r="A1074" s="3">
        <v>2026</v>
      </c>
      <c r="B1074" s="3">
        <f t="shared" si="8"/>
        <v>365</v>
      </c>
      <c r="C1074" s="40">
        <f t="shared" ref="C1074:J1074" si="18">AVERAGE(C161:C172)</f>
        <v>154.75825</v>
      </c>
      <c r="D1074" s="40">
        <f t="shared" si="18"/>
        <v>281.0162499999999</v>
      </c>
      <c r="E1074" s="40">
        <f t="shared" si="18"/>
        <v>780.7254999999999</v>
      </c>
      <c r="F1074" s="40">
        <f t="shared" si="18"/>
        <v>1216.5</v>
      </c>
      <c r="G1074" s="40">
        <f t="shared" si="18"/>
        <v>79.166666666666671</v>
      </c>
      <c r="H1074" s="41">
        <f t="shared" si="18"/>
        <v>600</v>
      </c>
      <c r="I1074" s="40">
        <f t="shared" si="18"/>
        <v>695</v>
      </c>
      <c r="J1074" s="40">
        <f t="shared" si="18"/>
        <v>33.333333333333336</v>
      </c>
      <c r="K1074" s="38"/>
      <c r="L1074" s="38"/>
      <c r="M1074" s="38"/>
      <c r="N1074" s="38"/>
      <c r="O1074" s="38"/>
      <c r="P1074" s="38"/>
      <c r="Q1074" s="38"/>
      <c r="R1074" s="38"/>
      <c r="S1074" s="38"/>
      <c r="T1074" s="38"/>
    </row>
    <row r="1075" spans="1:20" ht="15">
      <c r="A1075" s="3">
        <v>2027</v>
      </c>
      <c r="B1075" s="3">
        <f t="shared" si="8"/>
        <v>365</v>
      </c>
      <c r="C1075" s="40">
        <f t="shared" ref="C1075:J1075" si="19">AVERAGE(C173:C184)</f>
        <v>154.75825</v>
      </c>
      <c r="D1075" s="40">
        <f t="shared" si="19"/>
        <v>281.0162499999999</v>
      </c>
      <c r="E1075" s="40">
        <f t="shared" si="19"/>
        <v>780.7254999999999</v>
      </c>
      <c r="F1075" s="40">
        <f t="shared" si="19"/>
        <v>1216.5</v>
      </c>
      <c r="G1075" s="40">
        <f t="shared" si="19"/>
        <v>79.166666666666671</v>
      </c>
      <c r="H1075" s="41">
        <f t="shared" si="19"/>
        <v>600</v>
      </c>
      <c r="I1075" s="40">
        <f t="shared" si="19"/>
        <v>695</v>
      </c>
      <c r="J1075" s="40">
        <f t="shared" si="19"/>
        <v>33.333333333333336</v>
      </c>
      <c r="K1075" s="38"/>
      <c r="L1075" s="38"/>
      <c r="M1075" s="38"/>
      <c r="N1075" s="38"/>
      <c r="O1075" s="38"/>
      <c r="P1075" s="38"/>
      <c r="Q1075" s="38"/>
      <c r="R1075" s="38"/>
      <c r="S1075" s="38"/>
      <c r="T1075" s="38"/>
    </row>
    <row r="1076" spans="1:20" ht="15">
      <c r="A1076" s="3">
        <v>2028</v>
      </c>
      <c r="B1076" s="3">
        <f t="shared" si="8"/>
        <v>366</v>
      </c>
      <c r="C1076" s="40">
        <f t="shared" ref="C1076:J1076" si="20">AVERAGE(C185:C196)</f>
        <v>154.75825</v>
      </c>
      <c r="D1076" s="40">
        <f t="shared" si="20"/>
        <v>281.0162499999999</v>
      </c>
      <c r="E1076" s="40">
        <f t="shared" si="20"/>
        <v>780.7254999999999</v>
      </c>
      <c r="F1076" s="40">
        <f t="shared" si="20"/>
        <v>1216.5</v>
      </c>
      <c r="G1076" s="40">
        <f t="shared" si="20"/>
        <v>79.166666666666671</v>
      </c>
      <c r="H1076" s="41">
        <f t="shared" si="20"/>
        <v>600</v>
      </c>
      <c r="I1076" s="40">
        <f t="shared" si="20"/>
        <v>695</v>
      </c>
      <c r="J1076" s="40">
        <f t="shared" si="20"/>
        <v>33.333333333333336</v>
      </c>
      <c r="K1076" s="38"/>
      <c r="L1076" s="38"/>
      <c r="M1076" s="38"/>
      <c r="N1076" s="38"/>
      <c r="O1076" s="38"/>
      <c r="P1076" s="38"/>
      <c r="Q1076" s="38"/>
      <c r="R1076" s="38"/>
      <c r="S1076" s="38"/>
      <c r="T1076" s="38"/>
    </row>
    <row r="1077" spans="1:20" ht="15">
      <c r="A1077" s="3">
        <v>2029</v>
      </c>
      <c r="B1077" s="3">
        <f t="shared" si="8"/>
        <v>365</v>
      </c>
      <c r="C1077" s="40">
        <f t="shared" ref="C1077:J1077" si="21">AVERAGE(C197:C208)</f>
        <v>154.75825</v>
      </c>
      <c r="D1077" s="40">
        <f t="shared" si="21"/>
        <v>281.0162499999999</v>
      </c>
      <c r="E1077" s="40">
        <f t="shared" si="21"/>
        <v>780.7254999999999</v>
      </c>
      <c r="F1077" s="40">
        <f t="shared" si="21"/>
        <v>1216.5</v>
      </c>
      <c r="G1077" s="40">
        <f t="shared" si="21"/>
        <v>79.166666666666671</v>
      </c>
      <c r="H1077" s="41">
        <f t="shared" si="21"/>
        <v>600</v>
      </c>
      <c r="I1077" s="40">
        <f t="shared" si="21"/>
        <v>695</v>
      </c>
      <c r="J1077" s="40">
        <f t="shared" si="21"/>
        <v>33.333333333333336</v>
      </c>
      <c r="K1077" s="38"/>
      <c r="L1077" s="38"/>
      <c r="M1077" s="38"/>
      <c r="N1077" s="38"/>
      <c r="O1077" s="38"/>
      <c r="P1077" s="38"/>
      <c r="Q1077" s="38"/>
      <c r="R1077" s="38"/>
      <c r="S1077" s="38"/>
      <c r="T1077" s="38"/>
    </row>
    <row r="1078" spans="1:20" ht="15">
      <c r="A1078" s="3">
        <v>2030</v>
      </c>
      <c r="B1078" s="3">
        <f t="shared" si="8"/>
        <v>365</v>
      </c>
      <c r="C1078" s="40">
        <f t="shared" ref="C1078:J1078" si="22">AVERAGE(C209:C220)</f>
        <v>154.75825</v>
      </c>
      <c r="D1078" s="40">
        <f t="shared" si="22"/>
        <v>281.0162499999999</v>
      </c>
      <c r="E1078" s="40">
        <f t="shared" si="22"/>
        <v>780.7254999999999</v>
      </c>
      <c r="F1078" s="40">
        <f t="shared" si="22"/>
        <v>1216.5</v>
      </c>
      <c r="G1078" s="40">
        <f t="shared" si="22"/>
        <v>79.166666666666671</v>
      </c>
      <c r="H1078" s="41">
        <f t="shared" si="22"/>
        <v>600</v>
      </c>
      <c r="I1078" s="40">
        <f t="shared" si="22"/>
        <v>695</v>
      </c>
      <c r="J1078" s="40">
        <f t="shared" si="22"/>
        <v>33.333333333333336</v>
      </c>
      <c r="K1078" s="38"/>
      <c r="L1078" s="38"/>
      <c r="M1078" s="38"/>
      <c r="N1078" s="38"/>
      <c r="O1078" s="38"/>
      <c r="P1078" s="38"/>
      <c r="Q1078" s="38"/>
      <c r="R1078" s="38"/>
      <c r="S1078" s="38"/>
      <c r="T1078" s="38"/>
    </row>
    <row r="1079" spans="1:20" ht="15">
      <c r="A1079" s="3">
        <v>2031</v>
      </c>
      <c r="B1079" s="3">
        <f t="shared" si="8"/>
        <v>365</v>
      </c>
      <c r="C1079" s="40">
        <f t="shared" ref="C1079:J1079" si="23">AVERAGE(C221:C232)</f>
        <v>154.75825</v>
      </c>
      <c r="D1079" s="40">
        <f t="shared" si="23"/>
        <v>281.0162499999999</v>
      </c>
      <c r="E1079" s="40">
        <f t="shared" si="23"/>
        <v>780.7254999999999</v>
      </c>
      <c r="F1079" s="40">
        <f t="shared" si="23"/>
        <v>1216.5</v>
      </c>
      <c r="G1079" s="40">
        <f t="shared" si="23"/>
        <v>79.166666666666671</v>
      </c>
      <c r="H1079" s="41">
        <f t="shared" si="23"/>
        <v>600</v>
      </c>
      <c r="I1079" s="40">
        <f t="shared" si="23"/>
        <v>695</v>
      </c>
      <c r="J1079" s="40">
        <f t="shared" si="23"/>
        <v>33.333333333333336</v>
      </c>
      <c r="K1079" s="38"/>
      <c r="L1079" s="38"/>
      <c r="M1079" s="38"/>
      <c r="N1079" s="38"/>
      <c r="O1079" s="38"/>
      <c r="P1079" s="38"/>
      <c r="Q1079" s="38"/>
      <c r="R1079" s="38"/>
      <c r="S1079" s="38"/>
      <c r="T1079" s="38"/>
    </row>
    <row r="1080" spans="1:20" ht="15">
      <c r="A1080" s="3">
        <v>2032</v>
      </c>
      <c r="B1080" s="3">
        <f t="shared" si="8"/>
        <v>366</v>
      </c>
      <c r="C1080" s="40">
        <f t="shared" ref="C1080:J1080" si="24">AVERAGE(C233:C244)</f>
        <v>154.75825</v>
      </c>
      <c r="D1080" s="40">
        <f t="shared" si="24"/>
        <v>281.0162499999999</v>
      </c>
      <c r="E1080" s="40">
        <f t="shared" si="24"/>
        <v>780.7254999999999</v>
      </c>
      <c r="F1080" s="40">
        <f t="shared" si="24"/>
        <v>1216.5</v>
      </c>
      <c r="G1080" s="40">
        <f t="shared" si="24"/>
        <v>79.166666666666671</v>
      </c>
      <c r="H1080" s="41">
        <f t="shared" si="24"/>
        <v>600</v>
      </c>
      <c r="I1080" s="40">
        <f t="shared" si="24"/>
        <v>695</v>
      </c>
      <c r="J1080" s="40">
        <f t="shared" si="24"/>
        <v>33.333333333333336</v>
      </c>
      <c r="K1080" s="38"/>
      <c r="L1080" s="38"/>
      <c r="M1080" s="38"/>
      <c r="N1080" s="38"/>
      <c r="O1080" s="38"/>
      <c r="P1080" s="38"/>
      <c r="Q1080" s="38"/>
      <c r="R1080" s="38"/>
      <c r="S1080" s="38"/>
      <c r="T1080" s="38"/>
    </row>
    <row r="1081" spans="1:20" ht="15">
      <c r="A1081" s="3">
        <v>2033</v>
      </c>
      <c r="B1081" s="3">
        <f t="shared" si="8"/>
        <v>365</v>
      </c>
      <c r="C1081" s="40">
        <f t="shared" ref="C1081:J1081" si="25">AVERAGE(C245:C256)</f>
        <v>154.75825</v>
      </c>
      <c r="D1081" s="40">
        <f t="shared" si="25"/>
        <v>281.0162499999999</v>
      </c>
      <c r="E1081" s="40">
        <f t="shared" si="25"/>
        <v>780.7254999999999</v>
      </c>
      <c r="F1081" s="40">
        <f t="shared" si="25"/>
        <v>1216.5</v>
      </c>
      <c r="G1081" s="40">
        <f t="shared" si="25"/>
        <v>79.166666666666671</v>
      </c>
      <c r="H1081" s="41">
        <f t="shared" si="25"/>
        <v>600</v>
      </c>
      <c r="I1081" s="40">
        <f t="shared" si="25"/>
        <v>695</v>
      </c>
      <c r="J1081" s="40">
        <f t="shared" si="25"/>
        <v>33.333333333333336</v>
      </c>
      <c r="K1081" s="38"/>
      <c r="L1081" s="38"/>
      <c r="M1081" s="38"/>
      <c r="N1081" s="38"/>
      <c r="O1081" s="38"/>
      <c r="P1081" s="38"/>
      <c r="Q1081" s="38"/>
      <c r="R1081" s="38"/>
      <c r="S1081" s="38"/>
      <c r="T1081" s="38"/>
    </row>
    <row r="1082" spans="1:20" ht="15">
      <c r="A1082" s="3">
        <v>2034</v>
      </c>
      <c r="B1082" s="3">
        <f t="shared" si="8"/>
        <v>365</v>
      </c>
      <c r="C1082" s="40">
        <f t="shared" ref="C1082:J1082" si="26">AVERAGE(C257:C268)</f>
        <v>154.75825</v>
      </c>
      <c r="D1082" s="40">
        <f t="shared" si="26"/>
        <v>281.0162499999999</v>
      </c>
      <c r="E1082" s="40">
        <f t="shared" si="26"/>
        <v>780.7254999999999</v>
      </c>
      <c r="F1082" s="40">
        <f t="shared" si="26"/>
        <v>1216.5</v>
      </c>
      <c r="G1082" s="40">
        <f t="shared" si="26"/>
        <v>79.166666666666671</v>
      </c>
      <c r="H1082" s="41">
        <f t="shared" si="26"/>
        <v>600</v>
      </c>
      <c r="I1082" s="40">
        <f t="shared" si="26"/>
        <v>695</v>
      </c>
      <c r="J1082" s="40">
        <f t="shared" si="26"/>
        <v>33.333333333333336</v>
      </c>
      <c r="K1082" s="38"/>
      <c r="L1082" s="38"/>
      <c r="M1082" s="38"/>
      <c r="N1082" s="38"/>
      <c r="O1082" s="38"/>
      <c r="P1082" s="38"/>
      <c r="Q1082" s="38"/>
      <c r="R1082" s="38"/>
      <c r="S1082" s="38"/>
      <c r="T1082" s="38"/>
    </row>
    <row r="1083" spans="1:20" ht="15">
      <c r="A1083" s="3">
        <v>2035</v>
      </c>
      <c r="B1083" s="3">
        <f t="shared" si="8"/>
        <v>365</v>
      </c>
      <c r="C1083" s="40">
        <f t="shared" ref="C1083:J1083" si="27">AVERAGE(C269:C280)</f>
        <v>154.75825</v>
      </c>
      <c r="D1083" s="40">
        <f t="shared" si="27"/>
        <v>281.0162499999999</v>
      </c>
      <c r="E1083" s="40">
        <f t="shared" si="27"/>
        <v>780.7254999999999</v>
      </c>
      <c r="F1083" s="40">
        <f t="shared" si="27"/>
        <v>1216.5</v>
      </c>
      <c r="G1083" s="40">
        <f t="shared" si="27"/>
        <v>79.166666666666671</v>
      </c>
      <c r="H1083" s="41">
        <f t="shared" si="27"/>
        <v>600</v>
      </c>
      <c r="I1083" s="40">
        <f t="shared" si="27"/>
        <v>695</v>
      </c>
      <c r="J1083" s="40">
        <f t="shared" si="27"/>
        <v>33.333333333333336</v>
      </c>
      <c r="K1083" s="38"/>
      <c r="L1083" s="38"/>
      <c r="M1083" s="38"/>
      <c r="N1083" s="38"/>
      <c r="O1083" s="38"/>
      <c r="P1083" s="38"/>
      <c r="Q1083" s="38"/>
      <c r="R1083" s="38"/>
      <c r="S1083" s="38"/>
      <c r="T1083" s="38"/>
    </row>
    <row r="1084" spans="1:20" ht="15">
      <c r="A1084" s="3">
        <v>2036</v>
      </c>
      <c r="B1084" s="3">
        <f t="shared" si="8"/>
        <v>366</v>
      </c>
      <c r="C1084" s="40">
        <f t="shared" ref="C1084:J1084" si="28">AVERAGE(C281:C292)</f>
        <v>154.75825</v>
      </c>
      <c r="D1084" s="40">
        <f t="shared" si="28"/>
        <v>281.0162499999999</v>
      </c>
      <c r="E1084" s="40">
        <f t="shared" si="28"/>
        <v>780.7254999999999</v>
      </c>
      <c r="F1084" s="40">
        <f t="shared" si="28"/>
        <v>1216.5</v>
      </c>
      <c r="G1084" s="40">
        <f t="shared" si="28"/>
        <v>79.166666666666671</v>
      </c>
      <c r="H1084" s="41">
        <f t="shared" si="28"/>
        <v>600</v>
      </c>
      <c r="I1084" s="40">
        <f t="shared" si="28"/>
        <v>695</v>
      </c>
      <c r="J1084" s="40">
        <f t="shared" si="28"/>
        <v>33.333333333333336</v>
      </c>
      <c r="K1084" s="38"/>
      <c r="L1084" s="38"/>
      <c r="M1084" s="38"/>
      <c r="N1084" s="38"/>
      <c r="O1084" s="38"/>
      <c r="P1084" s="38"/>
      <c r="Q1084" s="38"/>
      <c r="R1084" s="38"/>
      <c r="S1084" s="38"/>
      <c r="T1084" s="38"/>
    </row>
    <row r="1085" spans="1:20" ht="15">
      <c r="A1085" s="3">
        <v>2037</v>
      </c>
      <c r="B1085" s="3">
        <f t="shared" si="8"/>
        <v>365</v>
      </c>
      <c r="C1085" s="40">
        <f t="shared" ref="C1085:J1085" si="29">AVERAGE(C293:C304)</f>
        <v>154.75825</v>
      </c>
      <c r="D1085" s="40">
        <f t="shared" si="29"/>
        <v>281.0162499999999</v>
      </c>
      <c r="E1085" s="40">
        <f t="shared" si="29"/>
        <v>780.7254999999999</v>
      </c>
      <c r="F1085" s="40">
        <f t="shared" si="29"/>
        <v>1216.5</v>
      </c>
      <c r="G1085" s="40">
        <f t="shared" si="29"/>
        <v>79.166666666666671</v>
      </c>
      <c r="H1085" s="41">
        <f t="shared" si="29"/>
        <v>600</v>
      </c>
      <c r="I1085" s="40">
        <f t="shared" si="29"/>
        <v>695</v>
      </c>
      <c r="J1085" s="40">
        <f t="shared" si="29"/>
        <v>33.333333333333336</v>
      </c>
      <c r="K1085" s="38"/>
      <c r="L1085" s="38"/>
      <c r="M1085" s="38"/>
      <c r="N1085" s="38"/>
      <c r="O1085" s="38"/>
      <c r="P1085" s="38"/>
      <c r="Q1085" s="38"/>
      <c r="R1085" s="38"/>
      <c r="S1085" s="38"/>
      <c r="T1085" s="38"/>
    </row>
    <row r="1086" spans="1:20" ht="15">
      <c r="A1086" s="3">
        <f t="shared" ref="A1086:A1117" si="30">A1085+1</f>
        <v>2038</v>
      </c>
      <c r="B1086" s="3">
        <f t="shared" si="8"/>
        <v>365</v>
      </c>
      <c r="C1086" s="37">
        <f t="shared" ref="C1086:J1086" si="31">AVERAGE(C305:C316)</f>
        <v>154.75825</v>
      </c>
      <c r="D1086" s="37">
        <f t="shared" si="31"/>
        <v>281.0162499999999</v>
      </c>
      <c r="E1086" s="37">
        <f t="shared" si="31"/>
        <v>780.7254999999999</v>
      </c>
      <c r="F1086" s="37">
        <f t="shared" si="31"/>
        <v>1216.5</v>
      </c>
      <c r="G1086" s="37">
        <f t="shared" si="31"/>
        <v>79.166666666666671</v>
      </c>
      <c r="H1086" s="39">
        <f t="shared" si="31"/>
        <v>600</v>
      </c>
      <c r="I1086" s="37">
        <f t="shared" si="31"/>
        <v>695</v>
      </c>
      <c r="J1086" s="37">
        <f t="shared" si="31"/>
        <v>33.333333333333336</v>
      </c>
      <c r="K1086" s="38"/>
      <c r="L1086" s="38"/>
      <c r="M1086" s="38"/>
      <c r="N1086" s="38"/>
      <c r="O1086" s="38"/>
      <c r="P1086" s="38"/>
      <c r="Q1086" s="38"/>
      <c r="R1086" s="38"/>
      <c r="S1086" s="38"/>
      <c r="T1086" s="38"/>
    </row>
    <row r="1087" spans="1:20" ht="15">
      <c r="A1087" s="3">
        <f t="shared" si="30"/>
        <v>2039</v>
      </c>
      <c r="B1087" s="3">
        <f t="shared" si="8"/>
        <v>365</v>
      </c>
      <c r="C1087" s="37">
        <f t="shared" ref="C1087:J1087" si="32">AVERAGE(C317:C328)</f>
        <v>154.75825</v>
      </c>
      <c r="D1087" s="37">
        <f t="shared" si="32"/>
        <v>281.0162499999999</v>
      </c>
      <c r="E1087" s="37">
        <f t="shared" si="32"/>
        <v>780.7254999999999</v>
      </c>
      <c r="F1087" s="37">
        <f t="shared" si="32"/>
        <v>1216.5</v>
      </c>
      <c r="G1087" s="37">
        <f t="shared" si="32"/>
        <v>79.166666666666671</v>
      </c>
      <c r="H1087" s="39">
        <f t="shared" si="32"/>
        <v>600</v>
      </c>
      <c r="I1087" s="37">
        <f t="shared" si="32"/>
        <v>695</v>
      </c>
      <c r="J1087" s="37">
        <f t="shared" si="32"/>
        <v>33.333333333333336</v>
      </c>
      <c r="K1087" s="38"/>
      <c r="L1087" s="38"/>
      <c r="M1087" s="38"/>
      <c r="N1087" s="38"/>
      <c r="O1087" s="38"/>
      <c r="P1087" s="38"/>
      <c r="Q1087" s="38"/>
      <c r="R1087" s="38"/>
      <c r="S1087" s="38"/>
      <c r="T1087" s="38"/>
    </row>
    <row r="1088" spans="1:20" ht="15">
      <c r="A1088" s="3">
        <f t="shared" si="30"/>
        <v>2040</v>
      </c>
      <c r="B1088" s="3">
        <f t="shared" si="8"/>
        <v>366</v>
      </c>
      <c r="C1088" s="37">
        <f t="shared" ref="C1088:J1088" si="33">AVERAGE(C329:C340)</f>
        <v>154.75825</v>
      </c>
      <c r="D1088" s="37">
        <f t="shared" si="33"/>
        <v>281.0162499999999</v>
      </c>
      <c r="E1088" s="37">
        <f t="shared" si="33"/>
        <v>780.7254999999999</v>
      </c>
      <c r="F1088" s="37">
        <f t="shared" si="33"/>
        <v>1216.5</v>
      </c>
      <c r="G1088" s="37">
        <f t="shared" si="33"/>
        <v>79.166666666666671</v>
      </c>
      <c r="H1088" s="39">
        <f t="shared" si="33"/>
        <v>600</v>
      </c>
      <c r="I1088" s="37">
        <f t="shared" si="33"/>
        <v>695</v>
      </c>
      <c r="J1088" s="37">
        <f t="shared" si="33"/>
        <v>33.333333333333336</v>
      </c>
      <c r="K1088" s="38"/>
      <c r="L1088" s="38"/>
      <c r="M1088" s="38"/>
      <c r="N1088" s="38"/>
      <c r="O1088" s="38"/>
      <c r="P1088" s="38"/>
      <c r="Q1088" s="38"/>
      <c r="R1088" s="38"/>
      <c r="S1088" s="38"/>
      <c r="T1088" s="38"/>
    </row>
    <row r="1089" spans="1:20" ht="15">
      <c r="A1089" s="3">
        <f t="shared" si="30"/>
        <v>2041</v>
      </c>
      <c r="B1089" s="3">
        <f t="shared" si="8"/>
        <v>365</v>
      </c>
      <c r="C1089" s="37">
        <f t="shared" ref="C1089:J1089" si="34">AVERAGE(C341:C352)</f>
        <v>154.75825</v>
      </c>
      <c r="D1089" s="37">
        <f t="shared" si="34"/>
        <v>281.0162499999999</v>
      </c>
      <c r="E1089" s="37">
        <f t="shared" si="34"/>
        <v>780.7254999999999</v>
      </c>
      <c r="F1089" s="37">
        <f t="shared" si="34"/>
        <v>1216.5</v>
      </c>
      <c r="G1089" s="37">
        <f t="shared" si="34"/>
        <v>79.166666666666671</v>
      </c>
      <c r="H1089" s="39">
        <f t="shared" si="34"/>
        <v>600</v>
      </c>
      <c r="I1089" s="37">
        <f t="shared" si="34"/>
        <v>695</v>
      </c>
      <c r="J1089" s="37">
        <f t="shared" si="34"/>
        <v>33.333333333333336</v>
      </c>
      <c r="K1089" s="38"/>
      <c r="L1089" s="38"/>
      <c r="M1089" s="38"/>
      <c r="N1089" s="38"/>
      <c r="O1089" s="38"/>
      <c r="P1089" s="38"/>
      <c r="Q1089" s="38"/>
      <c r="R1089" s="38"/>
      <c r="S1089" s="38"/>
      <c r="T1089" s="38"/>
    </row>
    <row r="1090" spans="1:20" ht="15">
      <c r="A1090" s="3">
        <f t="shared" si="30"/>
        <v>2042</v>
      </c>
      <c r="B1090" s="3">
        <f t="shared" si="8"/>
        <v>365</v>
      </c>
      <c r="C1090" s="37">
        <f t="shared" ref="C1090:J1090" si="35">AVERAGE(C353:C364)</f>
        <v>154.75825</v>
      </c>
      <c r="D1090" s="37">
        <f t="shared" si="35"/>
        <v>281.0162499999999</v>
      </c>
      <c r="E1090" s="37">
        <f t="shared" si="35"/>
        <v>780.7254999999999</v>
      </c>
      <c r="F1090" s="37">
        <f t="shared" si="35"/>
        <v>1216.5</v>
      </c>
      <c r="G1090" s="37">
        <f t="shared" si="35"/>
        <v>79.166666666666671</v>
      </c>
      <c r="H1090" s="39">
        <f t="shared" si="35"/>
        <v>600</v>
      </c>
      <c r="I1090" s="37">
        <f t="shared" si="35"/>
        <v>695</v>
      </c>
      <c r="J1090" s="37">
        <f t="shared" si="35"/>
        <v>33.333333333333336</v>
      </c>
      <c r="K1090" s="38"/>
      <c r="L1090" s="38"/>
      <c r="M1090" s="38"/>
      <c r="N1090" s="38"/>
      <c r="O1090" s="38"/>
      <c r="P1090" s="38"/>
      <c r="Q1090" s="38"/>
      <c r="R1090" s="38"/>
      <c r="S1090" s="38"/>
      <c r="T1090" s="38"/>
    </row>
    <row r="1091" spans="1:20" ht="15">
      <c r="A1091" s="3">
        <f t="shared" si="30"/>
        <v>2043</v>
      </c>
      <c r="B1091" s="3">
        <f t="shared" si="8"/>
        <v>365</v>
      </c>
      <c r="C1091" s="37">
        <f t="shared" ref="C1091:J1091" si="36">AVERAGE(C365:C376)</f>
        <v>154.75825</v>
      </c>
      <c r="D1091" s="37">
        <f t="shared" si="36"/>
        <v>281.0162499999999</v>
      </c>
      <c r="E1091" s="37">
        <f t="shared" si="36"/>
        <v>780.7254999999999</v>
      </c>
      <c r="F1091" s="37">
        <f t="shared" si="36"/>
        <v>1216.5</v>
      </c>
      <c r="G1091" s="37">
        <f t="shared" si="36"/>
        <v>79.166666666666671</v>
      </c>
      <c r="H1091" s="39">
        <f t="shared" si="36"/>
        <v>600</v>
      </c>
      <c r="I1091" s="37">
        <f t="shared" si="36"/>
        <v>695</v>
      </c>
      <c r="J1091" s="37">
        <f t="shared" si="36"/>
        <v>33.333333333333336</v>
      </c>
      <c r="K1091" s="38"/>
      <c r="L1091" s="38"/>
      <c r="M1091" s="38"/>
      <c r="N1091" s="38"/>
      <c r="O1091" s="38"/>
      <c r="P1091" s="38"/>
      <c r="Q1091" s="38"/>
      <c r="R1091" s="38"/>
      <c r="S1091" s="38"/>
      <c r="T1091" s="38"/>
    </row>
    <row r="1092" spans="1:20" ht="15">
      <c r="A1092" s="3">
        <f t="shared" si="30"/>
        <v>2044</v>
      </c>
      <c r="B1092" s="3">
        <f t="shared" si="8"/>
        <v>366</v>
      </c>
      <c r="C1092" s="37">
        <f t="shared" ref="C1092:J1092" si="37">AVERAGE(C377:C388)</f>
        <v>154.75825</v>
      </c>
      <c r="D1092" s="37">
        <f t="shared" si="37"/>
        <v>281.0162499999999</v>
      </c>
      <c r="E1092" s="37">
        <f t="shared" si="37"/>
        <v>780.7254999999999</v>
      </c>
      <c r="F1092" s="37">
        <f t="shared" si="37"/>
        <v>1216.5</v>
      </c>
      <c r="G1092" s="37">
        <f t="shared" si="37"/>
        <v>79.166666666666671</v>
      </c>
      <c r="H1092" s="39">
        <f t="shared" si="37"/>
        <v>600</v>
      </c>
      <c r="I1092" s="37">
        <f t="shared" si="37"/>
        <v>695</v>
      </c>
      <c r="J1092" s="37">
        <f t="shared" si="37"/>
        <v>33.333333333333336</v>
      </c>
      <c r="K1092" s="38"/>
      <c r="L1092" s="38"/>
      <c r="M1092" s="38"/>
      <c r="N1092" s="38"/>
      <c r="O1092" s="38"/>
      <c r="P1092" s="38"/>
      <c r="Q1092" s="38"/>
      <c r="R1092" s="38"/>
      <c r="S1092" s="38"/>
      <c r="T1092" s="38"/>
    </row>
    <row r="1093" spans="1:20" ht="15">
      <c r="A1093" s="3">
        <f t="shared" si="30"/>
        <v>2045</v>
      </c>
      <c r="B1093" s="3">
        <f t="shared" si="8"/>
        <v>365</v>
      </c>
      <c r="C1093" s="37">
        <f t="shared" ref="C1093:J1093" si="38">AVERAGE(C389:C400)</f>
        <v>154.75825</v>
      </c>
      <c r="D1093" s="37">
        <f t="shared" si="38"/>
        <v>281.0162499999999</v>
      </c>
      <c r="E1093" s="37">
        <f t="shared" si="38"/>
        <v>780.7254999999999</v>
      </c>
      <c r="F1093" s="37">
        <f t="shared" si="38"/>
        <v>1216.5</v>
      </c>
      <c r="G1093" s="37">
        <f t="shared" si="38"/>
        <v>79.166666666666671</v>
      </c>
      <c r="H1093" s="39">
        <f t="shared" si="38"/>
        <v>600</v>
      </c>
      <c r="I1093" s="37">
        <f t="shared" si="38"/>
        <v>695</v>
      </c>
      <c r="J1093" s="37">
        <f t="shared" si="38"/>
        <v>33.333333333333336</v>
      </c>
      <c r="K1093" s="38"/>
      <c r="L1093" s="38"/>
      <c r="M1093" s="38"/>
      <c r="N1093" s="38"/>
      <c r="O1093" s="38"/>
      <c r="P1093" s="38"/>
      <c r="Q1093" s="38"/>
      <c r="R1093" s="38"/>
      <c r="S1093" s="38"/>
      <c r="T1093" s="38"/>
    </row>
    <row r="1094" spans="1:20" ht="15">
      <c r="A1094" s="3">
        <f t="shared" si="30"/>
        <v>2046</v>
      </c>
      <c r="B1094" s="3">
        <f t="shared" ref="B1094:B1125" si="39">DATE(A1094+1,1,1)-DATE(A1094,1,1)</f>
        <v>365</v>
      </c>
      <c r="C1094" s="37">
        <f t="shared" ref="C1094:J1094" si="40">AVERAGE(C401:C412)</f>
        <v>154.75825</v>
      </c>
      <c r="D1094" s="37">
        <f t="shared" si="40"/>
        <v>281.0162499999999</v>
      </c>
      <c r="E1094" s="37">
        <f t="shared" si="40"/>
        <v>780.7254999999999</v>
      </c>
      <c r="F1094" s="37">
        <f t="shared" si="40"/>
        <v>1216.5</v>
      </c>
      <c r="G1094" s="37">
        <f t="shared" si="40"/>
        <v>79.166666666666671</v>
      </c>
      <c r="H1094" s="39">
        <f t="shared" si="40"/>
        <v>600</v>
      </c>
      <c r="I1094" s="37">
        <f t="shared" si="40"/>
        <v>695</v>
      </c>
      <c r="J1094" s="37">
        <f t="shared" si="40"/>
        <v>33.333333333333336</v>
      </c>
      <c r="K1094" s="38"/>
      <c r="L1094" s="38"/>
      <c r="M1094" s="38"/>
      <c r="N1094" s="38"/>
      <c r="O1094" s="38"/>
      <c r="P1094" s="38"/>
      <c r="Q1094" s="38"/>
      <c r="R1094" s="38"/>
      <c r="S1094" s="38"/>
      <c r="T1094" s="38"/>
    </row>
    <row r="1095" spans="1:20" ht="15">
      <c r="A1095" s="3">
        <f t="shared" si="30"/>
        <v>2047</v>
      </c>
      <c r="B1095" s="3">
        <f t="shared" si="39"/>
        <v>365</v>
      </c>
      <c r="C1095" s="37">
        <f t="shared" ref="C1095:J1095" si="41">AVERAGE(C413:C424)</f>
        <v>154.75825</v>
      </c>
      <c r="D1095" s="37">
        <f t="shared" si="41"/>
        <v>281.0162499999999</v>
      </c>
      <c r="E1095" s="37">
        <f t="shared" si="41"/>
        <v>780.7254999999999</v>
      </c>
      <c r="F1095" s="37">
        <f t="shared" si="41"/>
        <v>1216.5</v>
      </c>
      <c r="G1095" s="37">
        <f t="shared" si="41"/>
        <v>79.166666666666671</v>
      </c>
      <c r="H1095" s="39">
        <f t="shared" si="41"/>
        <v>600</v>
      </c>
      <c r="I1095" s="37">
        <f t="shared" si="41"/>
        <v>695</v>
      </c>
      <c r="J1095" s="37">
        <f t="shared" si="41"/>
        <v>33.333333333333336</v>
      </c>
      <c r="K1095" s="38"/>
      <c r="L1095" s="38"/>
      <c r="M1095" s="38"/>
      <c r="N1095" s="38"/>
      <c r="O1095" s="38"/>
      <c r="P1095" s="38"/>
      <c r="Q1095" s="38"/>
      <c r="R1095" s="38"/>
      <c r="S1095" s="38"/>
      <c r="T1095" s="38"/>
    </row>
    <row r="1096" spans="1:20" ht="15">
      <c r="A1096" s="3">
        <f t="shared" si="30"/>
        <v>2048</v>
      </c>
      <c r="B1096" s="3">
        <f t="shared" si="39"/>
        <v>366</v>
      </c>
      <c r="C1096" s="37">
        <f t="shared" ref="C1096:J1096" si="42">AVERAGE(C425:C436)</f>
        <v>154.75825</v>
      </c>
      <c r="D1096" s="37">
        <f t="shared" si="42"/>
        <v>281.0162499999999</v>
      </c>
      <c r="E1096" s="37">
        <f t="shared" si="42"/>
        <v>780.7254999999999</v>
      </c>
      <c r="F1096" s="37">
        <f t="shared" si="42"/>
        <v>1216.5</v>
      </c>
      <c r="G1096" s="37">
        <f t="shared" si="42"/>
        <v>79.166666666666671</v>
      </c>
      <c r="H1096" s="39">
        <f t="shared" si="42"/>
        <v>600</v>
      </c>
      <c r="I1096" s="37">
        <f t="shared" si="42"/>
        <v>695</v>
      </c>
      <c r="J1096" s="37">
        <f t="shared" si="42"/>
        <v>33.333333333333336</v>
      </c>
      <c r="K1096" s="38"/>
      <c r="L1096" s="38"/>
      <c r="M1096" s="38"/>
      <c r="N1096" s="38"/>
      <c r="O1096" s="38"/>
      <c r="P1096" s="38"/>
      <c r="Q1096" s="38"/>
      <c r="R1096" s="38"/>
      <c r="S1096" s="38"/>
      <c r="T1096" s="38"/>
    </row>
    <row r="1097" spans="1:20" ht="15">
      <c r="A1097" s="3">
        <f t="shared" si="30"/>
        <v>2049</v>
      </c>
      <c r="B1097" s="3">
        <f t="shared" si="39"/>
        <v>365</v>
      </c>
      <c r="C1097" s="37">
        <f t="shared" ref="C1097:J1097" si="43">AVERAGE(C437:C448)</f>
        <v>154.75825</v>
      </c>
      <c r="D1097" s="37">
        <f t="shared" si="43"/>
        <v>281.0162499999999</v>
      </c>
      <c r="E1097" s="37">
        <f t="shared" si="43"/>
        <v>780.7254999999999</v>
      </c>
      <c r="F1097" s="37">
        <f t="shared" si="43"/>
        <v>1216.5</v>
      </c>
      <c r="G1097" s="37">
        <f t="shared" si="43"/>
        <v>79.166666666666671</v>
      </c>
      <c r="H1097" s="39">
        <f t="shared" si="43"/>
        <v>600</v>
      </c>
      <c r="I1097" s="37">
        <f t="shared" si="43"/>
        <v>695</v>
      </c>
      <c r="J1097" s="37">
        <f t="shared" si="43"/>
        <v>33.333333333333336</v>
      </c>
      <c r="K1097" s="38"/>
      <c r="L1097" s="38"/>
      <c r="M1097" s="38"/>
      <c r="N1097" s="38"/>
      <c r="O1097" s="38"/>
      <c r="P1097" s="38"/>
      <c r="Q1097" s="38"/>
      <c r="R1097" s="38"/>
      <c r="S1097" s="38"/>
      <c r="T1097" s="38"/>
    </row>
    <row r="1098" spans="1:20" ht="15">
      <c r="A1098" s="3">
        <f t="shared" si="30"/>
        <v>2050</v>
      </c>
      <c r="B1098" s="3">
        <f t="shared" si="39"/>
        <v>365</v>
      </c>
      <c r="C1098" s="37">
        <f t="shared" ref="C1098:J1098" si="44">AVERAGE(C449:C460)</f>
        <v>154.75825</v>
      </c>
      <c r="D1098" s="37">
        <f t="shared" si="44"/>
        <v>281.0162499999999</v>
      </c>
      <c r="E1098" s="37">
        <f t="shared" si="44"/>
        <v>780.7254999999999</v>
      </c>
      <c r="F1098" s="37">
        <f t="shared" si="44"/>
        <v>1216.5</v>
      </c>
      <c r="G1098" s="37">
        <f t="shared" si="44"/>
        <v>79.166666666666671</v>
      </c>
      <c r="H1098" s="39">
        <f t="shared" si="44"/>
        <v>600</v>
      </c>
      <c r="I1098" s="37">
        <f t="shared" si="44"/>
        <v>695</v>
      </c>
      <c r="J1098" s="37">
        <f t="shared" si="44"/>
        <v>33.333333333333336</v>
      </c>
      <c r="K1098" s="38"/>
      <c r="L1098" s="38"/>
      <c r="M1098" s="38"/>
      <c r="N1098" s="38"/>
      <c r="O1098" s="38"/>
      <c r="P1098" s="38"/>
      <c r="Q1098" s="38"/>
      <c r="R1098" s="38"/>
      <c r="S1098" s="38"/>
      <c r="T1098" s="38"/>
    </row>
    <row r="1099" spans="1:20" ht="15">
      <c r="A1099" s="3">
        <f t="shared" si="30"/>
        <v>2051</v>
      </c>
      <c r="B1099" s="3">
        <f t="shared" si="39"/>
        <v>365</v>
      </c>
      <c r="C1099" s="37">
        <f t="shared" ref="C1099:J1099" si="45">AVERAGE(C461:C472)</f>
        <v>154.75825</v>
      </c>
      <c r="D1099" s="37">
        <f t="shared" si="45"/>
        <v>281.0162499999999</v>
      </c>
      <c r="E1099" s="37">
        <f t="shared" si="45"/>
        <v>780.7254999999999</v>
      </c>
      <c r="F1099" s="37">
        <f t="shared" si="45"/>
        <v>1216.5</v>
      </c>
      <c r="G1099" s="37">
        <f t="shared" si="45"/>
        <v>79.166666666666671</v>
      </c>
      <c r="H1099" s="39">
        <f t="shared" si="45"/>
        <v>600</v>
      </c>
      <c r="I1099" s="37">
        <f t="shared" si="45"/>
        <v>695</v>
      </c>
      <c r="J1099" s="37">
        <f t="shared" si="45"/>
        <v>33.333333333333336</v>
      </c>
      <c r="K1099" s="38"/>
      <c r="L1099" s="38"/>
      <c r="M1099" s="38"/>
      <c r="N1099" s="38"/>
      <c r="O1099" s="38"/>
      <c r="P1099" s="38"/>
      <c r="Q1099" s="38"/>
      <c r="R1099" s="38"/>
      <c r="S1099" s="38"/>
      <c r="T1099" s="38"/>
    </row>
    <row r="1100" spans="1:20" ht="15">
      <c r="A1100" s="3">
        <f t="shared" si="30"/>
        <v>2052</v>
      </c>
      <c r="B1100" s="3">
        <f t="shared" si="39"/>
        <v>366</v>
      </c>
      <c r="C1100" s="37">
        <f t="shared" ref="C1100:J1100" si="46">AVERAGE(C473:C484)</f>
        <v>154.75825</v>
      </c>
      <c r="D1100" s="37">
        <f t="shared" si="46"/>
        <v>281.0162499999999</v>
      </c>
      <c r="E1100" s="37">
        <f t="shared" si="46"/>
        <v>780.7254999999999</v>
      </c>
      <c r="F1100" s="37">
        <f t="shared" si="46"/>
        <v>1216.5</v>
      </c>
      <c r="G1100" s="37">
        <f t="shared" si="46"/>
        <v>79.166666666666671</v>
      </c>
      <c r="H1100" s="39">
        <f t="shared" si="46"/>
        <v>600</v>
      </c>
      <c r="I1100" s="37">
        <f t="shared" si="46"/>
        <v>695</v>
      </c>
      <c r="J1100" s="37">
        <f t="shared" si="46"/>
        <v>33.333333333333336</v>
      </c>
      <c r="K1100" s="38"/>
      <c r="L1100" s="38"/>
      <c r="M1100" s="38"/>
      <c r="N1100" s="38"/>
      <c r="O1100" s="38"/>
      <c r="P1100" s="38"/>
      <c r="Q1100" s="38"/>
      <c r="R1100" s="38"/>
      <c r="S1100" s="38"/>
      <c r="T1100" s="38"/>
    </row>
    <row r="1101" spans="1:20" ht="15">
      <c r="A1101" s="3">
        <f t="shared" si="30"/>
        <v>2053</v>
      </c>
      <c r="B1101" s="3">
        <f t="shared" si="39"/>
        <v>365</v>
      </c>
      <c r="C1101" s="37">
        <f t="shared" ref="C1101:J1101" si="47">AVERAGE(C485:C496)</f>
        <v>154.75825</v>
      </c>
      <c r="D1101" s="37">
        <f t="shared" si="47"/>
        <v>281.0162499999999</v>
      </c>
      <c r="E1101" s="37">
        <f t="shared" si="47"/>
        <v>780.7254999999999</v>
      </c>
      <c r="F1101" s="37">
        <f t="shared" si="47"/>
        <v>1216.5</v>
      </c>
      <c r="G1101" s="37">
        <f t="shared" si="47"/>
        <v>79.166666666666671</v>
      </c>
      <c r="H1101" s="39">
        <f t="shared" si="47"/>
        <v>600</v>
      </c>
      <c r="I1101" s="37">
        <f t="shared" si="47"/>
        <v>695</v>
      </c>
      <c r="J1101" s="37">
        <f t="shared" si="47"/>
        <v>33.333333333333336</v>
      </c>
      <c r="K1101" s="38"/>
      <c r="L1101" s="38"/>
      <c r="M1101" s="38"/>
      <c r="N1101" s="38"/>
      <c r="O1101" s="38"/>
      <c r="P1101" s="38"/>
      <c r="Q1101" s="38"/>
      <c r="R1101" s="38"/>
      <c r="S1101" s="38"/>
      <c r="T1101" s="38"/>
    </row>
    <row r="1102" spans="1:20" ht="15">
      <c r="A1102" s="3">
        <f t="shared" si="30"/>
        <v>2054</v>
      </c>
      <c r="B1102" s="3">
        <f t="shared" si="39"/>
        <v>365</v>
      </c>
      <c r="C1102" s="37">
        <f t="shared" ref="C1102:J1109" si="48">AVERAGE(C497:C508)</f>
        <v>154.75825</v>
      </c>
      <c r="D1102" s="37">
        <f t="shared" si="48"/>
        <v>281.0162499999999</v>
      </c>
      <c r="E1102" s="37">
        <f t="shared" si="48"/>
        <v>780.7254999999999</v>
      </c>
      <c r="F1102" s="37">
        <f t="shared" si="48"/>
        <v>1216.5</v>
      </c>
      <c r="G1102" s="37">
        <f t="shared" si="48"/>
        <v>79.166666666666671</v>
      </c>
      <c r="H1102" s="39">
        <f t="shared" si="48"/>
        <v>600</v>
      </c>
      <c r="I1102" s="37">
        <f t="shared" si="48"/>
        <v>695</v>
      </c>
      <c r="J1102" s="37">
        <f t="shared" si="48"/>
        <v>33.333333333333336</v>
      </c>
      <c r="K1102" s="38"/>
      <c r="L1102" s="38"/>
      <c r="M1102" s="38"/>
      <c r="N1102" s="38"/>
      <c r="O1102" s="38"/>
      <c r="P1102" s="38"/>
      <c r="Q1102" s="38"/>
      <c r="R1102" s="38"/>
      <c r="S1102" s="38"/>
      <c r="T1102" s="38"/>
    </row>
    <row r="1103" spans="1:20" ht="15">
      <c r="A1103" s="3">
        <f t="shared" si="30"/>
        <v>2055</v>
      </c>
      <c r="B1103" s="3">
        <f t="shared" si="39"/>
        <v>365</v>
      </c>
      <c r="C1103" s="37">
        <f t="shared" si="48"/>
        <v>154.75825</v>
      </c>
      <c r="D1103" s="37">
        <f t="shared" si="48"/>
        <v>281.0162499999999</v>
      </c>
      <c r="E1103" s="37">
        <f t="shared" si="48"/>
        <v>780.7254999999999</v>
      </c>
      <c r="F1103" s="37">
        <f t="shared" si="48"/>
        <v>1216.5</v>
      </c>
      <c r="G1103" s="37">
        <f t="shared" si="48"/>
        <v>79.166666666666671</v>
      </c>
      <c r="H1103" s="39">
        <f t="shared" si="48"/>
        <v>600</v>
      </c>
      <c r="I1103" s="37">
        <f t="shared" si="48"/>
        <v>695</v>
      </c>
      <c r="J1103" s="37">
        <f t="shared" si="48"/>
        <v>33.333333333333336</v>
      </c>
      <c r="K1103" s="38"/>
      <c r="L1103" s="38"/>
      <c r="M1103" s="38"/>
      <c r="N1103" s="38"/>
      <c r="O1103" s="38"/>
      <c r="P1103" s="38"/>
      <c r="Q1103" s="38"/>
      <c r="R1103" s="38"/>
      <c r="S1103" s="38"/>
      <c r="T1103" s="38"/>
    </row>
    <row r="1104" spans="1:20" ht="15">
      <c r="A1104" s="3">
        <f t="shared" si="30"/>
        <v>2056</v>
      </c>
      <c r="B1104" s="3">
        <f t="shared" si="39"/>
        <v>366</v>
      </c>
      <c r="C1104" s="37">
        <f t="shared" si="48"/>
        <v>154.75824999999998</v>
      </c>
      <c r="D1104" s="37">
        <f t="shared" si="48"/>
        <v>281.0162499999999</v>
      </c>
      <c r="E1104" s="37">
        <f t="shared" si="48"/>
        <v>780.7254999999999</v>
      </c>
      <c r="F1104" s="37">
        <f t="shared" si="48"/>
        <v>1216.5</v>
      </c>
      <c r="G1104" s="37">
        <f t="shared" si="48"/>
        <v>79.166666666666671</v>
      </c>
      <c r="H1104" s="39">
        <f t="shared" si="48"/>
        <v>600</v>
      </c>
      <c r="I1104" s="37">
        <f t="shared" si="48"/>
        <v>695</v>
      </c>
      <c r="J1104" s="37">
        <f t="shared" si="48"/>
        <v>33.333333333333336</v>
      </c>
      <c r="K1104" s="38"/>
      <c r="L1104" s="38"/>
      <c r="M1104" s="38"/>
      <c r="N1104" s="38"/>
      <c r="O1104" s="38"/>
      <c r="P1104" s="38"/>
      <c r="Q1104" s="38"/>
      <c r="R1104" s="38"/>
      <c r="S1104" s="38"/>
      <c r="T1104" s="38"/>
    </row>
    <row r="1105" spans="1:20" ht="15">
      <c r="A1105" s="3">
        <f t="shared" si="30"/>
        <v>2057</v>
      </c>
      <c r="B1105" s="3">
        <f t="shared" si="39"/>
        <v>365</v>
      </c>
      <c r="C1105" s="37">
        <f t="shared" si="48"/>
        <v>154.75825</v>
      </c>
      <c r="D1105" s="37">
        <f t="shared" si="48"/>
        <v>281.0162499999999</v>
      </c>
      <c r="E1105" s="37">
        <f t="shared" si="48"/>
        <v>780.72550000000001</v>
      </c>
      <c r="F1105" s="37">
        <f t="shared" si="48"/>
        <v>1216.5</v>
      </c>
      <c r="G1105" s="37">
        <f t="shared" si="48"/>
        <v>79.166666666666671</v>
      </c>
      <c r="H1105" s="39">
        <f t="shared" si="48"/>
        <v>600</v>
      </c>
      <c r="I1105" s="37">
        <f t="shared" si="48"/>
        <v>695</v>
      </c>
      <c r="J1105" s="37">
        <f t="shared" si="48"/>
        <v>33.333333333333336</v>
      </c>
      <c r="K1105" s="38"/>
      <c r="L1105" s="38"/>
      <c r="M1105" s="38"/>
      <c r="N1105" s="38"/>
      <c r="O1105" s="38"/>
      <c r="P1105" s="38"/>
      <c r="Q1105" s="38"/>
      <c r="R1105" s="38"/>
      <c r="S1105" s="38"/>
      <c r="T1105" s="38"/>
    </row>
    <row r="1106" spans="1:20" ht="15">
      <c r="A1106" s="3">
        <f t="shared" si="30"/>
        <v>2058</v>
      </c>
      <c r="B1106" s="3">
        <f t="shared" si="39"/>
        <v>365</v>
      </c>
      <c r="C1106" s="37">
        <f t="shared" si="48"/>
        <v>154.75824999999998</v>
      </c>
      <c r="D1106" s="37">
        <f t="shared" si="48"/>
        <v>281.01624999999996</v>
      </c>
      <c r="E1106" s="37">
        <f t="shared" si="48"/>
        <v>780.72550000000001</v>
      </c>
      <c r="F1106" s="37">
        <f t="shared" si="48"/>
        <v>1216.5</v>
      </c>
      <c r="G1106" s="37">
        <f t="shared" si="48"/>
        <v>79.166666666666671</v>
      </c>
      <c r="H1106" s="39">
        <f t="shared" si="48"/>
        <v>600</v>
      </c>
      <c r="I1106" s="37">
        <f t="shared" si="48"/>
        <v>695</v>
      </c>
      <c r="J1106" s="37">
        <f t="shared" si="48"/>
        <v>33.333333333333336</v>
      </c>
      <c r="K1106" s="38"/>
      <c r="L1106" s="38"/>
      <c r="M1106" s="38"/>
      <c r="N1106" s="38"/>
      <c r="O1106" s="38"/>
      <c r="P1106" s="38"/>
      <c r="Q1106" s="38"/>
      <c r="R1106" s="38"/>
      <c r="S1106" s="38"/>
      <c r="T1106" s="38"/>
    </row>
    <row r="1107" spans="1:20" ht="15">
      <c r="A1107" s="3">
        <f t="shared" si="30"/>
        <v>2059</v>
      </c>
      <c r="B1107" s="3">
        <f t="shared" si="39"/>
        <v>365</v>
      </c>
      <c r="C1107" s="37">
        <f t="shared" si="48"/>
        <v>154.75824999999998</v>
      </c>
      <c r="D1107" s="37">
        <f t="shared" si="48"/>
        <v>281.01624999999996</v>
      </c>
      <c r="E1107" s="37">
        <f t="shared" si="48"/>
        <v>780.72550000000012</v>
      </c>
      <c r="F1107" s="37">
        <f t="shared" si="48"/>
        <v>1216.5</v>
      </c>
      <c r="G1107" s="37">
        <f t="shared" si="48"/>
        <v>79.166666666666671</v>
      </c>
      <c r="H1107" s="39">
        <f t="shared" si="48"/>
        <v>600</v>
      </c>
      <c r="I1107" s="37">
        <f t="shared" si="48"/>
        <v>695</v>
      </c>
      <c r="J1107" s="37">
        <f t="shared" si="48"/>
        <v>33.333333333333336</v>
      </c>
      <c r="K1107" s="38"/>
      <c r="L1107" s="38"/>
      <c r="M1107" s="38"/>
      <c r="N1107" s="38"/>
      <c r="O1107" s="38"/>
      <c r="P1107" s="38"/>
      <c r="Q1107" s="38"/>
      <c r="R1107" s="38"/>
      <c r="S1107" s="38"/>
      <c r="T1107" s="38"/>
    </row>
    <row r="1108" spans="1:20" ht="15">
      <c r="A1108" s="3">
        <f t="shared" si="30"/>
        <v>2060</v>
      </c>
      <c r="B1108" s="3">
        <f t="shared" si="39"/>
        <v>366</v>
      </c>
      <c r="C1108" s="37">
        <f t="shared" si="48"/>
        <v>154.75824999999998</v>
      </c>
      <c r="D1108" s="37">
        <f t="shared" si="48"/>
        <v>281.01624999999996</v>
      </c>
      <c r="E1108" s="37">
        <f t="shared" si="48"/>
        <v>780.72550000000012</v>
      </c>
      <c r="F1108" s="37">
        <f t="shared" si="48"/>
        <v>1216.5</v>
      </c>
      <c r="G1108" s="37">
        <f t="shared" si="48"/>
        <v>79.166666666666671</v>
      </c>
      <c r="H1108" s="39">
        <f t="shared" si="48"/>
        <v>600</v>
      </c>
      <c r="I1108" s="37">
        <f t="shared" si="48"/>
        <v>695</v>
      </c>
      <c r="J1108" s="37">
        <f t="shared" si="48"/>
        <v>33.333333333333336</v>
      </c>
      <c r="K1108" s="38"/>
      <c r="L1108" s="38"/>
      <c r="M1108" s="38"/>
      <c r="N1108" s="38"/>
      <c r="O1108" s="38"/>
      <c r="P1108" s="38"/>
      <c r="Q1108" s="38"/>
      <c r="R1108" s="38"/>
      <c r="S1108" s="38"/>
      <c r="T1108" s="38"/>
    </row>
    <row r="1109" spans="1:20" ht="15">
      <c r="A1109" s="3">
        <f t="shared" si="30"/>
        <v>2061</v>
      </c>
      <c r="B1109" s="3">
        <f t="shared" si="39"/>
        <v>365</v>
      </c>
      <c r="C1109" s="37">
        <f t="shared" si="48"/>
        <v>154.75825</v>
      </c>
      <c r="D1109" s="37">
        <f t="shared" si="48"/>
        <v>281.01624999999996</v>
      </c>
      <c r="E1109" s="37">
        <f t="shared" si="48"/>
        <v>780.72550000000001</v>
      </c>
      <c r="F1109" s="37">
        <f t="shared" si="48"/>
        <v>1216.5</v>
      </c>
      <c r="G1109" s="37">
        <f t="shared" si="48"/>
        <v>79.166666666666671</v>
      </c>
      <c r="H1109" s="39">
        <f t="shared" si="48"/>
        <v>600</v>
      </c>
      <c r="I1109" s="37">
        <f t="shared" si="48"/>
        <v>695</v>
      </c>
      <c r="J1109" s="37">
        <f t="shared" si="48"/>
        <v>33.333333333333336</v>
      </c>
      <c r="K1109" s="38"/>
      <c r="L1109" s="38"/>
      <c r="M1109" s="38"/>
      <c r="N1109" s="38"/>
      <c r="O1109" s="38"/>
      <c r="P1109" s="38"/>
      <c r="Q1109" s="38"/>
      <c r="R1109" s="38"/>
      <c r="S1109" s="38"/>
      <c r="T1109" s="38"/>
    </row>
    <row r="1110" spans="1:20" ht="15">
      <c r="A1110" s="3">
        <f t="shared" si="30"/>
        <v>2062</v>
      </c>
      <c r="B1110" s="3">
        <f t="shared" si="39"/>
        <v>365</v>
      </c>
      <c r="C1110" s="37">
        <f t="shared" ref="C1110:J1119" ca="1" si="49">AVERAGE(OFFSET(C$593,($A1110-$A$1110)*12,0,12,1))</f>
        <v>154.75825</v>
      </c>
      <c r="D1110" s="37">
        <f t="shared" ca="1" si="49"/>
        <v>281.0162499999999</v>
      </c>
      <c r="E1110" s="37">
        <f t="shared" ca="1" si="49"/>
        <v>780.7254999999999</v>
      </c>
      <c r="F1110" s="37">
        <f t="shared" ca="1" si="49"/>
        <v>1216.5</v>
      </c>
      <c r="G1110" s="37">
        <f t="shared" ca="1" si="49"/>
        <v>79.166666666666671</v>
      </c>
      <c r="H1110" s="37">
        <f t="shared" ca="1" si="49"/>
        <v>600</v>
      </c>
      <c r="I1110" s="37">
        <f t="shared" ca="1" si="49"/>
        <v>695</v>
      </c>
      <c r="J1110" s="37">
        <f t="shared" ca="1" si="49"/>
        <v>33.333333333333336</v>
      </c>
      <c r="K1110" s="38"/>
      <c r="L1110" s="38"/>
      <c r="M1110" s="38"/>
      <c r="N1110" s="38"/>
      <c r="O1110" s="38"/>
      <c r="P1110" s="38"/>
      <c r="Q1110" s="38"/>
      <c r="R1110" s="38"/>
      <c r="S1110" s="38"/>
      <c r="T1110" s="38"/>
    </row>
    <row r="1111" spans="1:20" ht="15">
      <c r="A1111" s="3">
        <f t="shared" si="30"/>
        <v>2063</v>
      </c>
      <c r="B1111" s="3">
        <f t="shared" si="39"/>
        <v>365</v>
      </c>
      <c r="C1111" s="37">
        <f t="shared" ca="1" si="49"/>
        <v>154.75825</v>
      </c>
      <c r="D1111" s="37">
        <f t="shared" ca="1" si="49"/>
        <v>281.0162499999999</v>
      </c>
      <c r="E1111" s="37">
        <f t="shared" ca="1" si="49"/>
        <v>780.7254999999999</v>
      </c>
      <c r="F1111" s="37">
        <f t="shared" ca="1" si="49"/>
        <v>1216.5</v>
      </c>
      <c r="G1111" s="37">
        <f t="shared" ca="1" si="49"/>
        <v>79.166666666666671</v>
      </c>
      <c r="H1111" s="37">
        <f t="shared" ca="1" si="49"/>
        <v>600</v>
      </c>
      <c r="I1111" s="37">
        <f t="shared" ca="1" si="49"/>
        <v>695</v>
      </c>
      <c r="J1111" s="37">
        <f t="shared" ca="1" si="49"/>
        <v>33.333333333333336</v>
      </c>
      <c r="K1111" s="38"/>
      <c r="L1111" s="38"/>
      <c r="M1111" s="38"/>
      <c r="N1111" s="38"/>
      <c r="O1111" s="38"/>
      <c r="P1111" s="38"/>
      <c r="Q1111" s="38"/>
      <c r="R1111" s="38"/>
      <c r="S1111" s="38"/>
      <c r="T1111" s="38"/>
    </row>
    <row r="1112" spans="1:20" ht="15">
      <c r="A1112" s="3">
        <f t="shared" si="30"/>
        <v>2064</v>
      </c>
      <c r="B1112" s="3">
        <f t="shared" si="39"/>
        <v>366</v>
      </c>
      <c r="C1112" s="37">
        <f t="shared" ca="1" si="49"/>
        <v>154.75825</v>
      </c>
      <c r="D1112" s="37">
        <f t="shared" ca="1" si="49"/>
        <v>281.0162499999999</v>
      </c>
      <c r="E1112" s="37">
        <f t="shared" ca="1" si="49"/>
        <v>780.7254999999999</v>
      </c>
      <c r="F1112" s="37">
        <f t="shared" ca="1" si="49"/>
        <v>1216.5</v>
      </c>
      <c r="G1112" s="37">
        <f t="shared" ca="1" si="49"/>
        <v>79.166666666666671</v>
      </c>
      <c r="H1112" s="37">
        <f t="shared" ca="1" si="49"/>
        <v>600</v>
      </c>
      <c r="I1112" s="37">
        <f t="shared" ca="1" si="49"/>
        <v>695</v>
      </c>
      <c r="J1112" s="37">
        <f t="shared" ca="1" si="49"/>
        <v>33.333333333333336</v>
      </c>
      <c r="K1112" s="38"/>
      <c r="L1112" s="38"/>
      <c r="M1112" s="38"/>
      <c r="N1112" s="38"/>
      <c r="O1112" s="38"/>
      <c r="P1112" s="38"/>
      <c r="Q1112" s="38"/>
      <c r="R1112" s="38"/>
      <c r="S1112" s="38"/>
      <c r="T1112" s="38"/>
    </row>
    <row r="1113" spans="1:20" ht="15">
      <c r="A1113" s="3">
        <f t="shared" si="30"/>
        <v>2065</v>
      </c>
      <c r="B1113" s="3">
        <f t="shared" si="39"/>
        <v>365</v>
      </c>
      <c r="C1113" s="37">
        <f t="shared" ca="1" si="49"/>
        <v>154.75825</v>
      </c>
      <c r="D1113" s="37">
        <f t="shared" ca="1" si="49"/>
        <v>281.0162499999999</v>
      </c>
      <c r="E1113" s="37">
        <f t="shared" ca="1" si="49"/>
        <v>780.7254999999999</v>
      </c>
      <c r="F1113" s="37">
        <f t="shared" ca="1" si="49"/>
        <v>1216.5</v>
      </c>
      <c r="G1113" s="37">
        <f t="shared" ca="1" si="49"/>
        <v>79.166666666666671</v>
      </c>
      <c r="H1113" s="37">
        <f t="shared" ca="1" si="49"/>
        <v>600</v>
      </c>
      <c r="I1113" s="37">
        <f t="shared" ca="1" si="49"/>
        <v>695</v>
      </c>
      <c r="J1113" s="37">
        <f t="shared" ca="1" si="49"/>
        <v>33.333333333333336</v>
      </c>
      <c r="K1113" s="38"/>
      <c r="L1113" s="38"/>
      <c r="M1113" s="38"/>
      <c r="N1113" s="38"/>
      <c r="O1113" s="38"/>
      <c r="P1113" s="38"/>
      <c r="Q1113" s="38"/>
      <c r="R1113" s="38"/>
      <c r="S1113" s="38"/>
      <c r="T1113" s="38"/>
    </row>
    <row r="1114" spans="1:20" ht="15">
      <c r="A1114" s="3">
        <f t="shared" si="30"/>
        <v>2066</v>
      </c>
      <c r="B1114" s="3">
        <f t="shared" si="39"/>
        <v>365</v>
      </c>
      <c r="C1114" s="37">
        <f t="shared" ca="1" si="49"/>
        <v>154.75825</v>
      </c>
      <c r="D1114" s="37">
        <f t="shared" ca="1" si="49"/>
        <v>281.0162499999999</v>
      </c>
      <c r="E1114" s="37">
        <f t="shared" ca="1" si="49"/>
        <v>780.7254999999999</v>
      </c>
      <c r="F1114" s="37">
        <f t="shared" ca="1" si="49"/>
        <v>1216.5</v>
      </c>
      <c r="G1114" s="37">
        <f t="shared" ca="1" si="49"/>
        <v>79.166666666666671</v>
      </c>
      <c r="H1114" s="37">
        <f t="shared" ca="1" si="49"/>
        <v>600</v>
      </c>
      <c r="I1114" s="37">
        <f t="shared" ca="1" si="49"/>
        <v>695</v>
      </c>
      <c r="J1114" s="37">
        <f t="shared" ca="1" si="49"/>
        <v>33.333333333333336</v>
      </c>
      <c r="K1114" s="38"/>
      <c r="L1114" s="38"/>
      <c r="M1114" s="38"/>
      <c r="N1114" s="38"/>
      <c r="O1114" s="38"/>
      <c r="P1114" s="38"/>
      <c r="Q1114" s="38"/>
      <c r="R1114" s="38"/>
      <c r="S1114" s="38"/>
      <c r="T1114" s="38"/>
    </row>
    <row r="1115" spans="1:20" ht="15">
      <c r="A1115" s="3">
        <f t="shared" si="30"/>
        <v>2067</v>
      </c>
      <c r="B1115" s="3">
        <f t="shared" si="39"/>
        <v>365</v>
      </c>
      <c r="C1115" s="37">
        <f t="shared" ca="1" si="49"/>
        <v>154.75825</v>
      </c>
      <c r="D1115" s="37">
        <f t="shared" ca="1" si="49"/>
        <v>281.0162499999999</v>
      </c>
      <c r="E1115" s="37">
        <f t="shared" ca="1" si="49"/>
        <v>780.7254999999999</v>
      </c>
      <c r="F1115" s="37">
        <f t="shared" ca="1" si="49"/>
        <v>1216.5</v>
      </c>
      <c r="G1115" s="37">
        <f t="shared" ca="1" si="49"/>
        <v>79.166666666666671</v>
      </c>
      <c r="H1115" s="37">
        <f t="shared" ca="1" si="49"/>
        <v>600</v>
      </c>
      <c r="I1115" s="37">
        <f t="shared" ca="1" si="49"/>
        <v>695</v>
      </c>
      <c r="J1115" s="37">
        <f t="shared" ca="1" si="49"/>
        <v>33.333333333333336</v>
      </c>
      <c r="K1115" s="38"/>
      <c r="L1115" s="38"/>
      <c r="M1115" s="38"/>
      <c r="N1115" s="38"/>
      <c r="O1115" s="38"/>
      <c r="P1115" s="38"/>
      <c r="Q1115" s="38"/>
      <c r="R1115" s="38"/>
      <c r="S1115" s="38"/>
      <c r="T1115" s="38"/>
    </row>
    <row r="1116" spans="1:20" ht="15">
      <c r="A1116" s="3">
        <f t="shared" si="30"/>
        <v>2068</v>
      </c>
      <c r="B1116" s="3">
        <f t="shared" si="39"/>
        <v>366</v>
      </c>
      <c r="C1116" s="37">
        <f t="shared" ca="1" si="49"/>
        <v>154.75825</v>
      </c>
      <c r="D1116" s="37">
        <f t="shared" ca="1" si="49"/>
        <v>281.0162499999999</v>
      </c>
      <c r="E1116" s="37">
        <f t="shared" ca="1" si="49"/>
        <v>780.7254999999999</v>
      </c>
      <c r="F1116" s="37">
        <f t="shared" ca="1" si="49"/>
        <v>1216.5</v>
      </c>
      <c r="G1116" s="37">
        <f t="shared" ca="1" si="49"/>
        <v>79.166666666666671</v>
      </c>
      <c r="H1116" s="37">
        <f t="shared" ca="1" si="49"/>
        <v>600</v>
      </c>
      <c r="I1116" s="37">
        <f t="shared" ca="1" si="49"/>
        <v>695</v>
      </c>
      <c r="J1116" s="37">
        <f t="shared" ca="1" si="49"/>
        <v>33.333333333333336</v>
      </c>
      <c r="K1116" s="38"/>
      <c r="L1116" s="38"/>
      <c r="M1116" s="38"/>
      <c r="N1116" s="38"/>
      <c r="O1116" s="38"/>
      <c r="P1116" s="38"/>
      <c r="Q1116" s="38"/>
      <c r="R1116" s="38"/>
      <c r="S1116" s="38"/>
      <c r="T1116" s="38"/>
    </row>
    <row r="1117" spans="1:20" ht="15">
      <c r="A1117" s="3">
        <f t="shared" si="30"/>
        <v>2069</v>
      </c>
      <c r="B1117" s="3">
        <f t="shared" si="39"/>
        <v>365</v>
      </c>
      <c r="C1117" s="37">
        <f t="shared" ca="1" si="49"/>
        <v>154.75825</v>
      </c>
      <c r="D1117" s="37">
        <f t="shared" ca="1" si="49"/>
        <v>281.0162499999999</v>
      </c>
      <c r="E1117" s="37">
        <f t="shared" ca="1" si="49"/>
        <v>780.7254999999999</v>
      </c>
      <c r="F1117" s="37">
        <f t="shared" ca="1" si="49"/>
        <v>1216.5</v>
      </c>
      <c r="G1117" s="37">
        <f t="shared" ca="1" si="49"/>
        <v>79.166666666666671</v>
      </c>
      <c r="H1117" s="37">
        <f t="shared" ca="1" si="49"/>
        <v>600</v>
      </c>
      <c r="I1117" s="37">
        <f t="shared" ca="1" si="49"/>
        <v>695</v>
      </c>
      <c r="J1117" s="37">
        <f t="shared" ca="1" si="49"/>
        <v>33.333333333333336</v>
      </c>
      <c r="K1117" s="38"/>
      <c r="L1117" s="38"/>
      <c r="M1117" s="38"/>
      <c r="N1117" s="38"/>
      <c r="O1117" s="38"/>
      <c r="P1117" s="38"/>
      <c r="Q1117" s="38"/>
      <c r="R1117" s="38"/>
      <c r="S1117" s="38"/>
      <c r="T1117" s="38"/>
    </row>
    <row r="1118" spans="1:20" ht="15">
      <c r="A1118" s="3">
        <f t="shared" ref="A1118:A1148" si="50">A1117+1</f>
        <v>2070</v>
      </c>
      <c r="B1118" s="3">
        <f t="shared" si="39"/>
        <v>365</v>
      </c>
      <c r="C1118" s="37">
        <f t="shared" ca="1" si="49"/>
        <v>154.75825</v>
      </c>
      <c r="D1118" s="37">
        <f t="shared" ca="1" si="49"/>
        <v>281.0162499999999</v>
      </c>
      <c r="E1118" s="37">
        <f t="shared" ca="1" si="49"/>
        <v>780.7254999999999</v>
      </c>
      <c r="F1118" s="37">
        <f t="shared" ca="1" si="49"/>
        <v>1216.5</v>
      </c>
      <c r="G1118" s="37">
        <f t="shared" ca="1" si="49"/>
        <v>79.166666666666671</v>
      </c>
      <c r="H1118" s="37">
        <f t="shared" ca="1" si="49"/>
        <v>600</v>
      </c>
      <c r="I1118" s="37">
        <f t="shared" ca="1" si="49"/>
        <v>695</v>
      </c>
      <c r="J1118" s="37">
        <f t="shared" ca="1" si="49"/>
        <v>33.333333333333336</v>
      </c>
      <c r="K1118" s="38"/>
      <c r="L1118" s="38"/>
      <c r="M1118" s="38"/>
      <c r="N1118" s="38"/>
      <c r="O1118" s="38"/>
      <c r="P1118" s="38"/>
      <c r="Q1118" s="38"/>
      <c r="R1118" s="38"/>
      <c r="S1118" s="38"/>
      <c r="T1118" s="38"/>
    </row>
    <row r="1119" spans="1:20" ht="15">
      <c r="A1119" s="3">
        <f t="shared" si="50"/>
        <v>2071</v>
      </c>
      <c r="B1119" s="3">
        <f t="shared" si="39"/>
        <v>365</v>
      </c>
      <c r="C1119" s="37">
        <f t="shared" ca="1" si="49"/>
        <v>154.75825</v>
      </c>
      <c r="D1119" s="37">
        <f t="shared" ca="1" si="49"/>
        <v>281.0162499999999</v>
      </c>
      <c r="E1119" s="37">
        <f t="shared" ca="1" si="49"/>
        <v>780.7254999999999</v>
      </c>
      <c r="F1119" s="37">
        <f t="shared" ca="1" si="49"/>
        <v>1216.5</v>
      </c>
      <c r="G1119" s="37">
        <f t="shared" ca="1" si="49"/>
        <v>79.166666666666671</v>
      </c>
      <c r="H1119" s="37">
        <f t="shared" ca="1" si="49"/>
        <v>600</v>
      </c>
      <c r="I1119" s="37">
        <f t="shared" ca="1" si="49"/>
        <v>695</v>
      </c>
      <c r="J1119" s="37">
        <f t="shared" ca="1" si="49"/>
        <v>33.333333333333336</v>
      </c>
      <c r="K1119" s="38"/>
      <c r="L1119" s="38"/>
      <c r="M1119" s="38"/>
      <c r="N1119" s="38"/>
      <c r="O1119" s="38"/>
      <c r="P1119" s="38"/>
      <c r="Q1119" s="38"/>
      <c r="R1119" s="38"/>
      <c r="S1119" s="38"/>
      <c r="T1119" s="38"/>
    </row>
    <row r="1120" spans="1:20" ht="15">
      <c r="A1120" s="3">
        <f t="shared" si="50"/>
        <v>2072</v>
      </c>
      <c r="B1120" s="3">
        <f t="shared" si="39"/>
        <v>366</v>
      </c>
      <c r="C1120" s="37">
        <f t="shared" ref="C1120:J1129" ca="1" si="51">AVERAGE(OFFSET(C$593,($A1120-$A$1110)*12,0,12,1))</f>
        <v>154.75825</v>
      </c>
      <c r="D1120" s="37">
        <f t="shared" ca="1" si="51"/>
        <v>281.0162499999999</v>
      </c>
      <c r="E1120" s="37">
        <f t="shared" ca="1" si="51"/>
        <v>780.7254999999999</v>
      </c>
      <c r="F1120" s="37">
        <f t="shared" ca="1" si="51"/>
        <v>1216.5</v>
      </c>
      <c r="G1120" s="37">
        <f t="shared" ca="1" si="51"/>
        <v>79.166666666666671</v>
      </c>
      <c r="H1120" s="37">
        <f t="shared" ca="1" si="51"/>
        <v>600</v>
      </c>
      <c r="I1120" s="37">
        <f t="shared" ca="1" si="51"/>
        <v>695</v>
      </c>
      <c r="J1120" s="37">
        <f t="shared" ca="1" si="51"/>
        <v>33.333333333333336</v>
      </c>
      <c r="K1120" s="38"/>
      <c r="L1120" s="38"/>
      <c r="M1120" s="38"/>
      <c r="N1120" s="38"/>
      <c r="O1120" s="38"/>
      <c r="P1120" s="38"/>
      <c r="Q1120" s="38"/>
      <c r="R1120" s="38"/>
      <c r="S1120" s="38"/>
      <c r="T1120" s="38"/>
    </row>
    <row r="1121" spans="1:20" ht="15">
      <c r="A1121" s="3">
        <f t="shared" si="50"/>
        <v>2073</v>
      </c>
      <c r="B1121" s="3">
        <f t="shared" si="39"/>
        <v>365</v>
      </c>
      <c r="C1121" s="37">
        <f t="shared" ca="1" si="51"/>
        <v>154.75825</v>
      </c>
      <c r="D1121" s="37">
        <f t="shared" ca="1" si="51"/>
        <v>281.0162499999999</v>
      </c>
      <c r="E1121" s="37">
        <f t="shared" ca="1" si="51"/>
        <v>780.7254999999999</v>
      </c>
      <c r="F1121" s="37">
        <f t="shared" ca="1" si="51"/>
        <v>1216.5</v>
      </c>
      <c r="G1121" s="37">
        <f t="shared" ca="1" si="51"/>
        <v>79.166666666666671</v>
      </c>
      <c r="H1121" s="37">
        <f t="shared" ca="1" si="51"/>
        <v>600</v>
      </c>
      <c r="I1121" s="37">
        <f t="shared" ca="1" si="51"/>
        <v>695</v>
      </c>
      <c r="J1121" s="37">
        <f t="shared" ca="1" si="51"/>
        <v>33.333333333333336</v>
      </c>
      <c r="K1121" s="38"/>
      <c r="L1121" s="38"/>
      <c r="M1121" s="38"/>
      <c r="N1121" s="38"/>
      <c r="O1121" s="38"/>
      <c r="P1121" s="38"/>
      <c r="Q1121" s="38"/>
      <c r="R1121" s="38"/>
      <c r="S1121" s="38"/>
      <c r="T1121" s="38"/>
    </row>
    <row r="1122" spans="1:20" ht="15">
      <c r="A1122" s="3">
        <f t="shared" si="50"/>
        <v>2074</v>
      </c>
      <c r="B1122" s="3">
        <f t="shared" si="39"/>
        <v>365</v>
      </c>
      <c r="C1122" s="37">
        <f t="shared" ca="1" si="51"/>
        <v>154.75825</v>
      </c>
      <c r="D1122" s="37">
        <f t="shared" ca="1" si="51"/>
        <v>281.0162499999999</v>
      </c>
      <c r="E1122" s="37">
        <f t="shared" ca="1" si="51"/>
        <v>780.7254999999999</v>
      </c>
      <c r="F1122" s="37">
        <f t="shared" ca="1" si="51"/>
        <v>1216.5</v>
      </c>
      <c r="G1122" s="37">
        <f t="shared" ca="1" si="51"/>
        <v>79.166666666666671</v>
      </c>
      <c r="H1122" s="37">
        <f t="shared" ca="1" si="51"/>
        <v>600</v>
      </c>
      <c r="I1122" s="37">
        <f t="shared" ca="1" si="51"/>
        <v>695</v>
      </c>
      <c r="J1122" s="37">
        <f t="shared" ca="1" si="51"/>
        <v>33.333333333333336</v>
      </c>
      <c r="K1122" s="38"/>
      <c r="L1122" s="38"/>
      <c r="M1122" s="38"/>
      <c r="N1122" s="38"/>
      <c r="O1122" s="38"/>
      <c r="P1122" s="38"/>
      <c r="Q1122" s="38"/>
      <c r="R1122" s="38"/>
      <c r="S1122" s="38"/>
      <c r="T1122" s="38"/>
    </row>
    <row r="1123" spans="1:20" ht="15">
      <c r="A1123" s="3">
        <f t="shared" si="50"/>
        <v>2075</v>
      </c>
      <c r="B1123" s="3">
        <f t="shared" si="39"/>
        <v>365</v>
      </c>
      <c r="C1123" s="37">
        <f t="shared" ca="1" si="51"/>
        <v>154.75825</v>
      </c>
      <c r="D1123" s="37">
        <f t="shared" ca="1" si="51"/>
        <v>281.0162499999999</v>
      </c>
      <c r="E1123" s="37">
        <f t="shared" ca="1" si="51"/>
        <v>780.7254999999999</v>
      </c>
      <c r="F1123" s="37">
        <f t="shared" ca="1" si="51"/>
        <v>1216.5</v>
      </c>
      <c r="G1123" s="37">
        <f t="shared" ca="1" si="51"/>
        <v>79.166666666666671</v>
      </c>
      <c r="H1123" s="37">
        <f t="shared" ca="1" si="51"/>
        <v>600</v>
      </c>
      <c r="I1123" s="37">
        <f t="shared" ca="1" si="51"/>
        <v>695</v>
      </c>
      <c r="J1123" s="37">
        <f t="shared" ca="1" si="51"/>
        <v>33.333333333333336</v>
      </c>
      <c r="K1123" s="38"/>
      <c r="L1123" s="38"/>
      <c r="M1123" s="38"/>
      <c r="N1123" s="38"/>
      <c r="O1123" s="38"/>
      <c r="P1123" s="38"/>
      <c r="Q1123" s="38"/>
      <c r="R1123" s="38"/>
      <c r="S1123" s="38"/>
      <c r="T1123" s="38"/>
    </row>
    <row r="1124" spans="1:20" ht="15">
      <c r="A1124" s="3">
        <f t="shared" si="50"/>
        <v>2076</v>
      </c>
      <c r="B1124" s="3">
        <f t="shared" si="39"/>
        <v>366</v>
      </c>
      <c r="C1124" s="37">
        <f t="shared" ca="1" si="51"/>
        <v>154.75825</v>
      </c>
      <c r="D1124" s="37">
        <f t="shared" ca="1" si="51"/>
        <v>281.0162499999999</v>
      </c>
      <c r="E1124" s="37">
        <f t="shared" ca="1" si="51"/>
        <v>780.7254999999999</v>
      </c>
      <c r="F1124" s="37">
        <f t="shared" ca="1" si="51"/>
        <v>1216.5</v>
      </c>
      <c r="G1124" s="37">
        <f t="shared" ca="1" si="51"/>
        <v>79.166666666666671</v>
      </c>
      <c r="H1124" s="37">
        <f t="shared" ca="1" si="51"/>
        <v>600</v>
      </c>
      <c r="I1124" s="37">
        <f t="shared" ca="1" si="51"/>
        <v>695</v>
      </c>
      <c r="J1124" s="37">
        <f t="shared" ca="1" si="51"/>
        <v>33.333333333333336</v>
      </c>
      <c r="K1124" s="38"/>
      <c r="L1124" s="38"/>
      <c r="M1124" s="38"/>
      <c r="N1124" s="38"/>
      <c r="O1124" s="38"/>
      <c r="P1124" s="38"/>
      <c r="Q1124" s="38"/>
      <c r="R1124" s="38"/>
      <c r="S1124" s="38"/>
      <c r="T1124" s="38"/>
    </row>
    <row r="1125" spans="1:20" ht="15">
      <c r="A1125" s="3">
        <f t="shared" si="50"/>
        <v>2077</v>
      </c>
      <c r="B1125" s="3">
        <f t="shared" si="39"/>
        <v>365</v>
      </c>
      <c r="C1125" s="37">
        <f t="shared" ca="1" si="51"/>
        <v>154.75825</v>
      </c>
      <c r="D1125" s="37">
        <f t="shared" ca="1" si="51"/>
        <v>281.0162499999999</v>
      </c>
      <c r="E1125" s="37">
        <f t="shared" ca="1" si="51"/>
        <v>780.7254999999999</v>
      </c>
      <c r="F1125" s="37">
        <f t="shared" ca="1" si="51"/>
        <v>1216.5</v>
      </c>
      <c r="G1125" s="37">
        <f t="shared" ca="1" si="51"/>
        <v>79.166666666666671</v>
      </c>
      <c r="H1125" s="37">
        <f t="shared" ca="1" si="51"/>
        <v>600</v>
      </c>
      <c r="I1125" s="37">
        <f t="shared" ca="1" si="51"/>
        <v>695</v>
      </c>
      <c r="J1125" s="37">
        <f t="shared" ca="1" si="51"/>
        <v>33.333333333333336</v>
      </c>
      <c r="K1125" s="38"/>
      <c r="L1125" s="38"/>
      <c r="M1125" s="38"/>
      <c r="N1125" s="38"/>
      <c r="O1125" s="38"/>
      <c r="P1125" s="38"/>
      <c r="Q1125" s="38"/>
      <c r="R1125" s="38"/>
      <c r="S1125" s="38"/>
      <c r="T1125" s="38"/>
    </row>
    <row r="1126" spans="1:20" ht="15">
      <c r="A1126" s="3">
        <f t="shared" si="50"/>
        <v>2078</v>
      </c>
      <c r="B1126" s="3">
        <f t="shared" ref="B1126:B1148" si="52">DATE(A1126+1,1,1)-DATE(A1126,1,1)</f>
        <v>365</v>
      </c>
      <c r="C1126" s="37">
        <f t="shared" ca="1" si="51"/>
        <v>154.75825</v>
      </c>
      <c r="D1126" s="37">
        <f t="shared" ca="1" si="51"/>
        <v>281.0162499999999</v>
      </c>
      <c r="E1126" s="37">
        <f t="shared" ca="1" si="51"/>
        <v>780.7254999999999</v>
      </c>
      <c r="F1126" s="37">
        <f t="shared" ca="1" si="51"/>
        <v>1216.5</v>
      </c>
      <c r="G1126" s="37">
        <f t="shared" ca="1" si="51"/>
        <v>79.166666666666671</v>
      </c>
      <c r="H1126" s="37">
        <f t="shared" ca="1" si="51"/>
        <v>600</v>
      </c>
      <c r="I1126" s="37">
        <f t="shared" ca="1" si="51"/>
        <v>695</v>
      </c>
      <c r="J1126" s="37">
        <f t="shared" ca="1" si="51"/>
        <v>33.333333333333336</v>
      </c>
      <c r="K1126" s="38"/>
      <c r="L1126" s="38"/>
      <c r="M1126" s="38"/>
      <c r="N1126" s="38"/>
      <c r="O1126" s="38"/>
      <c r="P1126" s="38"/>
      <c r="Q1126" s="38"/>
      <c r="R1126" s="38"/>
      <c r="S1126" s="38"/>
      <c r="T1126" s="38"/>
    </row>
    <row r="1127" spans="1:20" ht="15">
      <c r="A1127" s="3">
        <f t="shared" si="50"/>
        <v>2079</v>
      </c>
      <c r="B1127" s="3">
        <f t="shared" si="52"/>
        <v>365</v>
      </c>
      <c r="C1127" s="37">
        <f t="shared" ca="1" si="51"/>
        <v>154.75825</v>
      </c>
      <c r="D1127" s="37">
        <f t="shared" ca="1" si="51"/>
        <v>281.0162499999999</v>
      </c>
      <c r="E1127" s="37">
        <f t="shared" ca="1" si="51"/>
        <v>780.7254999999999</v>
      </c>
      <c r="F1127" s="37">
        <f t="shared" ca="1" si="51"/>
        <v>1216.5</v>
      </c>
      <c r="G1127" s="37">
        <f t="shared" ca="1" si="51"/>
        <v>79.166666666666671</v>
      </c>
      <c r="H1127" s="37">
        <f t="shared" ca="1" si="51"/>
        <v>600</v>
      </c>
      <c r="I1127" s="37">
        <f t="shared" ca="1" si="51"/>
        <v>695</v>
      </c>
      <c r="J1127" s="37">
        <f t="shared" ca="1" si="51"/>
        <v>33.333333333333336</v>
      </c>
      <c r="K1127" s="38"/>
      <c r="L1127" s="38"/>
      <c r="M1127" s="38"/>
      <c r="N1127" s="38"/>
      <c r="O1127" s="38"/>
      <c r="P1127" s="38"/>
      <c r="Q1127" s="38"/>
      <c r="R1127" s="38"/>
      <c r="S1127" s="38"/>
      <c r="T1127" s="38"/>
    </row>
    <row r="1128" spans="1:20" ht="15">
      <c r="A1128" s="3">
        <f t="shared" si="50"/>
        <v>2080</v>
      </c>
      <c r="B1128" s="3">
        <f t="shared" si="52"/>
        <v>366</v>
      </c>
      <c r="C1128" s="37">
        <f t="shared" ca="1" si="51"/>
        <v>154.75825</v>
      </c>
      <c r="D1128" s="37">
        <f t="shared" ca="1" si="51"/>
        <v>281.0162499999999</v>
      </c>
      <c r="E1128" s="37">
        <f t="shared" ca="1" si="51"/>
        <v>780.7254999999999</v>
      </c>
      <c r="F1128" s="37">
        <f t="shared" ca="1" si="51"/>
        <v>1216.5</v>
      </c>
      <c r="G1128" s="37">
        <f t="shared" ca="1" si="51"/>
        <v>79.166666666666671</v>
      </c>
      <c r="H1128" s="37">
        <f t="shared" ca="1" si="51"/>
        <v>600</v>
      </c>
      <c r="I1128" s="37">
        <f t="shared" ca="1" si="51"/>
        <v>695</v>
      </c>
      <c r="J1128" s="37">
        <f t="shared" ca="1" si="51"/>
        <v>33.333333333333336</v>
      </c>
      <c r="K1128" s="38"/>
      <c r="L1128" s="38"/>
      <c r="M1128" s="38"/>
      <c r="N1128" s="38"/>
      <c r="O1128" s="38"/>
      <c r="P1128" s="38"/>
      <c r="Q1128" s="38"/>
      <c r="R1128" s="38"/>
      <c r="S1128" s="38"/>
      <c r="T1128" s="38"/>
    </row>
    <row r="1129" spans="1:20" ht="15">
      <c r="A1129" s="3">
        <f t="shared" si="50"/>
        <v>2081</v>
      </c>
      <c r="B1129" s="3">
        <f t="shared" si="52"/>
        <v>365</v>
      </c>
      <c r="C1129" s="37">
        <f t="shared" ca="1" si="51"/>
        <v>154.75825</v>
      </c>
      <c r="D1129" s="37">
        <f t="shared" ca="1" si="51"/>
        <v>281.0162499999999</v>
      </c>
      <c r="E1129" s="37">
        <f t="shared" ca="1" si="51"/>
        <v>780.7254999999999</v>
      </c>
      <c r="F1129" s="37">
        <f t="shared" ca="1" si="51"/>
        <v>1216.5</v>
      </c>
      <c r="G1129" s="37">
        <f t="shared" ca="1" si="51"/>
        <v>79.166666666666671</v>
      </c>
      <c r="H1129" s="37">
        <f t="shared" ca="1" si="51"/>
        <v>600</v>
      </c>
      <c r="I1129" s="37">
        <f t="shared" ca="1" si="51"/>
        <v>695</v>
      </c>
      <c r="J1129" s="37">
        <f t="shared" ca="1" si="51"/>
        <v>33.333333333333336</v>
      </c>
      <c r="K1129" s="38"/>
      <c r="L1129" s="38"/>
      <c r="M1129" s="38"/>
      <c r="N1129" s="38"/>
      <c r="O1129" s="38"/>
      <c r="P1129" s="38"/>
      <c r="Q1129" s="38"/>
      <c r="R1129" s="38"/>
      <c r="S1129" s="38"/>
      <c r="T1129" s="38"/>
    </row>
    <row r="1130" spans="1:20" ht="15">
      <c r="A1130" s="3">
        <f t="shared" si="50"/>
        <v>2082</v>
      </c>
      <c r="B1130" s="3">
        <f t="shared" si="52"/>
        <v>365</v>
      </c>
      <c r="C1130" s="37">
        <f t="shared" ref="C1130:J1139" ca="1" si="53">AVERAGE(OFFSET(C$593,($A1130-$A$1110)*12,0,12,1))</f>
        <v>154.75825</v>
      </c>
      <c r="D1130" s="37">
        <f t="shared" ca="1" si="53"/>
        <v>281.0162499999999</v>
      </c>
      <c r="E1130" s="37">
        <f t="shared" ca="1" si="53"/>
        <v>780.7254999999999</v>
      </c>
      <c r="F1130" s="37">
        <f t="shared" ca="1" si="53"/>
        <v>1216.5</v>
      </c>
      <c r="G1130" s="37">
        <f t="shared" ca="1" si="53"/>
        <v>79.166666666666671</v>
      </c>
      <c r="H1130" s="37">
        <f t="shared" ca="1" si="53"/>
        <v>600</v>
      </c>
      <c r="I1130" s="37">
        <f t="shared" ca="1" si="53"/>
        <v>695</v>
      </c>
      <c r="J1130" s="37">
        <f t="shared" ca="1" si="53"/>
        <v>33.333333333333336</v>
      </c>
      <c r="K1130" s="38"/>
      <c r="L1130" s="38"/>
      <c r="M1130" s="38"/>
      <c r="N1130" s="38"/>
      <c r="O1130" s="38"/>
      <c r="P1130" s="38"/>
      <c r="Q1130" s="38"/>
      <c r="R1130" s="38"/>
      <c r="S1130" s="38"/>
      <c r="T1130" s="38"/>
    </row>
    <row r="1131" spans="1:20" ht="15">
      <c r="A1131" s="3">
        <f t="shared" si="50"/>
        <v>2083</v>
      </c>
      <c r="B1131" s="3">
        <f t="shared" si="52"/>
        <v>365</v>
      </c>
      <c r="C1131" s="37">
        <f t="shared" ca="1" si="53"/>
        <v>154.75825</v>
      </c>
      <c r="D1131" s="37">
        <f t="shared" ca="1" si="53"/>
        <v>281.0162499999999</v>
      </c>
      <c r="E1131" s="37">
        <f t="shared" ca="1" si="53"/>
        <v>780.7254999999999</v>
      </c>
      <c r="F1131" s="37">
        <f t="shared" ca="1" si="53"/>
        <v>1216.5</v>
      </c>
      <c r="G1131" s="37">
        <f t="shared" ca="1" si="53"/>
        <v>79.166666666666671</v>
      </c>
      <c r="H1131" s="37">
        <f t="shared" ca="1" si="53"/>
        <v>600</v>
      </c>
      <c r="I1131" s="37">
        <f t="shared" ca="1" si="53"/>
        <v>695</v>
      </c>
      <c r="J1131" s="37">
        <f t="shared" ca="1" si="53"/>
        <v>33.333333333333336</v>
      </c>
      <c r="K1131" s="38"/>
      <c r="L1131" s="38"/>
      <c r="M1131" s="38"/>
      <c r="N1131" s="38"/>
      <c r="O1131" s="38"/>
      <c r="P1131" s="38"/>
      <c r="Q1131" s="38"/>
      <c r="R1131" s="38"/>
      <c r="S1131" s="38"/>
      <c r="T1131" s="38"/>
    </row>
    <row r="1132" spans="1:20" ht="15">
      <c r="A1132" s="3">
        <f t="shared" si="50"/>
        <v>2084</v>
      </c>
      <c r="B1132" s="3">
        <f t="shared" si="52"/>
        <v>366</v>
      </c>
      <c r="C1132" s="37">
        <f t="shared" ca="1" si="53"/>
        <v>154.75825</v>
      </c>
      <c r="D1132" s="37">
        <f t="shared" ca="1" si="53"/>
        <v>281.0162499999999</v>
      </c>
      <c r="E1132" s="37">
        <f t="shared" ca="1" si="53"/>
        <v>780.7254999999999</v>
      </c>
      <c r="F1132" s="37">
        <f t="shared" ca="1" si="53"/>
        <v>1216.5</v>
      </c>
      <c r="G1132" s="37">
        <f t="shared" ca="1" si="53"/>
        <v>79.166666666666671</v>
      </c>
      <c r="H1132" s="37">
        <f t="shared" ca="1" si="53"/>
        <v>600</v>
      </c>
      <c r="I1132" s="37">
        <f t="shared" ca="1" si="53"/>
        <v>695</v>
      </c>
      <c r="J1132" s="37">
        <f t="shared" ca="1" si="53"/>
        <v>33.333333333333336</v>
      </c>
      <c r="K1132" s="38"/>
      <c r="L1132" s="38"/>
      <c r="M1132" s="38"/>
      <c r="N1132" s="38"/>
      <c r="O1132" s="38"/>
      <c r="P1132" s="38"/>
      <c r="Q1132" s="38"/>
      <c r="R1132" s="38"/>
      <c r="S1132" s="38"/>
      <c r="T1132" s="38"/>
    </row>
    <row r="1133" spans="1:20" ht="15">
      <c r="A1133" s="3">
        <f t="shared" si="50"/>
        <v>2085</v>
      </c>
      <c r="B1133" s="3">
        <f t="shared" si="52"/>
        <v>365</v>
      </c>
      <c r="C1133" s="37">
        <f t="shared" ca="1" si="53"/>
        <v>154.75825</v>
      </c>
      <c r="D1133" s="37">
        <f t="shared" ca="1" si="53"/>
        <v>281.0162499999999</v>
      </c>
      <c r="E1133" s="37">
        <f t="shared" ca="1" si="53"/>
        <v>780.7254999999999</v>
      </c>
      <c r="F1133" s="37">
        <f t="shared" ca="1" si="53"/>
        <v>1216.5</v>
      </c>
      <c r="G1133" s="37">
        <f t="shared" ca="1" si="53"/>
        <v>79.166666666666671</v>
      </c>
      <c r="H1133" s="37">
        <f t="shared" ca="1" si="53"/>
        <v>600</v>
      </c>
      <c r="I1133" s="37">
        <f t="shared" ca="1" si="53"/>
        <v>695</v>
      </c>
      <c r="J1133" s="37">
        <f t="shared" ca="1" si="53"/>
        <v>33.333333333333336</v>
      </c>
      <c r="K1133" s="38"/>
      <c r="L1133" s="38"/>
      <c r="M1133" s="38"/>
      <c r="N1133" s="38"/>
      <c r="O1133" s="38"/>
      <c r="P1133" s="38"/>
      <c r="Q1133" s="38"/>
      <c r="R1133" s="38"/>
      <c r="S1133" s="38"/>
      <c r="T1133" s="38"/>
    </row>
    <row r="1134" spans="1:20" ht="15">
      <c r="A1134" s="3">
        <f t="shared" si="50"/>
        <v>2086</v>
      </c>
      <c r="B1134" s="3">
        <f t="shared" si="52"/>
        <v>365</v>
      </c>
      <c r="C1134" s="37">
        <f t="shared" ca="1" si="53"/>
        <v>154.75825</v>
      </c>
      <c r="D1134" s="37">
        <f t="shared" ca="1" si="53"/>
        <v>281.0162499999999</v>
      </c>
      <c r="E1134" s="37">
        <f t="shared" ca="1" si="53"/>
        <v>780.7254999999999</v>
      </c>
      <c r="F1134" s="37">
        <f t="shared" ca="1" si="53"/>
        <v>1216.5</v>
      </c>
      <c r="G1134" s="37">
        <f t="shared" ca="1" si="53"/>
        <v>79.166666666666671</v>
      </c>
      <c r="H1134" s="37">
        <f t="shared" ca="1" si="53"/>
        <v>600</v>
      </c>
      <c r="I1134" s="37">
        <f t="shared" ca="1" si="53"/>
        <v>695</v>
      </c>
      <c r="J1134" s="37">
        <f t="shared" ca="1" si="53"/>
        <v>33.333333333333336</v>
      </c>
      <c r="K1134" s="38"/>
      <c r="L1134" s="38"/>
      <c r="M1134" s="38"/>
      <c r="N1134" s="38"/>
      <c r="O1134" s="38"/>
      <c r="P1134" s="38"/>
      <c r="Q1134" s="38"/>
      <c r="R1134" s="38"/>
      <c r="S1134" s="38"/>
      <c r="T1134" s="38"/>
    </row>
    <row r="1135" spans="1:20" ht="15">
      <c r="A1135" s="3">
        <f t="shared" si="50"/>
        <v>2087</v>
      </c>
      <c r="B1135" s="3">
        <f t="shared" si="52"/>
        <v>365</v>
      </c>
      <c r="C1135" s="37">
        <f t="shared" ca="1" si="53"/>
        <v>154.75825</v>
      </c>
      <c r="D1135" s="37">
        <f t="shared" ca="1" si="53"/>
        <v>281.0162499999999</v>
      </c>
      <c r="E1135" s="37">
        <f t="shared" ca="1" si="53"/>
        <v>780.7254999999999</v>
      </c>
      <c r="F1135" s="37">
        <f t="shared" ca="1" si="53"/>
        <v>1216.5</v>
      </c>
      <c r="G1135" s="37">
        <f t="shared" ca="1" si="53"/>
        <v>79.166666666666671</v>
      </c>
      <c r="H1135" s="37">
        <f t="shared" ca="1" si="53"/>
        <v>600</v>
      </c>
      <c r="I1135" s="37">
        <f t="shared" ca="1" si="53"/>
        <v>695</v>
      </c>
      <c r="J1135" s="37">
        <f t="shared" ca="1" si="53"/>
        <v>33.333333333333336</v>
      </c>
      <c r="K1135" s="38"/>
      <c r="L1135" s="38"/>
      <c r="M1135" s="38"/>
      <c r="N1135" s="38"/>
      <c r="O1135" s="38"/>
      <c r="P1135" s="38"/>
      <c r="Q1135" s="38"/>
      <c r="R1135" s="38"/>
      <c r="S1135" s="38"/>
      <c r="T1135" s="38"/>
    </row>
    <row r="1136" spans="1:20" ht="15">
      <c r="A1136" s="3">
        <f t="shared" si="50"/>
        <v>2088</v>
      </c>
      <c r="B1136" s="3">
        <f t="shared" si="52"/>
        <v>366</v>
      </c>
      <c r="C1136" s="37">
        <f t="shared" ca="1" si="53"/>
        <v>154.75825</v>
      </c>
      <c r="D1136" s="37">
        <f t="shared" ca="1" si="53"/>
        <v>281.0162499999999</v>
      </c>
      <c r="E1136" s="37">
        <f t="shared" ca="1" si="53"/>
        <v>780.7254999999999</v>
      </c>
      <c r="F1136" s="37">
        <f t="shared" ca="1" si="53"/>
        <v>1216.5</v>
      </c>
      <c r="G1136" s="37">
        <f t="shared" ca="1" si="53"/>
        <v>79.166666666666671</v>
      </c>
      <c r="H1136" s="37">
        <f t="shared" ca="1" si="53"/>
        <v>600</v>
      </c>
      <c r="I1136" s="37">
        <f t="shared" ca="1" si="53"/>
        <v>695</v>
      </c>
      <c r="J1136" s="37">
        <f t="shared" ca="1" si="53"/>
        <v>33.333333333333336</v>
      </c>
      <c r="K1136" s="38"/>
      <c r="L1136" s="38"/>
      <c r="M1136" s="38"/>
      <c r="N1136" s="38"/>
      <c r="O1136" s="38"/>
      <c r="P1136" s="38"/>
      <c r="Q1136" s="38"/>
      <c r="R1136" s="38"/>
      <c r="S1136" s="38"/>
      <c r="T1136" s="38"/>
    </row>
    <row r="1137" spans="1:20" ht="15">
      <c r="A1137" s="3">
        <f t="shared" si="50"/>
        <v>2089</v>
      </c>
      <c r="B1137" s="3">
        <f t="shared" si="52"/>
        <v>365</v>
      </c>
      <c r="C1137" s="37">
        <f t="shared" ca="1" si="53"/>
        <v>154.75825</v>
      </c>
      <c r="D1137" s="37">
        <f t="shared" ca="1" si="53"/>
        <v>281.0162499999999</v>
      </c>
      <c r="E1137" s="37">
        <f t="shared" ca="1" si="53"/>
        <v>780.7254999999999</v>
      </c>
      <c r="F1137" s="37">
        <f t="shared" ca="1" si="53"/>
        <v>1216.5</v>
      </c>
      <c r="G1137" s="37">
        <f t="shared" ca="1" si="53"/>
        <v>79.166666666666671</v>
      </c>
      <c r="H1137" s="37">
        <f t="shared" ca="1" si="53"/>
        <v>600</v>
      </c>
      <c r="I1137" s="37">
        <f t="shared" ca="1" si="53"/>
        <v>695</v>
      </c>
      <c r="J1137" s="37">
        <f t="shared" ca="1" si="53"/>
        <v>33.333333333333336</v>
      </c>
      <c r="K1137" s="38"/>
      <c r="L1137" s="38"/>
      <c r="M1137" s="38"/>
      <c r="N1137" s="38"/>
      <c r="O1137" s="38"/>
      <c r="P1137" s="38"/>
      <c r="Q1137" s="38"/>
      <c r="R1137" s="38"/>
      <c r="S1137" s="38"/>
      <c r="T1137" s="38"/>
    </row>
    <row r="1138" spans="1:20" ht="15">
      <c r="A1138" s="3">
        <f t="shared" si="50"/>
        <v>2090</v>
      </c>
      <c r="B1138" s="3">
        <f t="shared" si="52"/>
        <v>365</v>
      </c>
      <c r="C1138" s="37">
        <f t="shared" ca="1" si="53"/>
        <v>154.75825</v>
      </c>
      <c r="D1138" s="37">
        <f t="shared" ca="1" si="53"/>
        <v>281.0162499999999</v>
      </c>
      <c r="E1138" s="37">
        <f t="shared" ca="1" si="53"/>
        <v>780.7254999999999</v>
      </c>
      <c r="F1138" s="37">
        <f t="shared" ca="1" si="53"/>
        <v>1216.5</v>
      </c>
      <c r="G1138" s="37">
        <f t="shared" ca="1" si="53"/>
        <v>79.166666666666671</v>
      </c>
      <c r="H1138" s="37">
        <f t="shared" ca="1" si="53"/>
        <v>600</v>
      </c>
      <c r="I1138" s="37">
        <f t="shared" ca="1" si="53"/>
        <v>695</v>
      </c>
      <c r="J1138" s="37">
        <f t="shared" ca="1" si="53"/>
        <v>33.333333333333336</v>
      </c>
      <c r="K1138" s="38"/>
      <c r="L1138" s="38"/>
      <c r="M1138" s="38"/>
      <c r="N1138" s="38"/>
      <c r="O1138" s="38"/>
      <c r="P1138" s="38"/>
      <c r="Q1138" s="38"/>
      <c r="R1138" s="38"/>
      <c r="S1138" s="38"/>
      <c r="T1138" s="38"/>
    </row>
    <row r="1139" spans="1:20" ht="15">
      <c r="A1139" s="3">
        <f t="shared" si="50"/>
        <v>2091</v>
      </c>
      <c r="B1139" s="3">
        <f t="shared" si="52"/>
        <v>365</v>
      </c>
      <c r="C1139" s="37">
        <f t="shared" ca="1" si="53"/>
        <v>154.75825</v>
      </c>
      <c r="D1139" s="37">
        <f t="shared" ca="1" si="53"/>
        <v>281.0162499999999</v>
      </c>
      <c r="E1139" s="37">
        <f t="shared" ca="1" si="53"/>
        <v>780.7254999999999</v>
      </c>
      <c r="F1139" s="37">
        <f t="shared" ca="1" si="53"/>
        <v>1216.5</v>
      </c>
      <c r="G1139" s="37">
        <f t="shared" ca="1" si="53"/>
        <v>79.166666666666671</v>
      </c>
      <c r="H1139" s="37">
        <f t="shared" ca="1" si="53"/>
        <v>600</v>
      </c>
      <c r="I1139" s="37">
        <f t="shared" ca="1" si="53"/>
        <v>695</v>
      </c>
      <c r="J1139" s="37">
        <f t="shared" ca="1" si="53"/>
        <v>33.333333333333336</v>
      </c>
    </row>
    <row r="1140" spans="1:20" ht="15">
      <c r="A1140" s="3">
        <f t="shared" si="50"/>
        <v>2092</v>
      </c>
      <c r="B1140" s="3">
        <f t="shared" si="52"/>
        <v>366</v>
      </c>
      <c r="C1140" s="37">
        <f t="shared" ref="C1140:J1148" ca="1" si="54">AVERAGE(OFFSET(C$593,($A1140-$A$1110)*12,0,12,1))</f>
        <v>154.75825</v>
      </c>
      <c r="D1140" s="37">
        <f t="shared" ca="1" si="54"/>
        <v>281.0162499999999</v>
      </c>
      <c r="E1140" s="37">
        <f t="shared" ca="1" si="54"/>
        <v>780.7254999999999</v>
      </c>
      <c r="F1140" s="37">
        <f t="shared" ca="1" si="54"/>
        <v>1216.5</v>
      </c>
      <c r="G1140" s="37">
        <f t="shared" ca="1" si="54"/>
        <v>79.166666666666671</v>
      </c>
      <c r="H1140" s="37">
        <f t="shared" ca="1" si="54"/>
        <v>600</v>
      </c>
      <c r="I1140" s="37">
        <f t="shared" ca="1" si="54"/>
        <v>695</v>
      </c>
      <c r="J1140" s="37">
        <f t="shared" ca="1" si="54"/>
        <v>33.333333333333336</v>
      </c>
    </row>
    <row r="1141" spans="1:20" ht="15">
      <c r="A1141" s="3">
        <f t="shared" si="50"/>
        <v>2093</v>
      </c>
      <c r="B1141" s="3">
        <f t="shared" si="52"/>
        <v>365</v>
      </c>
      <c r="C1141" s="37">
        <f t="shared" ca="1" si="54"/>
        <v>154.75825</v>
      </c>
      <c r="D1141" s="37">
        <f t="shared" ca="1" si="54"/>
        <v>281.0162499999999</v>
      </c>
      <c r="E1141" s="37">
        <f t="shared" ca="1" si="54"/>
        <v>780.7254999999999</v>
      </c>
      <c r="F1141" s="37">
        <f t="shared" ca="1" si="54"/>
        <v>1216.5</v>
      </c>
      <c r="G1141" s="37">
        <f t="shared" ca="1" si="54"/>
        <v>79.166666666666671</v>
      </c>
      <c r="H1141" s="37">
        <f t="shared" ca="1" si="54"/>
        <v>600</v>
      </c>
      <c r="I1141" s="37">
        <f t="shared" ca="1" si="54"/>
        <v>695</v>
      </c>
      <c r="J1141" s="37">
        <f t="shared" ca="1" si="54"/>
        <v>33.333333333333336</v>
      </c>
    </row>
    <row r="1142" spans="1:20" ht="15">
      <c r="A1142" s="3">
        <f t="shared" si="50"/>
        <v>2094</v>
      </c>
      <c r="B1142" s="3">
        <f t="shared" si="52"/>
        <v>365</v>
      </c>
      <c r="C1142" s="37">
        <f t="shared" ca="1" si="54"/>
        <v>154.75825</v>
      </c>
      <c r="D1142" s="37">
        <f t="shared" ca="1" si="54"/>
        <v>281.0162499999999</v>
      </c>
      <c r="E1142" s="37">
        <f t="shared" ca="1" si="54"/>
        <v>780.7254999999999</v>
      </c>
      <c r="F1142" s="37">
        <f t="shared" ca="1" si="54"/>
        <v>1216.5</v>
      </c>
      <c r="G1142" s="37">
        <f t="shared" ca="1" si="54"/>
        <v>79.166666666666671</v>
      </c>
      <c r="H1142" s="37">
        <f t="shared" ca="1" si="54"/>
        <v>600</v>
      </c>
      <c r="I1142" s="37">
        <f t="shared" ca="1" si="54"/>
        <v>695</v>
      </c>
      <c r="J1142" s="37">
        <f t="shared" ca="1" si="54"/>
        <v>33.333333333333336</v>
      </c>
    </row>
    <row r="1143" spans="1:20" ht="15">
      <c r="A1143" s="3">
        <f t="shared" si="50"/>
        <v>2095</v>
      </c>
      <c r="B1143" s="3">
        <f t="shared" si="52"/>
        <v>365</v>
      </c>
      <c r="C1143" s="37">
        <f t="shared" ca="1" si="54"/>
        <v>154.75825</v>
      </c>
      <c r="D1143" s="37">
        <f t="shared" ca="1" si="54"/>
        <v>281.0162499999999</v>
      </c>
      <c r="E1143" s="37">
        <f t="shared" ca="1" si="54"/>
        <v>780.7254999999999</v>
      </c>
      <c r="F1143" s="37">
        <f t="shared" ca="1" si="54"/>
        <v>1216.5</v>
      </c>
      <c r="G1143" s="37">
        <f t="shared" ca="1" si="54"/>
        <v>79.166666666666671</v>
      </c>
      <c r="H1143" s="37">
        <f t="shared" ca="1" si="54"/>
        <v>600</v>
      </c>
      <c r="I1143" s="37">
        <f t="shared" ca="1" si="54"/>
        <v>695</v>
      </c>
      <c r="J1143" s="37">
        <f t="shared" ca="1" si="54"/>
        <v>33.333333333333336</v>
      </c>
    </row>
    <row r="1144" spans="1:20" ht="15">
      <c r="A1144" s="3">
        <f t="shared" si="50"/>
        <v>2096</v>
      </c>
      <c r="B1144" s="3">
        <f t="shared" si="52"/>
        <v>366</v>
      </c>
      <c r="C1144" s="37">
        <f t="shared" ca="1" si="54"/>
        <v>154.75825</v>
      </c>
      <c r="D1144" s="37">
        <f t="shared" ca="1" si="54"/>
        <v>281.0162499999999</v>
      </c>
      <c r="E1144" s="37">
        <f t="shared" ca="1" si="54"/>
        <v>780.7254999999999</v>
      </c>
      <c r="F1144" s="37">
        <f t="shared" ca="1" si="54"/>
        <v>1216.5</v>
      </c>
      <c r="G1144" s="37">
        <f t="shared" ca="1" si="54"/>
        <v>79.166666666666671</v>
      </c>
      <c r="H1144" s="37">
        <f t="shared" ca="1" si="54"/>
        <v>600</v>
      </c>
      <c r="I1144" s="37">
        <f t="shared" ca="1" si="54"/>
        <v>695</v>
      </c>
      <c r="J1144" s="37">
        <f t="shared" ca="1" si="54"/>
        <v>33.333333333333336</v>
      </c>
    </row>
    <row r="1145" spans="1:20" ht="15">
      <c r="A1145" s="3">
        <f t="shared" si="50"/>
        <v>2097</v>
      </c>
      <c r="B1145" s="3">
        <f t="shared" si="52"/>
        <v>365</v>
      </c>
      <c r="C1145" s="37">
        <f t="shared" ca="1" si="54"/>
        <v>154.75825</v>
      </c>
      <c r="D1145" s="37">
        <f t="shared" ca="1" si="54"/>
        <v>281.0162499999999</v>
      </c>
      <c r="E1145" s="37">
        <f t="shared" ca="1" si="54"/>
        <v>780.7254999999999</v>
      </c>
      <c r="F1145" s="37">
        <f t="shared" ca="1" si="54"/>
        <v>1216.5</v>
      </c>
      <c r="G1145" s="37">
        <f t="shared" ca="1" si="54"/>
        <v>79.166666666666671</v>
      </c>
      <c r="H1145" s="37">
        <f t="shared" ca="1" si="54"/>
        <v>600</v>
      </c>
      <c r="I1145" s="37">
        <f t="shared" ca="1" si="54"/>
        <v>695</v>
      </c>
      <c r="J1145" s="37">
        <f t="shared" ca="1" si="54"/>
        <v>33.333333333333336</v>
      </c>
    </row>
    <row r="1146" spans="1:20" ht="15">
      <c r="A1146" s="3">
        <f t="shared" si="50"/>
        <v>2098</v>
      </c>
      <c r="B1146" s="3">
        <f t="shared" si="52"/>
        <v>365</v>
      </c>
      <c r="C1146" s="37">
        <f t="shared" ca="1" si="54"/>
        <v>154.75825</v>
      </c>
      <c r="D1146" s="37">
        <f t="shared" ca="1" si="54"/>
        <v>281.0162499999999</v>
      </c>
      <c r="E1146" s="37">
        <f t="shared" ca="1" si="54"/>
        <v>780.7254999999999</v>
      </c>
      <c r="F1146" s="37">
        <f t="shared" ca="1" si="54"/>
        <v>1216.5</v>
      </c>
      <c r="G1146" s="37">
        <f t="shared" ca="1" si="54"/>
        <v>79.166666666666671</v>
      </c>
      <c r="H1146" s="37">
        <f t="shared" ca="1" si="54"/>
        <v>600</v>
      </c>
      <c r="I1146" s="37">
        <f t="shared" ca="1" si="54"/>
        <v>695</v>
      </c>
      <c r="J1146" s="37">
        <f t="shared" ca="1" si="54"/>
        <v>33.333333333333336</v>
      </c>
    </row>
    <row r="1147" spans="1:20" ht="15">
      <c r="A1147" s="3">
        <f t="shared" si="50"/>
        <v>2099</v>
      </c>
      <c r="B1147" s="3">
        <f t="shared" si="52"/>
        <v>365</v>
      </c>
      <c r="C1147" s="37">
        <f t="shared" ca="1" si="54"/>
        <v>154.75825</v>
      </c>
      <c r="D1147" s="37">
        <f t="shared" ca="1" si="54"/>
        <v>281.0162499999999</v>
      </c>
      <c r="E1147" s="37">
        <f t="shared" ca="1" si="54"/>
        <v>780.7254999999999</v>
      </c>
      <c r="F1147" s="37">
        <f t="shared" ca="1" si="54"/>
        <v>1216.5</v>
      </c>
      <c r="G1147" s="37">
        <f t="shared" ca="1" si="54"/>
        <v>79.166666666666671</v>
      </c>
      <c r="H1147" s="37">
        <f t="shared" ca="1" si="54"/>
        <v>600</v>
      </c>
      <c r="I1147" s="37">
        <f t="shared" ca="1" si="54"/>
        <v>695</v>
      </c>
      <c r="J1147" s="37">
        <f t="shared" ca="1" si="54"/>
        <v>33.333333333333336</v>
      </c>
    </row>
    <row r="1148" spans="1:20" ht="15">
      <c r="A1148" s="3">
        <f t="shared" si="50"/>
        <v>2100</v>
      </c>
      <c r="B1148" s="3">
        <f t="shared" si="52"/>
        <v>365</v>
      </c>
      <c r="C1148" s="37">
        <f t="shared" ca="1" si="54"/>
        <v>154.75825</v>
      </c>
      <c r="D1148" s="37">
        <f t="shared" ca="1" si="54"/>
        <v>281.0162499999999</v>
      </c>
      <c r="E1148" s="37">
        <f t="shared" ca="1" si="54"/>
        <v>780.7254999999999</v>
      </c>
      <c r="F1148" s="37">
        <f t="shared" ca="1" si="54"/>
        <v>1216.5</v>
      </c>
      <c r="G1148" s="37">
        <f t="shared" ca="1" si="54"/>
        <v>79.166666666666671</v>
      </c>
      <c r="H1148" s="37">
        <f t="shared" ca="1" si="54"/>
        <v>600</v>
      </c>
      <c r="I1148" s="37">
        <f t="shared" ca="1" si="54"/>
        <v>695</v>
      </c>
      <c r="J1148" s="37">
        <f t="shared" ca="1" si="54"/>
        <v>33.333333333333336</v>
      </c>
    </row>
    <row r="1149" spans="1:20">
      <c r="A1149" s="34"/>
      <c r="B1149" s="34"/>
      <c r="C1149" s="36"/>
      <c r="D1149" s="36"/>
      <c r="E1149" s="36"/>
      <c r="F1149" s="36"/>
      <c r="G1149" s="36"/>
    </row>
    <row r="1150" spans="1:20">
      <c r="A1150" s="34"/>
      <c r="B1150" s="34"/>
    </row>
    <row r="1151" spans="1:20">
      <c r="A1151" s="34"/>
      <c r="B1151" s="34"/>
    </row>
    <row r="1152" spans="1:20">
      <c r="A1152" s="34"/>
      <c r="B1152" s="34"/>
    </row>
    <row r="1153" spans="1:2">
      <c r="A1153" s="34"/>
      <c r="B1153" s="34"/>
    </row>
    <row r="1154" spans="1:2">
      <c r="A1154" s="34"/>
      <c r="B1154" s="34"/>
    </row>
    <row r="1155" spans="1:2">
      <c r="A1155" s="34"/>
      <c r="B1155" s="34"/>
    </row>
    <row r="1156" spans="1:2">
      <c r="A1156" s="34"/>
      <c r="B1156" s="34"/>
    </row>
    <row r="1157" spans="1:2">
      <c r="A1157" s="34"/>
      <c r="B1157" s="34"/>
    </row>
    <row r="1158" spans="1:2">
      <c r="A1158" s="34"/>
      <c r="B1158" s="34"/>
    </row>
    <row r="1159" spans="1:2">
      <c r="A1159" s="34"/>
      <c r="B1159" s="34"/>
    </row>
    <row r="1160" spans="1:2">
      <c r="A1160" s="34"/>
      <c r="B1160" s="34"/>
    </row>
    <row r="1161" spans="1:2">
      <c r="A1161" s="34"/>
      <c r="B1161" s="34"/>
    </row>
    <row r="1162" spans="1:2">
      <c r="A1162" s="34"/>
      <c r="B1162" s="34"/>
    </row>
    <row r="1163" spans="1:2">
      <c r="A1163" s="34"/>
      <c r="B1163" s="34"/>
    </row>
    <row r="1164" spans="1:2">
      <c r="A1164" s="34"/>
      <c r="B1164" s="34"/>
    </row>
    <row r="1165" spans="1:2">
      <c r="A1165" s="34"/>
      <c r="B1165" s="34"/>
    </row>
    <row r="1166" spans="1:2">
      <c r="A1166" s="34"/>
      <c r="B1166" s="34"/>
    </row>
    <row r="1167" spans="1:2">
      <c r="A1167" s="34"/>
      <c r="B1167" s="34"/>
    </row>
    <row r="1168" spans="1:2">
      <c r="A1168" s="34"/>
      <c r="B1168" s="34"/>
    </row>
  </sheetData>
  <mergeCells count="1">
    <mergeCell ref="C14:E14"/>
  </mergeCells>
  <pageMargins left="0.25" right="0.25" top="0.5" bottom="0.5" header="0.25" footer="0.25"/>
  <pageSetup scale="75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68"/>
  <sheetViews>
    <sheetView zoomScale="70" zoomScaleNormal="70" workbookViewId="0">
      <pane xSplit="1" ySplit="16" topLeftCell="B17" activePane="bottomRight" state="frozen"/>
      <selection activeCell="C5" sqref="C5"/>
      <selection pane="topRight" activeCell="C5" sqref="C5"/>
      <selection pane="bottomLeft" activeCell="C5" sqref="C5"/>
      <selection pane="bottomRight" activeCell="B17" sqref="B17"/>
    </sheetView>
  </sheetViews>
  <sheetFormatPr defaultColWidth="7.109375" defaultRowHeight="12.75"/>
  <cols>
    <col min="1" max="1" width="7.5546875" style="35" bestFit="1" customWidth="1"/>
    <col min="2" max="2" width="10" style="35" customWidth="1"/>
    <col min="3" max="3" width="12" style="35" customWidth="1"/>
    <col min="4" max="4" width="12.109375" style="35" bestFit="1" customWidth="1"/>
    <col min="5" max="5" width="10.33203125" style="35" customWidth="1"/>
    <col min="6" max="16384" width="7.109375" style="34"/>
  </cols>
  <sheetData>
    <row r="1" spans="1:7" ht="15.75">
      <c r="A1" s="92" t="s">
        <v>65</v>
      </c>
    </row>
    <row r="2" spans="1:7" ht="15.75">
      <c r="A2" s="92" t="s">
        <v>66</v>
      </c>
    </row>
    <row r="3" spans="1:7" ht="15.75">
      <c r="A3" s="92" t="s">
        <v>67</v>
      </c>
    </row>
    <row r="4" spans="1:7" ht="15.75">
      <c r="A4" s="92" t="s">
        <v>68</v>
      </c>
    </row>
    <row r="5" spans="1:7" ht="15.75">
      <c r="A5" s="92" t="s">
        <v>69</v>
      </c>
    </row>
    <row r="6" spans="1:7" ht="15.75">
      <c r="A6" s="92" t="s">
        <v>72</v>
      </c>
    </row>
    <row r="7" spans="1:7" ht="15.75">
      <c r="A7" s="92"/>
    </row>
    <row r="8" spans="1:7" s="62" customFormat="1" ht="20.25">
      <c r="A8" s="88" t="s">
        <v>43</v>
      </c>
      <c r="B8" s="89"/>
      <c r="C8" s="89"/>
      <c r="D8" s="89"/>
      <c r="E8" s="89"/>
    </row>
    <row r="9" spans="1:7" s="62" customFormat="1" ht="15" customHeight="1">
      <c r="A9" s="59" t="s">
        <v>25</v>
      </c>
      <c r="B9" s="89"/>
      <c r="C9" s="89"/>
      <c r="D9" s="89"/>
      <c r="E9" s="89"/>
    </row>
    <row r="10" spans="1:7" ht="15" customHeight="1">
      <c r="A10" s="64"/>
      <c r="F10" s="62"/>
      <c r="G10" s="62"/>
    </row>
    <row r="11" spans="1:7" ht="15" customHeight="1">
      <c r="A11" s="64"/>
      <c r="B11" s="63"/>
      <c r="C11" s="63"/>
      <c r="D11" s="63"/>
      <c r="E11" s="63"/>
      <c r="F11" s="62"/>
      <c r="G11" s="62"/>
    </row>
    <row r="12" spans="1:7" ht="15" customHeight="1"/>
    <row r="13" spans="1:7" ht="15" customHeight="1">
      <c r="B13" s="61" t="s">
        <v>24</v>
      </c>
      <c r="C13" s="60">
        <f>1-0.263</f>
        <v>0.73699999999999999</v>
      </c>
      <c r="D13" s="61" t="s">
        <v>23</v>
      </c>
      <c r="E13" s="60">
        <f>1+0.263</f>
        <v>1.2629999999999999</v>
      </c>
    </row>
    <row r="14" spans="1:7" ht="15" customHeight="1">
      <c r="A14" s="59"/>
      <c r="B14" s="95" t="s">
        <v>42</v>
      </c>
      <c r="C14" s="95"/>
      <c r="D14" s="58" t="s">
        <v>41</v>
      </c>
      <c r="E14" s="53"/>
    </row>
    <row r="15" spans="1:7" s="56" customFormat="1" ht="63">
      <c r="B15" s="57" t="s">
        <v>40</v>
      </c>
      <c r="C15" s="57" t="s">
        <v>39</v>
      </c>
      <c r="D15" s="57" t="s">
        <v>38</v>
      </c>
      <c r="E15" s="26" t="s">
        <v>37</v>
      </c>
    </row>
    <row r="16" spans="1:7" s="56" customFormat="1" ht="21" customHeight="1">
      <c r="A16" s="23" t="s">
        <v>2</v>
      </c>
      <c r="B16" s="48" t="s">
        <v>1</v>
      </c>
      <c r="C16" s="48" t="s">
        <v>1</v>
      </c>
      <c r="D16" s="48" t="s">
        <v>1</v>
      </c>
      <c r="E16" s="23" t="s">
        <v>36</v>
      </c>
    </row>
    <row r="17" spans="1:5" ht="15">
      <c r="A17" s="13">
        <v>41640</v>
      </c>
      <c r="B17" s="4">
        <v>16.436064253071699</v>
      </c>
      <c r="C17" s="4">
        <v>16.288836342915499</v>
      </c>
      <c r="D17" s="4">
        <v>24.229497427101201</v>
      </c>
      <c r="E17" s="4">
        <v>98.77</v>
      </c>
    </row>
    <row r="18" spans="1:5" ht="15">
      <c r="A18" s="13">
        <v>41671</v>
      </c>
      <c r="B18" s="4">
        <v>17.464204878071701</v>
      </c>
      <c r="C18" s="4">
        <v>17.316976967915501</v>
      </c>
      <c r="D18" s="4">
        <v>24.359056260720401</v>
      </c>
      <c r="E18" s="4">
        <v>94.99</v>
      </c>
    </row>
    <row r="19" spans="1:5" ht="15">
      <c r="A19" s="13">
        <v>41699</v>
      </c>
      <c r="B19" s="4">
        <v>17.5704548780717</v>
      </c>
      <c r="C19" s="4">
        <v>17.4232269679155</v>
      </c>
      <c r="D19" s="4">
        <v>23.297155060034299</v>
      </c>
      <c r="E19" s="4">
        <v>102.92</v>
      </c>
    </row>
    <row r="20" spans="1:5" ht="15">
      <c r="A20" s="13">
        <v>41730</v>
      </c>
      <c r="B20" s="4">
        <v>16.605954878071699</v>
      </c>
      <c r="C20" s="4">
        <v>16.458726967915499</v>
      </c>
      <c r="D20" s="4">
        <v>22.8128799313894</v>
      </c>
      <c r="E20" s="4">
        <v>99.43</v>
      </c>
    </row>
    <row r="21" spans="1:5" ht="15">
      <c r="A21" s="13">
        <v>41760</v>
      </c>
      <c r="B21" s="4">
        <v>16.420773787848599</v>
      </c>
      <c r="C21" s="4">
        <v>16.273553600348599</v>
      </c>
      <c r="D21" s="4">
        <v>23.1277790737564</v>
      </c>
      <c r="E21" s="4">
        <v>102.13</v>
      </c>
    </row>
    <row r="22" spans="1:5" ht="15">
      <c r="A22" s="13">
        <v>41791</v>
      </c>
      <c r="B22" s="4">
        <v>16.224492537848601</v>
      </c>
      <c r="C22" s="4">
        <v>16.077272350348601</v>
      </c>
      <c r="D22" s="4">
        <v>23.109257289879899</v>
      </c>
      <c r="E22" s="4">
        <v>102.44</v>
      </c>
    </row>
    <row r="23" spans="1:5" ht="15">
      <c r="A23" s="13">
        <v>41821</v>
      </c>
      <c r="B23" s="4">
        <f>16.3578 * CHOOSE(CONTROL!$C$10, $C$13, 100%, $E$13) + CHOOSE(CONTROL!$C$29, 0.0299, 0)</f>
        <v>16.387700000000002</v>
      </c>
      <c r="C23" s="4">
        <f>16.2016 * CHOOSE(CONTROL!$C$10, $C$13, 100%, $E$13) + CHOOSE(CONTROL!$C$29, 0.0299, 0)</f>
        <v>16.2315</v>
      </c>
      <c r="D23" s="4">
        <f>23.3968 * CHOOSE(CONTROL!$C$10, $C$13, 100%, $E$13) + CHOOSE(CONTROL!$C$29, 0.0021, 0)</f>
        <v>23.398899999999998</v>
      </c>
      <c r="E23" s="4">
        <f>107.26 * CHOOSE(CONTROL!$C$10, $C$13, 100%, $E$13) + CHOOSE(CONTROL!$C$29, 0.0021, 0)</f>
        <v>107.2621</v>
      </c>
    </row>
    <row r="24" spans="1:5" ht="15">
      <c r="A24" s="13">
        <v>41852</v>
      </c>
      <c r="B24" s="4">
        <f>15.8438 * CHOOSE(CONTROL!$C$10, $C$13, 100%, $E$13) + CHOOSE(CONTROL!$C$29, 0.0299, 0)</f>
        <v>15.873699999999999</v>
      </c>
      <c r="C24" s="4">
        <f>15.6875 * CHOOSE(CONTROL!$C$10, $C$13, 100%, $E$13) + CHOOSE(CONTROL!$C$29, 0.0299, 0)</f>
        <v>15.7174</v>
      </c>
      <c r="D24" s="4">
        <f>22.9912 * CHOOSE(CONTROL!$C$10, $C$13, 100%, $E$13) + CHOOSE(CONTROL!$C$29, 0.0021, 0)</f>
        <v>22.993299999999998</v>
      </c>
      <c r="E24" s="4">
        <f>103.53 * CHOOSE(CONTROL!$C$10, $C$13, 100%, $E$13) + CHOOSE(CONTROL!$C$29, 0.0021, 0)</f>
        <v>103.5321</v>
      </c>
    </row>
    <row r="25" spans="1:5" ht="15">
      <c r="A25" s="13">
        <v>41883</v>
      </c>
      <c r="B25" s="4">
        <f>15.75 * CHOOSE(CONTROL!$C$10, $C$13, 100%, $E$13) + CHOOSE(CONTROL!$C$29, 0.0299, 0)</f>
        <v>15.7799</v>
      </c>
      <c r="C25" s="4">
        <f>15.5937 * CHOOSE(CONTROL!$C$10, $C$13, 100%, $E$13) + CHOOSE(CONTROL!$C$29, 0.0299, 0)</f>
        <v>15.6236</v>
      </c>
      <c r="D25" s="4">
        <f>23.087 * CHOOSE(CONTROL!$C$10, $C$13, 100%, $E$13) + CHOOSE(CONTROL!$C$29, 0.0021, 0)</f>
        <v>23.089099999999998</v>
      </c>
      <c r="E25" s="4">
        <f>103.03 * CHOOSE(CONTROL!$C$10, $C$13, 100%, $E$13) + CHOOSE(CONTROL!$C$29, 0.0021, 0)</f>
        <v>103.0321</v>
      </c>
    </row>
    <row r="26" spans="1:5" ht="15">
      <c r="A26" s="13">
        <v>41913</v>
      </c>
      <c r="B26" s="4">
        <f>15.6562 * CHOOSE(CONTROL!$C$10, $C$13, 100%, $E$13) + CHOOSE(CONTROL!$C$29, 0.0274, 0)</f>
        <v>15.6836</v>
      </c>
      <c r="C26" s="4">
        <f>15.5 * CHOOSE(CONTROL!$C$10, $C$13, 100%, $E$13) + CHOOSE(CONTROL!$C$29, 0.0274, 0)</f>
        <v>15.5274</v>
      </c>
      <c r="D26" s="4">
        <f>23.1612 * CHOOSE(CONTROL!$C$10, $C$13, 100%, $E$13) + CHOOSE(CONTROL!$C$29, 0.0021, 0)</f>
        <v>23.1633</v>
      </c>
      <c r="E26" s="4">
        <f>102.29 * CHOOSE(CONTROL!$C$10, $C$13, 100%, $E$13) + CHOOSE(CONTROL!$C$29, 0.0021, 0)</f>
        <v>102.2921</v>
      </c>
    </row>
    <row r="27" spans="1:5" ht="15">
      <c r="A27" s="13">
        <v>41944</v>
      </c>
      <c r="B27" s="4">
        <f>15.5469 * CHOOSE(CONTROL!$C$10, $C$13, 100%, $E$13) + CHOOSE(CONTROL!$C$29, 0.0274, 0)</f>
        <v>15.574300000000001</v>
      </c>
      <c r="C27" s="4">
        <f>15.3906 * CHOOSE(CONTROL!$C$10, $C$13, 100%, $E$13) + CHOOSE(CONTROL!$C$29, 0.0274, 0)</f>
        <v>15.417999999999999</v>
      </c>
      <c r="D27" s="4">
        <f>23.2362 * CHOOSE(CONTROL!$C$10, $C$13, 100%, $E$13) + CHOOSE(CONTROL!$C$29, 0.0021, 0)</f>
        <v>23.238299999999999</v>
      </c>
      <c r="E27" s="4">
        <f>101.5 * CHOOSE(CONTROL!$C$10, $C$13, 100%, $E$13) + CHOOSE(CONTROL!$C$29, 0.0021, 0)</f>
        <v>101.5021</v>
      </c>
    </row>
    <row r="28" spans="1:5" ht="15">
      <c r="A28" s="13">
        <v>41974</v>
      </c>
      <c r="B28" s="4">
        <f>15.4375 * CHOOSE(CONTROL!$C$10, $C$13, 100%, $E$13) + CHOOSE(CONTROL!$C$29, 0.0274, 0)</f>
        <v>15.4649</v>
      </c>
      <c r="C28" s="4">
        <f>15.2812 * CHOOSE(CONTROL!$C$10, $C$13, 100%, $E$13) + CHOOSE(CONTROL!$C$29, 0.0274, 0)</f>
        <v>15.3086</v>
      </c>
      <c r="D28" s="4">
        <f>23.2945 * CHOOSE(CONTROL!$C$10, $C$13, 100%, $E$13) + CHOOSE(CONTROL!$C$29, 0.0021, 0)</f>
        <v>23.296599999999998</v>
      </c>
      <c r="E28" s="4">
        <f>100.78 * CHOOSE(CONTROL!$C$10, $C$13, 100%, $E$13) + CHOOSE(CONTROL!$C$29, 0.0021, 0)</f>
        <v>100.7821</v>
      </c>
    </row>
    <row r="29" spans="1:5" ht="15">
      <c r="A29" s="13">
        <v>42005</v>
      </c>
      <c r="B29" s="4">
        <f>15.4375 * CHOOSE(CONTROL!$C$10, $C$13, 100%, $E$13) + CHOOSE(CONTROL!$C$29, 0.0274, 0)</f>
        <v>15.4649</v>
      </c>
      <c r="C29" s="4">
        <f>15.2812 * CHOOSE(CONTROL!$C$10, $C$13, 100%, $E$13) + CHOOSE(CONTROL!$C$29, 0.0274, 0)</f>
        <v>15.3086</v>
      </c>
      <c r="D29" s="4">
        <f>23.3406 * CHOOSE(CONTROL!$C$10, $C$13, 100%, $E$13) + CHOOSE(CONTROL!$C$29, 0.0021, 0)</f>
        <v>23.342699999999997</v>
      </c>
      <c r="E29" s="4">
        <f>100.1 * CHOOSE(CONTROL!$C$10, $C$13, 100%, $E$13) + CHOOSE(CONTROL!$C$29, 0.0021, 0)</f>
        <v>100.10209999999999</v>
      </c>
    </row>
    <row r="30" spans="1:5" ht="15">
      <c r="A30" s="13">
        <v>42036</v>
      </c>
      <c r="B30" s="4">
        <f>15.4375 * CHOOSE(CONTROL!$C$10, $C$13, 100%, $E$13) + CHOOSE(CONTROL!$C$29, 0.0274, 0)</f>
        <v>15.4649</v>
      </c>
      <c r="C30" s="4">
        <f>15.2812 * CHOOSE(CONTROL!$C$10, $C$13, 100%, $E$13) + CHOOSE(CONTROL!$C$29, 0.0274, 0)</f>
        <v>15.3086</v>
      </c>
      <c r="D30" s="4">
        <f>23.3284 * CHOOSE(CONTROL!$C$10, $C$13, 100%, $E$13) + CHOOSE(CONTROL!$C$29, 0.0021, 0)</f>
        <v>23.330499999999997</v>
      </c>
      <c r="E30" s="4">
        <f>99.45 * CHOOSE(CONTROL!$C$10, $C$13, 100%, $E$13) + CHOOSE(CONTROL!$C$29, 0.0021, 0)</f>
        <v>99.452100000000002</v>
      </c>
    </row>
    <row r="31" spans="1:5" ht="15">
      <c r="A31" s="13">
        <v>42064</v>
      </c>
      <c r="B31" s="4">
        <f>15.4375 * CHOOSE(CONTROL!$C$10, $C$13, 100%, $E$13) + CHOOSE(CONTROL!$C$29, 0.0274, 0)</f>
        <v>15.4649</v>
      </c>
      <c r="C31" s="4">
        <f>15.2812 * CHOOSE(CONTROL!$C$10, $C$13, 100%, $E$13) + CHOOSE(CONTROL!$C$29, 0.0274, 0)</f>
        <v>15.3086</v>
      </c>
      <c r="D31" s="4">
        <f>23.2477 * CHOOSE(CONTROL!$C$10, $C$13, 100%, $E$13) + CHOOSE(CONTROL!$C$29, 0.0021, 0)</f>
        <v>23.249799999999997</v>
      </c>
      <c r="E31" s="4">
        <f>98.82 * CHOOSE(CONTROL!$C$10, $C$13, 100%, $E$13) + CHOOSE(CONTROL!$C$29, 0.0021, 0)</f>
        <v>98.822099999999992</v>
      </c>
    </row>
    <row r="32" spans="1:5" ht="15">
      <c r="A32" s="13">
        <v>42095</v>
      </c>
      <c r="B32" s="4">
        <f>15.1625 * CHOOSE(CONTROL!$C$10, $C$13, 100%, $E$13) + CHOOSE(CONTROL!$C$29, 0.0274, 0)</f>
        <v>15.1899</v>
      </c>
      <c r="C32" s="4">
        <f>15.0062 * CHOOSE(CONTROL!$C$10, $C$13, 100%, $E$13) + CHOOSE(CONTROL!$C$29, 0.0274, 0)</f>
        <v>15.0336</v>
      </c>
      <c r="D32" s="4">
        <f>23.1317 * CHOOSE(CONTROL!$C$10, $C$13, 100%, $E$13) + CHOOSE(CONTROL!$C$29, 0.0021, 0)</f>
        <v>23.133799999999997</v>
      </c>
      <c r="E32" s="4">
        <f>98.17 * CHOOSE(CONTROL!$C$10, $C$13, 100%, $E$13) + CHOOSE(CONTROL!$C$29, 0.0021, 0)</f>
        <v>98.1721</v>
      </c>
    </row>
    <row r="33" spans="1:5" ht="15">
      <c r="A33" s="13">
        <v>42125</v>
      </c>
      <c r="B33" s="4">
        <f>15.1625 * CHOOSE(CONTROL!$C$10, $C$13, 100%, $E$13) + CHOOSE(CONTROL!$C$29, 0.0274, 0)</f>
        <v>15.1899</v>
      </c>
      <c r="C33" s="4">
        <f>15.0062 * CHOOSE(CONTROL!$C$10, $C$13, 100%, $E$13) + CHOOSE(CONTROL!$C$29, 0.0274, 0)</f>
        <v>15.0336</v>
      </c>
      <c r="D33" s="4">
        <f>23.0258 * CHOOSE(CONTROL!$C$10, $C$13, 100%, $E$13) + CHOOSE(CONTROL!$C$29, 0.0021, 0)</f>
        <v>23.027899999999999</v>
      </c>
      <c r="E33" s="4">
        <f>97.59 * CHOOSE(CONTROL!$C$10, $C$13, 100%, $E$13) + CHOOSE(CONTROL!$C$29, 0.0021, 0)</f>
        <v>97.592100000000002</v>
      </c>
    </row>
    <row r="34" spans="1:5" ht="15">
      <c r="A34" s="13">
        <v>42156</v>
      </c>
      <c r="B34" s="4">
        <f>15.1625 * CHOOSE(CONTROL!$C$10, $C$13, 100%, $E$13) + CHOOSE(CONTROL!$C$29, 0.0274, 0)</f>
        <v>15.1899</v>
      </c>
      <c r="C34" s="4">
        <f>15.0062 * CHOOSE(CONTROL!$C$10, $C$13, 100%, $E$13) + CHOOSE(CONTROL!$C$29, 0.0274, 0)</f>
        <v>15.0336</v>
      </c>
      <c r="D34" s="4">
        <f>22.9235 * CHOOSE(CONTROL!$C$10, $C$13, 100%, $E$13) + CHOOSE(CONTROL!$C$29, 0.0021, 0)</f>
        <v>22.925599999999999</v>
      </c>
      <c r="E34" s="4">
        <f>97.09 * CHOOSE(CONTROL!$C$10, $C$13, 100%, $E$13) + CHOOSE(CONTROL!$C$29, 0.0021, 0)</f>
        <v>97.092100000000002</v>
      </c>
    </row>
    <row r="35" spans="1:5" ht="15">
      <c r="A35" s="13">
        <v>42186</v>
      </c>
      <c r="B35" s="4">
        <f>15.1625 * CHOOSE(CONTROL!$C$10, $C$13, 100%, $E$13) + CHOOSE(CONTROL!$C$29, 0.0274, 0)</f>
        <v>15.1899</v>
      </c>
      <c r="C35" s="4">
        <f>15.0062 * CHOOSE(CONTROL!$C$10, $C$13, 100%, $E$13) + CHOOSE(CONTROL!$C$29, 0.0274, 0)</f>
        <v>15.0336</v>
      </c>
      <c r="D35" s="4">
        <f>22.8623 * CHOOSE(CONTROL!$C$10, $C$13, 100%, $E$13) + CHOOSE(CONTROL!$C$29, 0.0021, 0)</f>
        <v>22.8644</v>
      </c>
      <c r="E35" s="4">
        <f>96.5 * CHOOSE(CONTROL!$C$10, $C$13, 100%, $E$13) + CHOOSE(CONTROL!$C$29, 0.0021, 0)</f>
        <v>96.502099999999999</v>
      </c>
    </row>
    <row r="36" spans="1:5" ht="15">
      <c r="A36" s="13">
        <v>42217</v>
      </c>
      <c r="B36" s="4">
        <f>15.1625 * CHOOSE(CONTROL!$C$10, $C$13, 100%, $E$13) + CHOOSE(CONTROL!$C$29, 0.0274, 0)</f>
        <v>15.1899</v>
      </c>
      <c r="C36" s="4">
        <f>15.0062 * CHOOSE(CONTROL!$C$10, $C$13, 100%, $E$13) + CHOOSE(CONTROL!$C$29, 0.0274, 0)</f>
        <v>15.0336</v>
      </c>
      <c r="D36" s="4">
        <f>22.819 * CHOOSE(CONTROL!$C$10, $C$13, 100%, $E$13) + CHOOSE(CONTROL!$C$29, 0.0021, 0)</f>
        <v>22.821099999999998</v>
      </c>
      <c r="E36" s="4">
        <f>96.02 * CHOOSE(CONTROL!$C$10, $C$13, 100%, $E$13) + CHOOSE(CONTROL!$C$29, 0.0021, 0)</f>
        <v>96.022099999999995</v>
      </c>
    </row>
    <row r="37" spans="1:5" ht="15">
      <c r="A37" s="13">
        <v>42248</v>
      </c>
      <c r="B37" s="4">
        <f>15.1625 * CHOOSE(CONTROL!$C$10, $C$13, 100%, $E$13) + CHOOSE(CONTROL!$C$29, 0.0274, 0)</f>
        <v>15.1899</v>
      </c>
      <c r="C37" s="4">
        <f>15.0062 * CHOOSE(CONTROL!$C$10, $C$13, 100%, $E$13) + CHOOSE(CONTROL!$C$29, 0.0274, 0)</f>
        <v>15.0336</v>
      </c>
      <c r="D37" s="4">
        <f>22.7881 * CHOOSE(CONTROL!$C$10, $C$13, 100%, $E$13) + CHOOSE(CONTROL!$C$29, 0.0021, 0)</f>
        <v>22.790199999999999</v>
      </c>
      <c r="E37" s="4">
        <f>95.63 * CHOOSE(CONTROL!$C$10, $C$13, 100%, $E$13) + CHOOSE(CONTROL!$C$29, 0.0021, 0)</f>
        <v>95.632099999999994</v>
      </c>
    </row>
    <row r="38" spans="1:5" ht="15">
      <c r="A38" s="13">
        <v>42278</v>
      </c>
      <c r="B38" s="4">
        <f>15.1625 * CHOOSE(CONTROL!$C$10, $C$13, 100%, $E$13) + CHOOSE(CONTROL!$C$29, 0.0274, 0)</f>
        <v>15.1899</v>
      </c>
      <c r="C38" s="4">
        <f>15.0062 * CHOOSE(CONTROL!$C$10, $C$13, 100%, $E$13) + CHOOSE(CONTROL!$C$29, 0.0274, 0)</f>
        <v>15.0336</v>
      </c>
      <c r="D38" s="4">
        <f>22.7701 * CHOOSE(CONTROL!$C$10, $C$13, 100%, $E$13) + CHOOSE(CONTROL!$C$29, 0.0021, 0)</f>
        <v>22.772199999999998</v>
      </c>
      <c r="E38" s="4">
        <f>95.28 * CHOOSE(CONTROL!$C$10, $C$13, 100%, $E$13) + CHOOSE(CONTROL!$C$29, 0.0021, 0)</f>
        <v>95.2821</v>
      </c>
    </row>
    <row r="39" spans="1:5" ht="15">
      <c r="A39" s="13">
        <v>42309</v>
      </c>
      <c r="B39" s="4">
        <f>15.1625 * CHOOSE(CONTROL!$C$10, $C$13, 100%, $E$13) + CHOOSE(CONTROL!$C$29, 0.0274, 0)</f>
        <v>15.1899</v>
      </c>
      <c r="C39" s="4">
        <f>15.0062 * CHOOSE(CONTROL!$C$10, $C$13, 100%, $E$13) + CHOOSE(CONTROL!$C$29, 0.0274, 0)</f>
        <v>15.0336</v>
      </c>
      <c r="D39" s="4">
        <f>22.7614 * CHOOSE(CONTROL!$C$10, $C$13, 100%, $E$13) + CHOOSE(CONTROL!$C$29, 0.0021, 0)</f>
        <v>22.763499999999997</v>
      </c>
      <c r="E39" s="4">
        <f>95 * CHOOSE(CONTROL!$C$10, $C$13, 100%, $E$13) + CHOOSE(CONTROL!$C$29, 0.0021, 0)</f>
        <v>95.002099999999999</v>
      </c>
    </row>
    <row r="40" spans="1:5" ht="15">
      <c r="A40" s="13">
        <v>42339</v>
      </c>
      <c r="B40" s="4">
        <f>15.1625 * CHOOSE(CONTROL!$C$10, $C$13, 100%, $E$13) + CHOOSE(CONTROL!$C$29, 0.0274, 0)</f>
        <v>15.1899</v>
      </c>
      <c r="C40" s="4">
        <f>15.0062 * CHOOSE(CONTROL!$C$10, $C$13, 100%, $E$13) + CHOOSE(CONTROL!$C$29, 0.0274, 0)</f>
        <v>15.0336</v>
      </c>
      <c r="D40" s="4">
        <f>22.7484 * CHOOSE(CONTROL!$C$10, $C$13, 100%, $E$13) + CHOOSE(CONTROL!$C$29, 0.0021, 0)</f>
        <v>22.750499999999999</v>
      </c>
      <c r="E40" s="4">
        <f>94.73 * CHOOSE(CONTROL!$C$10, $C$13, 100%, $E$13) + CHOOSE(CONTROL!$C$29, 0.0021, 0)</f>
        <v>94.732100000000003</v>
      </c>
    </row>
    <row r="41" spans="1:5" ht="15">
      <c r="A41" s="13">
        <v>42370</v>
      </c>
      <c r="B41" s="4">
        <f>14.525 * CHOOSE(CONTROL!$C$10, $C$13, 100%, $E$13) + CHOOSE(CONTROL!$C$29, 0.0274, 0)</f>
        <v>14.5524</v>
      </c>
      <c r="C41" s="4">
        <f>14.3688 * CHOOSE(CONTROL!$C$10, $C$13, 100%, $E$13) + CHOOSE(CONTROL!$C$29, 0.0274, 0)</f>
        <v>14.3962</v>
      </c>
      <c r="D41" s="4">
        <f>22.7196 * CHOOSE(CONTROL!$C$10, $C$13, 100%, $E$13) + CHOOSE(CONTROL!$C$29, 0.0021, 0)</f>
        <v>22.721699999999998</v>
      </c>
      <c r="E41" s="4">
        <f>94.26 * CHOOSE(CONTROL!$C$10, $C$13, 100%, $E$13) + CHOOSE(CONTROL!$C$29, 0.0021, 0)</f>
        <v>94.262100000000004</v>
      </c>
    </row>
    <row r="42" spans="1:5" ht="15">
      <c r="A42" s="13">
        <v>42401</v>
      </c>
      <c r="B42" s="4">
        <f>14.5594 * CHOOSE(CONTROL!$C$10, $C$13, 100%, $E$13) + CHOOSE(CONTROL!$C$29, 0.0274, 0)</f>
        <v>14.5868</v>
      </c>
      <c r="C42" s="4">
        <f>14.4031 * CHOOSE(CONTROL!$C$10, $C$13, 100%, $E$13) + CHOOSE(CONTROL!$C$29, 0.0274, 0)</f>
        <v>14.4305</v>
      </c>
      <c r="D42" s="4">
        <f>22.662 * CHOOSE(CONTROL!$C$10, $C$13, 100%, $E$13) + CHOOSE(CONTROL!$C$29, 0.0021, 0)</f>
        <v>22.664099999999998</v>
      </c>
      <c r="E42" s="4">
        <f>93.83 * CHOOSE(CONTROL!$C$10, $C$13, 100%, $E$13) + CHOOSE(CONTROL!$C$29, 0.0021, 0)</f>
        <v>93.832099999999997</v>
      </c>
    </row>
    <row r="43" spans="1:5" ht="15">
      <c r="A43" s="13">
        <v>42430</v>
      </c>
      <c r="B43" s="4">
        <f>14.5953 * CHOOSE(CONTROL!$C$10, $C$13, 100%, $E$13) + CHOOSE(CONTROL!$C$29, 0.0274, 0)</f>
        <v>14.6227</v>
      </c>
      <c r="C43" s="4">
        <f>14.4391 * CHOOSE(CONTROL!$C$10, $C$13, 100%, $E$13) + CHOOSE(CONTROL!$C$29, 0.0274, 0)</f>
        <v>14.4665</v>
      </c>
      <c r="D43" s="4">
        <f>22.5503 * CHOOSE(CONTROL!$C$10, $C$13, 100%, $E$13) + CHOOSE(CONTROL!$C$29, 0.0021, 0)</f>
        <v>22.552399999999999</v>
      </c>
      <c r="E43" s="4">
        <f>93.43 * CHOOSE(CONTROL!$C$10, $C$13, 100%, $E$13) + CHOOSE(CONTROL!$C$29, 0.0021, 0)</f>
        <v>93.432100000000005</v>
      </c>
    </row>
    <row r="44" spans="1:5" ht="15">
      <c r="A44" s="13">
        <v>42461</v>
      </c>
      <c r="B44" s="4">
        <f>14.3625 * CHOOSE(CONTROL!$C$10, $C$13, 100%, $E$13) + CHOOSE(CONTROL!$C$29, 0.0274, 0)</f>
        <v>14.389900000000001</v>
      </c>
      <c r="C44" s="4">
        <f>14.2062 * CHOOSE(CONTROL!$C$10, $C$13, 100%, $E$13) + CHOOSE(CONTROL!$C$29, 0.0274, 0)</f>
        <v>14.233600000000001</v>
      </c>
      <c r="D44" s="4">
        <f>22.4207 * CHOOSE(CONTROL!$C$10, $C$13, 100%, $E$13) + CHOOSE(CONTROL!$C$29, 0.0021, 0)</f>
        <v>22.422799999999999</v>
      </c>
      <c r="E44" s="4">
        <f>93.05 * CHOOSE(CONTROL!$C$10, $C$13, 100%, $E$13) + CHOOSE(CONTROL!$C$29, 0.0021, 0)</f>
        <v>93.052099999999996</v>
      </c>
    </row>
    <row r="45" spans="1:5" ht="15">
      <c r="A45" s="13">
        <v>42491</v>
      </c>
      <c r="B45" s="4">
        <f>14.4047 * CHOOSE(CONTROL!$C$10, $C$13, 100%, $E$13) + CHOOSE(CONTROL!$C$29, 0.0274, 0)</f>
        <v>14.4321</v>
      </c>
      <c r="C45" s="4">
        <f>14.2484 * CHOOSE(CONTROL!$C$10, $C$13, 100%, $E$13) + CHOOSE(CONTROL!$C$29, 0.0274, 0)</f>
        <v>14.2758</v>
      </c>
      <c r="D45" s="4">
        <f>22.3198 * CHOOSE(CONTROL!$C$10, $C$13, 100%, $E$13) + CHOOSE(CONTROL!$C$29, 0.0021, 0)</f>
        <v>22.321899999999999</v>
      </c>
      <c r="E45" s="4">
        <f>92.74 * CHOOSE(CONTROL!$C$10, $C$13, 100%, $E$13) + CHOOSE(CONTROL!$C$29, 0.0021, 0)</f>
        <v>92.742099999999994</v>
      </c>
    </row>
    <row r="46" spans="1:5" ht="15">
      <c r="A46" s="13">
        <v>42522</v>
      </c>
      <c r="B46" s="4">
        <f>14.4437 * CHOOSE(CONTROL!$C$10, $C$13, 100%, $E$13) + CHOOSE(CONTROL!$C$29, 0.0274, 0)</f>
        <v>14.4711</v>
      </c>
      <c r="C46" s="4">
        <f>14.2875 * CHOOSE(CONTROL!$C$10, $C$13, 100%, $E$13) + CHOOSE(CONTROL!$C$29, 0.0274, 0)</f>
        <v>14.3149</v>
      </c>
      <c r="D46" s="4">
        <f>22.2442 * CHOOSE(CONTROL!$C$10, $C$13, 100%, $E$13) + CHOOSE(CONTROL!$C$29, 0.0021, 0)</f>
        <v>22.246299999999998</v>
      </c>
      <c r="E46" s="4">
        <f>92.49 * CHOOSE(CONTROL!$C$10, $C$13, 100%, $E$13) + CHOOSE(CONTROL!$C$29, 0.0021, 0)</f>
        <v>92.492099999999994</v>
      </c>
    </row>
    <row r="47" spans="1:5" ht="15">
      <c r="A47" s="13">
        <v>42552</v>
      </c>
      <c r="B47" s="4">
        <f>14.4828 * CHOOSE(CONTROL!$C$10, $C$13, 100%, $E$13) + CHOOSE(CONTROL!$C$29, 0.0274, 0)</f>
        <v>14.510199999999999</v>
      </c>
      <c r="C47" s="4">
        <f>14.3266 * CHOOSE(CONTROL!$C$10, $C$13, 100%, $E$13) + CHOOSE(CONTROL!$C$29, 0.0274, 0)</f>
        <v>14.353999999999999</v>
      </c>
      <c r="D47" s="4">
        <f>22.2009 * CHOOSE(CONTROL!$C$10, $C$13, 100%, $E$13) + CHOOSE(CONTROL!$C$29, 0.0021, 0)</f>
        <v>22.202999999999999</v>
      </c>
      <c r="E47" s="4">
        <f>92.15 * CHOOSE(CONTROL!$C$10, $C$13, 100%, $E$13) + CHOOSE(CONTROL!$C$29, 0.0021, 0)</f>
        <v>92.152100000000004</v>
      </c>
    </row>
    <row r="48" spans="1:5" ht="15">
      <c r="A48" s="13">
        <v>42583</v>
      </c>
      <c r="B48" s="4">
        <f>14.5234 * CHOOSE(CONTROL!$C$10, $C$13, 100%, $E$13) + CHOOSE(CONTROL!$C$29, 0.0274, 0)</f>
        <v>14.550800000000001</v>
      </c>
      <c r="C48" s="4">
        <f>14.3672 * CHOOSE(CONTROL!$C$10, $C$13, 100%, $E$13) + CHOOSE(CONTROL!$C$29, 0.0274, 0)</f>
        <v>14.394600000000001</v>
      </c>
      <c r="D48" s="4">
        <f>22.1649 * CHOOSE(CONTROL!$C$10, $C$13, 100%, $E$13) + CHOOSE(CONTROL!$C$29, 0.0021, 0)</f>
        <v>22.166999999999998</v>
      </c>
      <c r="E48" s="4">
        <f>91.93 * CHOOSE(CONTROL!$C$10, $C$13, 100%, $E$13) + CHOOSE(CONTROL!$C$29, 0.0021, 0)</f>
        <v>91.932100000000005</v>
      </c>
    </row>
    <row r="49" spans="1:5" ht="15">
      <c r="A49" s="13">
        <v>42614</v>
      </c>
      <c r="B49" s="4">
        <f>14.5594 * CHOOSE(CONTROL!$C$10, $C$13, 100%, $E$13) + CHOOSE(CONTROL!$C$29, 0.0274, 0)</f>
        <v>14.5868</v>
      </c>
      <c r="C49" s="4">
        <f>14.4031 * CHOOSE(CONTROL!$C$10, $C$13, 100%, $E$13) + CHOOSE(CONTROL!$C$29, 0.0274, 0)</f>
        <v>14.4305</v>
      </c>
      <c r="D49" s="4">
        <f>22.1361 * CHOOSE(CONTROL!$C$10, $C$13, 100%, $E$13) + CHOOSE(CONTROL!$C$29, 0.0021, 0)</f>
        <v>22.138199999999998</v>
      </c>
      <c r="E49" s="4">
        <f>91.77 * CHOOSE(CONTROL!$C$10, $C$13, 100%, $E$13) + CHOOSE(CONTROL!$C$29, 0.0021, 0)</f>
        <v>91.772099999999995</v>
      </c>
    </row>
    <row r="50" spans="1:5" ht="15">
      <c r="A50" s="13">
        <v>42644</v>
      </c>
      <c r="B50" s="4">
        <f>14.5969 * CHOOSE(CONTROL!$C$10, $C$13, 100%, $E$13) + CHOOSE(CONTROL!$C$29, 0.0274, 0)</f>
        <v>14.6243</v>
      </c>
      <c r="C50" s="4">
        <f>14.4406 * CHOOSE(CONTROL!$C$10, $C$13, 100%, $E$13) + CHOOSE(CONTROL!$C$29, 0.0274, 0)</f>
        <v>14.468</v>
      </c>
      <c r="D50" s="4">
        <f>22.1037 * CHOOSE(CONTROL!$C$10, $C$13, 100%, $E$13) + CHOOSE(CONTROL!$C$29, 0.0021, 0)</f>
        <v>22.105799999999999</v>
      </c>
      <c r="E50" s="4">
        <f>91.66 * CHOOSE(CONTROL!$C$10, $C$13, 100%, $E$13) + CHOOSE(CONTROL!$C$29, 0.0021, 0)</f>
        <v>91.662099999999995</v>
      </c>
    </row>
    <row r="51" spans="1:5" ht="15">
      <c r="A51" s="13">
        <v>42675</v>
      </c>
      <c r="B51" s="4">
        <f>14.6266 * CHOOSE(CONTROL!$C$10, $C$13, 100%, $E$13) + CHOOSE(CONTROL!$C$29, 0.0274, 0)</f>
        <v>14.654</v>
      </c>
      <c r="C51" s="4">
        <f>14.4703 * CHOOSE(CONTROL!$C$10, $C$13, 100%, $E$13) + CHOOSE(CONTROL!$C$29, 0.0274, 0)</f>
        <v>14.4977</v>
      </c>
      <c r="D51" s="4">
        <f>22.0677 * CHOOSE(CONTROL!$C$10, $C$13, 100%, $E$13) + CHOOSE(CONTROL!$C$29, 0.0021, 0)</f>
        <v>22.069799999999997</v>
      </c>
      <c r="E51" s="4">
        <f>91.57 * CHOOSE(CONTROL!$C$10, $C$13, 100%, $E$13) + CHOOSE(CONTROL!$C$29, 0.0021, 0)</f>
        <v>91.572099999999992</v>
      </c>
    </row>
    <row r="52" spans="1:5" ht="15">
      <c r="A52" s="13">
        <v>42705</v>
      </c>
      <c r="B52" s="4">
        <f>14.6594 * CHOOSE(CONTROL!$C$10, $C$13, 100%, $E$13) + CHOOSE(CONTROL!$C$29, 0.0274, 0)</f>
        <v>14.6868</v>
      </c>
      <c r="C52" s="4">
        <f>14.5031 * CHOOSE(CONTROL!$C$10, $C$13, 100%, $E$13) + CHOOSE(CONTROL!$C$29, 0.0274, 0)</f>
        <v>14.5305</v>
      </c>
      <c r="D52" s="4">
        <f>22.028 * CHOOSE(CONTROL!$C$10, $C$13, 100%, $E$13) + CHOOSE(CONTROL!$C$29, 0.0021, 0)</f>
        <v>22.030099999999997</v>
      </c>
      <c r="E52" s="4">
        <f>91.51 * CHOOSE(CONTROL!$C$10, $C$13, 100%, $E$13) + CHOOSE(CONTROL!$C$29, 0.0021, 0)</f>
        <v>91.512100000000004</v>
      </c>
    </row>
    <row r="53" spans="1:5" ht="15">
      <c r="A53" s="13">
        <v>42736</v>
      </c>
      <c r="B53" s="4">
        <f>14.1634 * CHOOSE(CONTROL!$C$10, $C$13, 100%, $E$13) + CHOOSE(CONTROL!$C$29, 0.0274, 0)</f>
        <v>14.190799999999999</v>
      </c>
      <c r="C53" s="4">
        <f>14.0071 * CHOOSE(CONTROL!$C$10, $C$13, 100%, $E$13) + CHOOSE(CONTROL!$C$29, 0.0274, 0)</f>
        <v>14.0345</v>
      </c>
      <c r="D53" s="4">
        <f>21.4377 * CHOOSE(CONTROL!$C$10, $C$13, 100%, $E$13) + CHOOSE(CONTROL!$C$29, 0.0021, 0)</f>
        <v>21.439799999999998</v>
      </c>
      <c r="E53" s="4">
        <f>89.0163111445886 * CHOOSE(CONTROL!$C$10, $C$13, 100%, $E$13) + CHOOSE(CONTROL!$C$29, 0.0021, 0)</f>
        <v>89.018411144588597</v>
      </c>
    </row>
    <row r="54" spans="1:5" ht="15">
      <c r="A54" s="13">
        <v>42767</v>
      </c>
      <c r="B54" s="4">
        <f>14.485 * CHOOSE(CONTROL!$C$10, $C$13, 100%, $E$13) + CHOOSE(CONTROL!$C$29, 0.0274, 0)</f>
        <v>14.5124</v>
      </c>
      <c r="C54" s="4">
        <f>14.3288 * CHOOSE(CONTROL!$C$10, $C$13, 100%, $E$13) + CHOOSE(CONTROL!$C$29, 0.0274, 0)</f>
        <v>14.356199999999999</v>
      </c>
      <c r="D54" s="4">
        <f>22.1239 * CHOOSE(CONTROL!$C$10, $C$13, 100%, $E$13) + CHOOSE(CONTROL!$C$29, 0.0021, 0)</f>
        <v>22.125999999999998</v>
      </c>
      <c r="E54" s="4">
        <f>91.1299091763821 * CHOOSE(CONTROL!$C$10, $C$13, 100%, $E$13) + CHOOSE(CONTROL!$C$29, 0.0021, 0)</f>
        <v>91.132009176382098</v>
      </c>
    </row>
    <row r="55" spans="1:5" ht="15">
      <c r="A55" s="13">
        <v>42795</v>
      </c>
      <c r="B55" s="4">
        <f>15.3297 * CHOOSE(CONTROL!$C$10, $C$13, 100%, $E$13) + CHOOSE(CONTROL!$C$29, 0.0274, 0)</f>
        <v>15.357100000000001</v>
      </c>
      <c r="C55" s="4">
        <f>15.1734 * CHOOSE(CONTROL!$C$10, $C$13, 100%, $E$13) + CHOOSE(CONTROL!$C$29, 0.0274, 0)</f>
        <v>15.200800000000001</v>
      </c>
      <c r="D55" s="4">
        <f>23.1981 * CHOOSE(CONTROL!$C$10, $C$13, 100%, $E$13) + CHOOSE(CONTROL!$C$29, 0.0021, 0)</f>
        <v>23.200199999999999</v>
      </c>
      <c r="E55" s="4">
        <f>96.6803299312928 * CHOOSE(CONTROL!$C$10, $C$13, 100%, $E$13) + CHOOSE(CONTROL!$C$29, 0.0021, 0)</f>
        <v>96.682429931292802</v>
      </c>
    </row>
    <row r="56" spans="1:5" ht="15">
      <c r="A56" s="13">
        <v>42826</v>
      </c>
      <c r="B56" s="4">
        <f>15.9298 * CHOOSE(CONTROL!$C$10, $C$13, 100%, $E$13) + CHOOSE(CONTROL!$C$29, 0.0274, 0)</f>
        <v>15.9572</v>
      </c>
      <c r="C56" s="4">
        <f>15.7735 * CHOOSE(CONTROL!$C$10, $C$13, 100%, $E$13) + CHOOSE(CONTROL!$C$29, 0.0274, 0)</f>
        <v>15.8009</v>
      </c>
      <c r="D56" s="4">
        <f>23.8169 * CHOOSE(CONTROL!$C$10, $C$13, 100%, $E$13) + CHOOSE(CONTROL!$C$29, 0.0021, 0)</f>
        <v>23.818999999999999</v>
      </c>
      <c r="E56" s="4">
        <f>100.623977846739 * CHOOSE(CONTROL!$C$10, $C$13, 100%, $E$13) + CHOOSE(CONTROL!$C$29, 0.0021, 0)</f>
        <v>100.62607784673899</v>
      </c>
    </row>
    <row r="57" spans="1:5" ht="15">
      <c r="A57" s="13">
        <v>42856</v>
      </c>
      <c r="B57" s="4">
        <f>16.2965 * CHOOSE(CONTROL!$C$10, $C$13, 100%, $E$13) + CHOOSE(CONTROL!$C$29, 0.0274, 0)</f>
        <v>16.323900000000002</v>
      </c>
      <c r="C57" s="4">
        <f>16.1402 * CHOOSE(CONTROL!$C$10, $C$13, 100%, $E$13) + CHOOSE(CONTROL!$C$29, 0.0274, 0)</f>
        <v>16.1676</v>
      </c>
      <c r="D57" s="4">
        <f>23.5724 * CHOOSE(CONTROL!$C$10, $C$13, 100%, $E$13) + CHOOSE(CONTROL!$C$29, 0.0021, 0)</f>
        <v>23.574499999999997</v>
      </c>
      <c r="E57" s="4">
        <f>103.033452207027 * CHOOSE(CONTROL!$C$10, $C$13, 100%, $E$13) + CHOOSE(CONTROL!$C$29, 0.0021, 0)</f>
        <v>103.035552207027</v>
      </c>
    </row>
    <row r="58" spans="1:5" ht="15">
      <c r="A58" s="13">
        <v>42887</v>
      </c>
      <c r="B58" s="4">
        <f>16.3461 * CHOOSE(CONTROL!$C$10, $C$13, 100%, $E$13) + CHOOSE(CONTROL!$C$29, 0.0274, 0)</f>
        <v>16.3735</v>
      </c>
      <c r="C58" s="4">
        <f>16.1898 * CHOOSE(CONTROL!$C$10, $C$13, 100%, $E$13) + CHOOSE(CONTROL!$C$29, 0.0274, 0)</f>
        <v>16.217200000000002</v>
      </c>
      <c r="D58" s="4">
        <f>23.7715 * CHOOSE(CONTROL!$C$10, $C$13, 100%, $E$13) + CHOOSE(CONTROL!$C$29, 0.0021, 0)</f>
        <v>23.773599999999998</v>
      </c>
      <c r="E58" s="4">
        <f>103.359464087498 * CHOOSE(CONTROL!$C$10, $C$13, 100%, $E$13) + CHOOSE(CONTROL!$C$29, 0.0021, 0)</f>
        <v>103.361564087498</v>
      </c>
    </row>
    <row r="59" spans="1:5" ht="15">
      <c r="A59" s="13">
        <v>42917</v>
      </c>
      <c r="B59" s="4">
        <f>16.3411 * CHOOSE(CONTROL!$C$10, $C$13, 100%, $E$13) + CHOOSE(CONTROL!$C$29, 0.0274, 0)</f>
        <v>16.368500000000001</v>
      </c>
      <c r="C59" s="4">
        <f>16.1848 * CHOOSE(CONTROL!$C$10, $C$13, 100%, $E$13) + CHOOSE(CONTROL!$C$29, 0.0274, 0)</f>
        <v>16.212199999999999</v>
      </c>
      <c r="D59" s="4">
        <f>24.1309 * CHOOSE(CONTROL!$C$10, $C$13, 100%, $E$13) + CHOOSE(CONTROL!$C$29, 0.0021, 0)</f>
        <v>24.132999999999999</v>
      </c>
      <c r="E59" s="4">
        <f>103.326588939888 * CHOOSE(CONTROL!$C$10, $C$13, 100%, $E$13) + CHOOSE(CONTROL!$C$29, 0.0021, 0)</f>
        <v>103.328688939888</v>
      </c>
    </row>
    <row r="60" spans="1:5" ht="15">
      <c r="A60" s="13">
        <v>42948</v>
      </c>
      <c r="B60" s="4">
        <f>16.7175 * CHOOSE(CONTROL!$C$10, $C$13, 100%, $E$13) + CHOOSE(CONTROL!$C$29, 0.0274, 0)</f>
        <v>16.744900000000001</v>
      </c>
      <c r="C60" s="4">
        <f>16.5613 * CHOOSE(CONTROL!$C$10, $C$13, 100%, $E$13) + CHOOSE(CONTROL!$C$29, 0.0274, 0)</f>
        <v>16.588699999999999</v>
      </c>
      <c r="D60" s="4">
        <f>23.8936 * CHOOSE(CONTROL!$C$10, $C$13, 100%, $E$13) + CHOOSE(CONTROL!$C$29, 0.0021, 0)</f>
        <v>23.895699999999998</v>
      </c>
      <c r="E60" s="4">
        <f>105.80044379758 * CHOOSE(CONTROL!$C$10, $C$13, 100%, $E$13) + CHOOSE(CONTROL!$C$29, 0.0021, 0)</f>
        <v>105.80254379758</v>
      </c>
    </row>
    <row r="61" spans="1:5" ht="15">
      <c r="A61" s="13">
        <v>42979</v>
      </c>
      <c r="B61" s="4">
        <f>16.0759 * CHOOSE(CONTROL!$C$10, $C$13, 100%, $E$13) + CHOOSE(CONTROL!$C$29, 0.0274, 0)</f>
        <v>16.103300000000001</v>
      </c>
      <c r="C61" s="4">
        <f>15.9197 * CHOOSE(CONTROL!$C$10, $C$13, 100%, $E$13) + CHOOSE(CONTROL!$C$29, 0.0274, 0)</f>
        <v>15.947100000000001</v>
      </c>
      <c r="D61" s="4">
        <f>23.7814 * CHOOSE(CONTROL!$C$10, $C$13, 100%, $E$13) + CHOOSE(CONTROL!$C$29, 0.0021, 0)</f>
        <v>23.7835</v>
      </c>
      <c r="E61" s="4">
        <f>101.58420611653 * CHOOSE(CONTROL!$C$10, $C$13, 100%, $E$13) + CHOOSE(CONTROL!$C$29, 0.0021, 0)</f>
        <v>101.58630611653</v>
      </c>
    </row>
    <row r="62" spans="1:5" ht="15">
      <c r="A62" s="13">
        <v>43009</v>
      </c>
      <c r="B62" s="4">
        <f>15.5623 * CHOOSE(CONTROL!$C$10, $C$13, 100%, $E$13) + CHOOSE(CONTROL!$C$29, 0.0274, 0)</f>
        <v>15.589700000000001</v>
      </c>
      <c r="C62" s="4">
        <f>15.406 * CHOOSE(CONTROL!$C$10, $C$13, 100%, $E$13) + CHOOSE(CONTROL!$C$29, 0.0274, 0)</f>
        <v>15.433400000000001</v>
      </c>
      <c r="D62" s="4">
        <f>23.4812 * CHOOSE(CONTROL!$C$10, $C$13, 100%, $E$13) + CHOOSE(CONTROL!$C$29, 0.0021, 0)</f>
        <v>23.4833</v>
      </c>
      <c r="E62" s="4">
        <f>98.2090242951823 * CHOOSE(CONTROL!$C$10, $C$13, 100%, $E$13) + CHOOSE(CONTROL!$C$29, 0.0021, 0)</f>
        <v>98.211124295182302</v>
      </c>
    </row>
    <row r="63" spans="1:5" ht="15">
      <c r="A63" s="13">
        <v>43040</v>
      </c>
      <c r="B63" s="4">
        <f>15.2315 * CHOOSE(CONTROL!$C$10, $C$13, 100%, $E$13) + CHOOSE(CONTROL!$C$29, 0.0274, 0)</f>
        <v>15.258900000000001</v>
      </c>
      <c r="C63" s="4">
        <f>15.0752 * CHOOSE(CONTROL!$C$10, $C$13, 100%, $E$13) + CHOOSE(CONTROL!$C$29, 0.0274, 0)</f>
        <v>15.102600000000001</v>
      </c>
      <c r="D63" s="4">
        <f>23.378 * CHOOSE(CONTROL!$C$10, $C$13, 100%, $E$13) + CHOOSE(CONTROL!$C$29, 0.0021, 0)</f>
        <v>23.380099999999999</v>
      </c>
      <c r="E63" s="4">
        <f>96.0351551594362 * CHOOSE(CONTROL!$C$10, $C$13, 100%, $E$13) + CHOOSE(CONTROL!$C$29, 0.0021, 0)</f>
        <v>96.037255159436199</v>
      </c>
    </row>
    <row r="64" spans="1:5" ht="15">
      <c r="A64" s="13">
        <v>43070</v>
      </c>
      <c r="B64" s="4">
        <f>15.0026 * CHOOSE(CONTROL!$C$10, $C$13, 100%, $E$13) + CHOOSE(CONTROL!$C$29, 0.0274, 0)</f>
        <v>15.03</v>
      </c>
      <c r="C64" s="4">
        <f>14.8464 * CHOOSE(CONTROL!$C$10, $C$13, 100%, $E$13) + CHOOSE(CONTROL!$C$29, 0.0274, 0)</f>
        <v>14.873799999999999</v>
      </c>
      <c r="D64" s="4">
        <f>22.6182 * CHOOSE(CONTROL!$C$10, $C$13, 100%, $E$13) + CHOOSE(CONTROL!$C$29, 0.0021, 0)</f>
        <v>22.6203</v>
      </c>
      <c r="E64" s="4">
        <f>94.5311171562546 * CHOOSE(CONTROL!$C$10, $C$13, 100%, $E$13) + CHOOSE(CONTROL!$C$29, 0.0021, 0)</f>
        <v>94.533217156254594</v>
      </c>
    </row>
    <row r="65" spans="1:5" ht="15">
      <c r="A65" s="13">
        <v>43101</v>
      </c>
      <c r="B65" s="4">
        <f>14.1865 * CHOOSE(CONTROL!$C$10, $C$13, 100%, $E$13) + CHOOSE(CONTROL!$C$29, 0.0274, 0)</f>
        <v>14.213900000000001</v>
      </c>
      <c r="C65" s="4">
        <f>14.0302 * CHOOSE(CONTROL!$C$10, $C$13, 100%, $E$13) + CHOOSE(CONTROL!$C$29, 0.0274, 0)</f>
        <v>14.057600000000001</v>
      </c>
      <c r="D65" s="4">
        <f>21.8604 * CHOOSE(CONTROL!$C$10, $C$13, 100%, $E$13) + CHOOSE(CONTROL!$C$29, 0.0021, 0)</f>
        <v>21.862499999999997</v>
      </c>
      <c r="E65" s="4">
        <f>90.3827812487186 * CHOOSE(CONTROL!$C$10, $C$13, 100%, $E$13) + CHOOSE(CONTROL!$C$29, 0.0021, 0)</f>
        <v>90.3848812487186</v>
      </c>
    </row>
    <row r="66" spans="1:5" ht="15">
      <c r="A66" s="13">
        <v>43132</v>
      </c>
      <c r="B66" s="4">
        <f>14.5087 * CHOOSE(CONTROL!$C$10, $C$13, 100%, $E$13) + CHOOSE(CONTROL!$C$29, 0.0274, 0)</f>
        <v>14.536099999999999</v>
      </c>
      <c r="C66" s="4">
        <f>14.3524 * CHOOSE(CONTROL!$C$10, $C$13, 100%, $E$13) + CHOOSE(CONTROL!$C$29, 0.0274, 0)</f>
        <v>14.379799999999999</v>
      </c>
      <c r="D66" s="4">
        <f>22.5615 * CHOOSE(CONTROL!$C$10, $C$13, 100%, $E$13) + CHOOSE(CONTROL!$C$29, 0.0021, 0)</f>
        <v>22.563599999999997</v>
      </c>
      <c r="E66" s="4">
        <f>92.5288246659191 * CHOOSE(CONTROL!$C$10, $C$13, 100%, $E$13) + CHOOSE(CONTROL!$C$29, 0.0021, 0)</f>
        <v>92.530924665919102</v>
      </c>
    </row>
    <row r="67" spans="1:5" ht="15">
      <c r="A67" s="13">
        <v>43160</v>
      </c>
      <c r="B67" s="4">
        <f>15.3547 * CHOOSE(CONTROL!$C$10, $C$13, 100%, $E$13) + CHOOSE(CONTROL!$C$29, 0.0274, 0)</f>
        <v>15.382099999999999</v>
      </c>
      <c r="C67" s="4">
        <f>15.1985 * CHOOSE(CONTROL!$C$10, $C$13, 100%, $E$13) + CHOOSE(CONTROL!$C$29, 0.0274, 0)</f>
        <v>15.225899999999999</v>
      </c>
      <c r="D67" s="4">
        <f>23.6591 * CHOOSE(CONTROL!$C$10, $C$13, 100%, $E$13) + CHOOSE(CONTROL!$C$29, 0.0021, 0)</f>
        <v>23.661199999999997</v>
      </c>
      <c r="E67" s="4">
        <f>98.1644487271611 * CHOOSE(CONTROL!$C$10, $C$13, 100%, $E$13) + CHOOSE(CONTROL!$C$29, 0.0021, 0)</f>
        <v>98.1665487271611</v>
      </c>
    </row>
    <row r="68" spans="1:5" ht="15">
      <c r="A68" s="13">
        <v>43191</v>
      </c>
      <c r="B68" s="4">
        <f>15.9559 * CHOOSE(CONTROL!$C$10, $C$13, 100%, $E$13) + CHOOSE(CONTROL!$C$29, 0.0274, 0)</f>
        <v>15.9833</v>
      </c>
      <c r="C68" s="4">
        <f>15.7996 * CHOOSE(CONTROL!$C$10, $C$13, 100%, $E$13) + CHOOSE(CONTROL!$C$29, 0.0274, 0)</f>
        <v>15.827</v>
      </c>
      <c r="D68" s="4">
        <f>24.2913 * CHOOSE(CONTROL!$C$10, $C$13, 100%, $E$13) + CHOOSE(CONTROL!$C$29, 0.0021, 0)</f>
        <v>24.293399999999998</v>
      </c>
      <c r="E68" s="4">
        <f>102.168634727239 * CHOOSE(CONTROL!$C$10, $C$13, 100%, $E$13) + CHOOSE(CONTROL!$C$29, 0.0021, 0)</f>
        <v>102.17073472723899</v>
      </c>
    </row>
    <row r="69" spans="1:5" ht="15">
      <c r="A69" s="13">
        <v>43221</v>
      </c>
      <c r="B69" s="4">
        <f>16.3232 * CHOOSE(CONTROL!$C$10, $C$13, 100%, $E$13) + CHOOSE(CONTROL!$C$29, 0.0274, 0)</f>
        <v>16.3506</v>
      </c>
      <c r="C69" s="4">
        <f>16.1669 * CHOOSE(CONTROL!$C$10, $C$13, 100%, $E$13) + CHOOSE(CONTROL!$C$29, 0.0274, 0)</f>
        <v>16.194299999999998</v>
      </c>
      <c r="D69" s="4">
        <f>24.0415 * CHOOSE(CONTROL!$C$10, $C$13, 100%, $E$13) + CHOOSE(CONTROL!$C$29, 0.0021, 0)</f>
        <v>24.043599999999998</v>
      </c>
      <c r="E69" s="4">
        <f>104.615096406342 * CHOOSE(CONTROL!$C$10, $C$13, 100%, $E$13) + CHOOSE(CONTROL!$C$29, 0.0021, 0)</f>
        <v>104.617196406342</v>
      </c>
    </row>
    <row r="70" spans="1:5" ht="15">
      <c r="A70" s="13">
        <v>43252</v>
      </c>
      <c r="B70" s="4">
        <f>16.3729 * CHOOSE(CONTROL!$C$10, $C$13, 100%, $E$13) + CHOOSE(CONTROL!$C$29, 0.0274, 0)</f>
        <v>16.400300000000001</v>
      </c>
      <c r="C70" s="4">
        <f>16.2166 * CHOOSE(CONTROL!$C$10, $C$13, 100%, $E$13) + CHOOSE(CONTROL!$C$29, 0.0274, 0)</f>
        <v>16.244</v>
      </c>
      <c r="D70" s="4">
        <f>24.245 * CHOOSE(CONTROL!$C$10, $C$13, 100%, $E$13) + CHOOSE(CONTROL!$C$29, 0.0021, 0)</f>
        <v>24.2471</v>
      </c>
      <c r="E70" s="4">
        <f>104.946112824549 * CHOOSE(CONTROL!$C$10, $C$13, 100%, $E$13) + CHOOSE(CONTROL!$C$29, 0.0021, 0)</f>
        <v>104.948212824549</v>
      </c>
    </row>
    <row r="71" spans="1:5" ht="15">
      <c r="A71" s="13">
        <v>43282</v>
      </c>
      <c r="B71" s="4">
        <f>16.3679 * CHOOSE(CONTROL!$C$10, $C$13, 100%, $E$13) + CHOOSE(CONTROL!$C$29, 0.0274, 0)</f>
        <v>16.395299999999999</v>
      </c>
      <c r="C71" s="4">
        <f>16.2116 * CHOOSE(CONTROL!$C$10, $C$13, 100%, $E$13) + CHOOSE(CONTROL!$C$29, 0.0274, 0)</f>
        <v>16.239000000000001</v>
      </c>
      <c r="D71" s="4">
        <f>24.6121 * CHOOSE(CONTROL!$C$10, $C$13, 100%, $E$13) + CHOOSE(CONTROL!$C$29, 0.0021, 0)</f>
        <v>24.6142</v>
      </c>
      <c r="E71" s="4">
        <f>104.912733017671 * CHOOSE(CONTROL!$C$10, $C$13, 100%, $E$13) + CHOOSE(CONTROL!$C$29, 0.0021, 0)</f>
        <v>104.914833017671</v>
      </c>
    </row>
    <row r="72" spans="1:5" ht="15">
      <c r="A72" s="13">
        <v>43313</v>
      </c>
      <c r="B72" s="4">
        <f>16.745 * CHOOSE(CONTROL!$C$10, $C$13, 100%, $E$13) + CHOOSE(CONTROL!$C$29, 0.0274, 0)</f>
        <v>16.772400000000001</v>
      </c>
      <c r="C72" s="4">
        <f>16.5887 * CHOOSE(CONTROL!$C$10, $C$13, 100%, $E$13) + CHOOSE(CONTROL!$C$29, 0.0274, 0)</f>
        <v>16.616099999999999</v>
      </c>
      <c r="D72" s="4">
        <f>24.3697 * CHOOSE(CONTROL!$C$10, $C$13, 100%, $E$13) + CHOOSE(CONTROL!$C$29, 0.0021, 0)</f>
        <v>24.3718</v>
      </c>
      <c r="E72" s="4">
        <f>107.424563485243 * CHOOSE(CONTROL!$C$10, $C$13, 100%, $E$13) + CHOOSE(CONTROL!$C$29, 0.0021, 0)</f>
        <v>107.426663485243</v>
      </c>
    </row>
    <row r="73" spans="1:5" ht="15">
      <c r="A73" s="13">
        <v>43344</v>
      </c>
      <c r="B73" s="4">
        <f>16.1023 * CHOOSE(CONTROL!$C$10, $C$13, 100%, $E$13) + CHOOSE(CONTROL!$C$29, 0.0274, 0)</f>
        <v>16.1297</v>
      </c>
      <c r="C73" s="4">
        <f>15.946 * CHOOSE(CONTROL!$C$10, $C$13, 100%, $E$13) + CHOOSE(CONTROL!$C$29, 0.0274, 0)</f>
        <v>15.9734</v>
      </c>
      <c r="D73" s="4">
        <f>24.2551 * CHOOSE(CONTROL!$C$10, $C$13, 100%, $E$13) + CHOOSE(CONTROL!$C$29, 0.0021, 0)</f>
        <v>24.257199999999997</v>
      </c>
      <c r="E73" s="4">
        <f>103.143603253135 * CHOOSE(CONTROL!$C$10, $C$13, 100%, $E$13) + CHOOSE(CONTROL!$C$29, 0.0021, 0)</f>
        <v>103.145703253135</v>
      </c>
    </row>
    <row r="74" spans="1:5" ht="15">
      <c r="A74" s="13">
        <v>43374</v>
      </c>
      <c r="B74" s="4">
        <f>15.5878 * CHOOSE(CONTROL!$C$10, $C$13, 100%, $E$13) + CHOOSE(CONTROL!$C$29, 0.0274, 0)</f>
        <v>15.6152</v>
      </c>
      <c r="C74" s="4">
        <f>15.4315 * CHOOSE(CONTROL!$C$10, $C$13, 100%, $E$13) + CHOOSE(CONTROL!$C$29, 0.0274, 0)</f>
        <v>15.4589</v>
      </c>
      <c r="D74" s="4">
        <f>23.9484 * CHOOSE(CONTROL!$C$10, $C$13, 100%, $E$13) + CHOOSE(CONTROL!$C$29, 0.0021, 0)</f>
        <v>23.950499999999998</v>
      </c>
      <c r="E74" s="4">
        <f>99.7166097469898 * CHOOSE(CONTROL!$C$10, $C$13, 100%, $E$13) + CHOOSE(CONTROL!$C$29, 0.0021, 0)</f>
        <v>99.718709746989802</v>
      </c>
    </row>
    <row r="75" spans="1:5" ht="15">
      <c r="A75" s="13">
        <v>43405</v>
      </c>
      <c r="B75" s="4">
        <f>15.2564 * CHOOSE(CONTROL!$C$10, $C$13, 100%, $E$13) + CHOOSE(CONTROL!$C$29, 0.0274, 0)</f>
        <v>15.283799999999999</v>
      </c>
      <c r="C75" s="4">
        <f>15.1001 * CHOOSE(CONTROL!$C$10, $C$13, 100%, $E$13) + CHOOSE(CONTROL!$C$29, 0.0274, 0)</f>
        <v>15.1275</v>
      </c>
      <c r="D75" s="4">
        <f>23.8429 * CHOOSE(CONTROL!$C$10, $C$13, 100%, $E$13) + CHOOSE(CONTROL!$C$29, 0.0021, 0)</f>
        <v>23.844999999999999</v>
      </c>
      <c r="E75" s="4">
        <f>97.5093700171796 * CHOOSE(CONTROL!$C$10, $C$13, 100%, $E$13) + CHOOSE(CONTROL!$C$29, 0.0021, 0)</f>
        <v>97.511470017179604</v>
      </c>
    </row>
    <row r="76" spans="1:5" ht="15">
      <c r="A76" s="13">
        <v>43435</v>
      </c>
      <c r="B76" s="4">
        <f>15.0271 * CHOOSE(CONTROL!$C$10, $C$13, 100%, $E$13) + CHOOSE(CONTROL!$C$29, 0.0274, 0)</f>
        <v>15.054500000000001</v>
      </c>
      <c r="C76" s="4">
        <f>14.8709 * CHOOSE(CONTROL!$C$10, $C$13, 100%, $E$13) + CHOOSE(CONTROL!$C$29, 0.0274, 0)</f>
        <v>14.898300000000001</v>
      </c>
      <c r="D76" s="4">
        <f>23.0666 * CHOOSE(CONTROL!$C$10, $C$13, 100%, $E$13) + CHOOSE(CONTROL!$C$29, 0.0021, 0)</f>
        <v>23.0687</v>
      </c>
      <c r="E76" s="4">
        <f>95.9822438525094 * CHOOSE(CONTROL!$C$10, $C$13, 100%, $E$13) + CHOOSE(CONTROL!$C$29, 0.0021, 0)</f>
        <v>95.984343852509397</v>
      </c>
    </row>
    <row r="77" spans="1:5" ht="15">
      <c r="A77" s="13">
        <v>43466</v>
      </c>
      <c r="B77" s="4">
        <f>15.6434 * CHOOSE(CONTROL!$C$10, $C$13, 100%, $E$13) + CHOOSE(CONTROL!$C$29, 0.0274, 0)</f>
        <v>15.6708</v>
      </c>
      <c r="C77" s="4">
        <f>15.4872 * CHOOSE(CONTROL!$C$10, $C$13, 100%, $E$13) + CHOOSE(CONTROL!$C$29, 0.0274, 0)</f>
        <v>15.5146</v>
      </c>
      <c r="D77" s="4">
        <f>23.3477 * CHOOSE(CONTROL!$C$10, $C$13, 100%, $E$13) + CHOOSE(CONTROL!$C$29, 0.0021, 0)</f>
        <v>23.349799999999998</v>
      </c>
      <c r="E77" s="4">
        <f>100.497946487319 * CHOOSE(CONTROL!$C$10, $C$13, 100%, $E$13) + CHOOSE(CONTROL!$C$29, 0.0021, 0)</f>
        <v>100.500046487319</v>
      </c>
    </row>
    <row r="78" spans="1:5" ht="15">
      <c r="A78" s="13">
        <v>43497</v>
      </c>
      <c r="B78" s="4">
        <f>16.0002 * CHOOSE(CONTROL!$C$10, $C$13, 100%, $E$13) + CHOOSE(CONTROL!$C$29, 0.0274, 0)</f>
        <v>16.0276</v>
      </c>
      <c r="C78" s="4">
        <f>15.844 * CHOOSE(CONTROL!$C$10, $C$13, 100%, $E$13) + CHOOSE(CONTROL!$C$29, 0.0274, 0)</f>
        <v>15.8714</v>
      </c>
      <c r="D78" s="4">
        <f>24.1014 * CHOOSE(CONTROL!$C$10, $C$13, 100%, $E$13) + CHOOSE(CONTROL!$C$29, 0.0021, 0)</f>
        <v>24.1035</v>
      </c>
      <c r="E78" s="4">
        <f>102.884163790234 * CHOOSE(CONTROL!$C$10, $C$13, 100%, $E$13) + CHOOSE(CONTROL!$C$29, 0.0021, 0)</f>
        <v>102.886263790234</v>
      </c>
    </row>
    <row r="79" spans="1:5" ht="15">
      <c r="A79" s="13">
        <v>43525</v>
      </c>
      <c r="B79" s="4">
        <f>16.9371 * CHOOSE(CONTROL!$C$10, $C$13, 100%, $E$13) + CHOOSE(CONTROL!$C$29, 0.0274, 0)</f>
        <v>16.964500000000001</v>
      </c>
      <c r="C79" s="4">
        <f>16.7809 * CHOOSE(CONTROL!$C$10, $C$13, 100%, $E$13) + CHOOSE(CONTROL!$C$29, 0.0274, 0)</f>
        <v>16.808299999999999</v>
      </c>
      <c r="D79" s="4">
        <f>25.2811 * CHOOSE(CONTROL!$C$10, $C$13, 100%, $E$13) + CHOOSE(CONTROL!$C$29, 0.0021, 0)</f>
        <v>25.283199999999997</v>
      </c>
      <c r="E79" s="4">
        <f>109.150497238978 * CHOOSE(CONTROL!$C$10, $C$13, 100%, $E$13) + CHOOSE(CONTROL!$C$29, 0.0021, 0)</f>
        <v>109.152597238978</v>
      </c>
    </row>
    <row r="80" spans="1:5" ht="15">
      <c r="A80" s="13">
        <v>43556</v>
      </c>
      <c r="B80" s="4">
        <f>17.6028 * CHOOSE(CONTROL!$C$10, $C$13, 100%, $E$13) + CHOOSE(CONTROL!$C$29, 0.0274, 0)</f>
        <v>17.630199999999999</v>
      </c>
      <c r="C80" s="4">
        <f>17.4466 * CHOOSE(CONTROL!$C$10, $C$13, 100%, $E$13) + CHOOSE(CONTROL!$C$29, 0.0274, 0)</f>
        <v>17.474</v>
      </c>
      <c r="D80" s="4">
        <f>25.9607 * CHOOSE(CONTROL!$C$10, $C$13, 100%, $E$13) + CHOOSE(CONTROL!$C$29, 0.0021, 0)</f>
        <v>25.962799999999998</v>
      </c>
      <c r="E80" s="4">
        <f>113.602810664183 * CHOOSE(CONTROL!$C$10, $C$13, 100%, $E$13) + CHOOSE(CONTROL!$C$29, 0.0021, 0)</f>
        <v>113.604910664183</v>
      </c>
    </row>
    <row r="81" spans="1:5" ht="15">
      <c r="A81" s="13">
        <v>43586</v>
      </c>
      <c r="B81" s="4">
        <f>18.0096 * CHOOSE(CONTROL!$C$10, $C$13, 100%, $E$13) + CHOOSE(CONTROL!$C$29, 0.0274, 0)</f>
        <v>18.036999999999999</v>
      </c>
      <c r="C81" s="4">
        <f>17.8533 * CHOOSE(CONTROL!$C$10, $C$13, 100%, $E$13) + CHOOSE(CONTROL!$C$29, 0.0274, 0)</f>
        <v>17.880700000000001</v>
      </c>
      <c r="D81" s="4">
        <f>25.6921 * CHOOSE(CONTROL!$C$10, $C$13, 100%, $E$13) + CHOOSE(CONTROL!$C$29, 0.0021, 0)</f>
        <v>25.694199999999999</v>
      </c>
      <c r="E81" s="4">
        <f>116.323067459924 * CHOOSE(CONTROL!$C$10, $C$13, 100%, $E$13) + CHOOSE(CONTROL!$C$29, 0.0021, 0)</f>
        <v>116.325167459924</v>
      </c>
    </row>
    <row r="82" spans="1:5" ht="15">
      <c r="A82" s="13">
        <v>43617</v>
      </c>
      <c r="B82" s="4">
        <f>18.0646 * CHOOSE(CONTROL!$C$10, $C$13, 100%, $E$13) + CHOOSE(CONTROL!$C$29, 0.0274, 0)</f>
        <v>18.091999999999999</v>
      </c>
      <c r="C82" s="4">
        <f>17.9084 * CHOOSE(CONTROL!$C$10, $C$13, 100%, $E$13) + CHOOSE(CONTROL!$C$29, 0.0274, 0)</f>
        <v>17.9358</v>
      </c>
      <c r="D82" s="4">
        <f>25.9108 * CHOOSE(CONTROL!$C$10, $C$13, 100%, $E$13) + CHOOSE(CONTROL!$C$29, 0.0021, 0)</f>
        <v>25.912899999999997</v>
      </c>
      <c r="E82" s="4">
        <f>116.691129493685 * CHOOSE(CONTROL!$C$10, $C$13, 100%, $E$13) + CHOOSE(CONTROL!$C$29, 0.0021, 0)</f>
        <v>116.693229493685</v>
      </c>
    </row>
    <row r="83" spans="1:5" ht="15">
      <c r="A83" s="13">
        <v>43647</v>
      </c>
      <c r="B83" s="4">
        <f>18.0591 * CHOOSE(CONTROL!$C$10, $C$13, 100%, $E$13) + CHOOSE(CONTROL!$C$29, 0.0274, 0)</f>
        <v>18.086500000000001</v>
      </c>
      <c r="C83" s="4">
        <f>17.9028 * CHOOSE(CONTROL!$C$10, $C$13, 100%, $E$13) + CHOOSE(CONTROL!$C$29, 0.0274, 0)</f>
        <v>17.930199999999999</v>
      </c>
      <c r="D83" s="4">
        <f>26.3055 * CHOOSE(CONTROL!$C$10, $C$13, 100%, $E$13) + CHOOSE(CONTROL!$C$29, 0.0021, 0)</f>
        <v>26.307599999999997</v>
      </c>
      <c r="E83" s="4">
        <f>116.654013994482 * CHOOSE(CONTROL!$C$10, $C$13, 100%, $E$13) + CHOOSE(CONTROL!$C$29, 0.0021, 0)</f>
        <v>116.656113994482</v>
      </c>
    </row>
    <row r="84" spans="1:5" ht="15">
      <c r="A84" s="13">
        <v>43678</v>
      </c>
      <c r="B84" s="4">
        <f>18.4767 * CHOOSE(CONTROL!$C$10, $C$13, 100%, $E$13) + CHOOSE(CONTROL!$C$29, 0.0274, 0)</f>
        <v>18.504100000000001</v>
      </c>
      <c r="C84" s="4">
        <f>18.3204 * CHOOSE(CONTROL!$C$10, $C$13, 100%, $E$13) + CHOOSE(CONTROL!$C$29, 0.0274, 0)</f>
        <v>18.347799999999999</v>
      </c>
      <c r="D84" s="4">
        <f>26.0449 * CHOOSE(CONTROL!$C$10, $C$13, 100%, $E$13) + CHOOSE(CONTROL!$C$29, 0.0021, 0)</f>
        <v>26.046999999999997</v>
      </c>
      <c r="E84" s="4">
        <f>119.446955309495 * CHOOSE(CONTROL!$C$10, $C$13, 100%, $E$13) + CHOOSE(CONTROL!$C$29, 0.0021, 0)</f>
        <v>119.44905530949499</v>
      </c>
    </row>
    <row r="85" spans="1:5" ht="15">
      <c r="A85" s="13">
        <v>43709</v>
      </c>
      <c r="B85" s="4">
        <f>17.7649 * CHOOSE(CONTROL!$C$10, $C$13, 100%, $E$13) + CHOOSE(CONTROL!$C$29, 0.0274, 0)</f>
        <v>17.792300000000001</v>
      </c>
      <c r="C85" s="4">
        <f>17.6087 * CHOOSE(CONTROL!$C$10, $C$13, 100%, $E$13) + CHOOSE(CONTROL!$C$29, 0.0274, 0)</f>
        <v>17.636099999999999</v>
      </c>
      <c r="D85" s="4">
        <f>25.9217 * CHOOSE(CONTROL!$C$10, $C$13, 100%, $E$13) + CHOOSE(CONTROL!$C$29, 0.0021, 0)</f>
        <v>25.9238</v>
      </c>
      <c r="E85" s="4">
        <f>114.686892536733 * CHOOSE(CONTROL!$C$10, $C$13, 100%, $E$13) + CHOOSE(CONTROL!$C$29, 0.0021, 0)</f>
        <v>114.688992536733</v>
      </c>
    </row>
    <row r="86" spans="1:5" ht="15">
      <c r="A86" s="13">
        <v>43739</v>
      </c>
      <c r="B86" s="4">
        <f>17.1952 * CHOOSE(CONTROL!$C$10, $C$13, 100%, $E$13) + CHOOSE(CONTROL!$C$29, 0.0274, 0)</f>
        <v>17.2226</v>
      </c>
      <c r="C86" s="4">
        <f>17.0389 * CHOOSE(CONTROL!$C$10, $C$13, 100%, $E$13) + CHOOSE(CONTROL!$C$29, 0.0274, 0)</f>
        <v>17.066300000000002</v>
      </c>
      <c r="D86" s="4">
        <f>25.592 * CHOOSE(CONTROL!$C$10, $C$13, 100%, $E$13) + CHOOSE(CONTROL!$C$29, 0.0021, 0)</f>
        <v>25.594099999999997</v>
      </c>
      <c r="E86" s="4">
        <f>110.876367951909 * CHOOSE(CONTROL!$C$10, $C$13, 100%, $E$13) + CHOOSE(CONTROL!$C$29, 0.0021, 0)</f>
        <v>110.878467951909</v>
      </c>
    </row>
    <row r="87" spans="1:5" ht="15">
      <c r="A87" s="13">
        <v>43770</v>
      </c>
      <c r="B87" s="4">
        <f>16.8282 * CHOOSE(CONTROL!$C$10, $C$13, 100%, $E$13) + CHOOSE(CONTROL!$C$29, 0.0274, 0)</f>
        <v>16.855599999999999</v>
      </c>
      <c r="C87" s="4">
        <f>16.672 * CHOOSE(CONTROL!$C$10, $C$13, 100%, $E$13) + CHOOSE(CONTROL!$C$29, 0.0274, 0)</f>
        <v>16.699400000000001</v>
      </c>
      <c r="D87" s="4">
        <f>25.4787 * CHOOSE(CONTROL!$C$10, $C$13, 100%, $E$13) + CHOOSE(CONTROL!$C$29, 0.0021, 0)</f>
        <v>25.480799999999999</v>
      </c>
      <c r="E87" s="4">
        <f>108.422105567122 * CHOOSE(CONTROL!$C$10, $C$13, 100%, $E$13) + CHOOSE(CONTROL!$C$29, 0.0021, 0)</f>
        <v>108.424205567122</v>
      </c>
    </row>
    <row r="88" spans="1:5" ht="15">
      <c r="A88" s="13">
        <v>43800</v>
      </c>
      <c r="B88" s="4">
        <f>16.5744 * CHOOSE(CONTROL!$C$10, $C$13, 100%, $E$13) + CHOOSE(CONTROL!$C$29, 0.0274, 0)</f>
        <v>16.601800000000001</v>
      </c>
      <c r="C88" s="4">
        <f>16.4181 * CHOOSE(CONTROL!$C$10, $C$13, 100%, $E$13) + CHOOSE(CONTROL!$C$29, 0.0274, 0)</f>
        <v>16.445499999999999</v>
      </c>
      <c r="D88" s="4">
        <f>24.6442 * CHOOSE(CONTROL!$C$10, $C$13, 100%, $E$13) + CHOOSE(CONTROL!$C$29, 0.0021, 0)</f>
        <v>24.6463</v>
      </c>
      <c r="E88" s="4">
        <f>106.724071478593 * CHOOSE(CONTROL!$C$10, $C$13, 100%, $E$13) + CHOOSE(CONTROL!$C$29, 0.0021, 0)</f>
        <v>106.726171478593</v>
      </c>
    </row>
    <row r="89" spans="1:5" ht="15">
      <c r="A89" s="13">
        <v>43831</v>
      </c>
      <c r="B89" s="4">
        <f>16.2151 * CHOOSE(CONTROL!$C$10, $C$13, 100%, $E$13) + CHOOSE(CONTROL!$C$29, 0.0274, 0)</f>
        <v>16.2425</v>
      </c>
      <c r="C89" s="4">
        <f>16.0589 * CHOOSE(CONTROL!$C$10, $C$13, 100%, $E$13) + CHOOSE(CONTROL!$C$29, 0.0274, 0)</f>
        <v>16.086300000000001</v>
      </c>
      <c r="D89" s="4">
        <f>24.0172 * CHOOSE(CONTROL!$C$10, $C$13, 100%, $E$13) + CHOOSE(CONTROL!$C$29, 0.0021, 0)</f>
        <v>24.019299999999998</v>
      </c>
      <c r="E89" s="4">
        <f>103.070649167912 * CHOOSE(CONTROL!$C$10, $C$13, 100%, $E$13) + CHOOSE(CONTROL!$C$29, 0.0021, 0)</f>
        <v>103.07274916791199</v>
      </c>
    </row>
    <row r="90" spans="1:5" ht="15">
      <c r="A90" s="13">
        <v>43862</v>
      </c>
      <c r="B90" s="4">
        <f>16.5855 * CHOOSE(CONTROL!$C$10, $C$13, 100%, $E$13) + CHOOSE(CONTROL!$C$29, 0.0274, 0)</f>
        <v>16.6129</v>
      </c>
      <c r="C90" s="4">
        <f>16.4293 * CHOOSE(CONTROL!$C$10, $C$13, 100%, $E$13) + CHOOSE(CONTROL!$C$29, 0.0274, 0)</f>
        <v>16.456700000000001</v>
      </c>
      <c r="D90" s="4">
        <f>24.7944 * CHOOSE(CONTROL!$C$10, $C$13, 100%, $E$13) + CHOOSE(CONTROL!$C$29, 0.0021, 0)</f>
        <v>24.796499999999998</v>
      </c>
      <c r="E90" s="4">
        <f>105.517952571252 * CHOOSE(CONTROL!$C$10, $C$13, 100%, $E$13) + CHOOSE(CONTROL!$C$29, 0.0021, 0)</f>
        <v>105.52005257125199</v>
      </c>
    </row>
    <row r="91" spans="1:5" ht="15">
      <c r="A91" s="13">
        <v>43891</v>
      </c>
      <c r="B91" s="4">
        <f>17.5581 * CHOOSE(CONTROL!$C$10, $C$13, 100%, $E$13) + CHOOSE(CONTROL!$C$29, 0.0274, 0)</f>
        <v>17.5855</v>
      </c>
      <c r="C91" s="4">
        <f>17.4018 * CHOOSE(CONTROL!$C$10, $C$13, 100%, $E$13) + CHOOSE(CONTROL!$C$29, 0.0274, 0)</f>
        <v>17.429200000000002</v>
      </c>
      <c r="D91" s="4">
        <f>26.0112 * CHOOSE(CONTROL!$C$10, $C$13, 100%, $E$13) + CHOOSE(CONTROL!$C$29, 0.0021, 0)</f>
        <v>26.013299999999997</v>
      </c>
      <c r="E91" s="4">
        <f>111.944701366026 * CHOOSE(CONTROL!$C$10, $C$13, 100%, $E$13) + CHOOSE(CONTROL!$C$29, 0.0021, 0)</f>
        <v>111.94680136602599</v>
      </c>
    </row>
    <row r="92" spans="1:5" ht="15">
      <c r="A92" s="13">
        <v>43922</v>
      </c>
      <c r="B92" s="4">
        <f>18.2491 * CHOOSE(CONTROL!$C$10, $C$13, 100%, $E$13) + CHOOSE(CONTROL!$C$29, 0.0274, 0)</f>
        <v>18.276499999999999</v>
      </c>
      <c r="C92" s="4">
        <f>18.0929 * CHOOSE(CONTROL!$C$10, $C$13, 100%, $E$13) + CHOOSE(CONTROL!$C$29, 0.0274, 0)</f>
        <v>18.1203</v>
      </c>
      <c r="D92" s="4">
        <f>26.712 * CHOOSE(CONTROL!$C$10, $C$13, 100%, $E$13) + CHOOSE(CONTROL!$C$29, 0.0021, 0)</f>
        <v>26.714099999999998</v>
      </c>
      <c r="E92" s="4">
        <f>116.510992032402 * CHOOSE(CONTROL!$C$10, $C$13, 100%, $E$13) + CHOOSE(CONTROL!$C$29, 0.0021, 0)</f>
        <v>116.513092032402</v>
      </c>
    </row>
    <row r="93" spans="1:5" ht="15">
      <c r="A93" s="13">
        <v>43952</v>
      </c>
      <c r="B93" s="4">
        <f>18.6713 * CHOOSE(CONTROL!$C$10, $C$13, 100%, $E$13) + CHOOSE(CONTROL!$C$29, 0.0274, 0)</f>
        <v>18.698699999999999</v>
      </c>
      <c r="C93" s="4">
        <f>18.5151 * CHOOSE(CONTROL!$C$10, $C$13, 100%, $E$13) + CHOOSE(CONTROL!$C$29, 0.0274, 0)</f>
        <v>18.5425</v>
      </c>
      <c r="D93" s="4">
        <f>26.4351 * CHOOSE(CONTROL!$C$10, $C$13, 100%, $E$13) + CHOOSE(CONTROL!$C$29, 0.0021, 0)</f>
        <v>26.437199999999997</v>
      </c>
      <c r="E93" s="4">
        <f>119.300886190844 * CHOOSE(CONTROL!$C$10, $C$13, 100%, $E$13) + CHOOSE(CONTROL!$C$29, 0.0021, 0)</f>
        <v>119.302986190844</v>
      </c>
    </row>
    <row r="94" spans="1:5" ht="15">
      <c r="A94" s="13">
        <v>43983</v>
      </c>
      <c r="B94" s="4">
        <f>18.7284 * CHOOSE(CONTROL!$C$10, $C$13, 100%, $E$13) + CHOOSE(CONTROL!$C$29, 0.0274, 0)</f>
        <v>18.755800000000001</v>
      </c>
      <c r="C94" s="4">
        <f>18.5722 * CHOOSE(CONTROL!$C$10, $C$13, 100%, $E$13) + CHOOSE(CONTROL!$C$29, 0.0274, 0)</f>
        <v>18.599599999999999</v>
      </c>
      <c r="D94" s="4">
        <f>26.6606 * CHOOSE(CONTROL!$C$10, $C$13, 100%, $E$13) + CHOOSE(CONTROL!$C$29, 0.0021, 0)</f>
        <v>26.662699999999997</v>
      </c>
      <c r="E94" s="4">
        <f>119.67837044878 * CHOOSE(CONTROL!$C$10, $C$13, 100%, $E$13) + CHOOSE(CONTROL!$C$29, 0.0021, 0)</f>
        <v>119.68047044878</v>
      </c>
    </row>
    <row r="95" spans="1:5" ht="15">
      <c r="A95" s="13">
        <v>44013</v>
      </c>
      <c r="B95" s="4">
        <f>18.7227 * CHOOSE(CONTROL!$C$10, $C$13, 100%, $E$13) + CHOOSE(CONTROL!$C$29, 0.0274, 0)</f>
        <v>18.7501</v>
      </c>
      <c r="C95" s="4">
        <f>18.5664 * CHOOSE(CONTROL!$C$10, $C$13, 100%, $E$13) + CHOOSE(CONTROL!$C$29, 0.0274, 0)</f>
        <v>18.593800000000002</v>
      </c>
      <c r="D95" s="4">
        <f>27.0676 * CHOOSE(CONTROL!$C$10, $C$13, 100%, $E$13) + CHOOSE(CONTROL!$C$29, 0.0021, 0)</f>
        <v>27.069699999999997</v>
      </c>
      <c r="E95" s="4">
        <f>119.640304809324 * CHOOSE(CONTROL!$C$10, $C$13, 100%, $E$13) + CHOOSE(CONTROL!$C$29, 0.0021, 0)</f>
        <v>119.64240480932399</v>
      </c>
    </row>
    <row r="96" spans="1:5" ht="15">
      <c r="A96" s="13">
        <v>44044</v>
      </c>
      <c r="B96" s="4">
        <f>19.1562 * CHOOSE(CONTROL!$C$10, $C$13, 100%, $E$13) + CHOOSE(CONTROL!$C$29, 0.0274, 0)</f>
        <v>19.183599999999998</v>
      </c>
      <c r="C96" s="4">
        <f>18.9999 * CHOOSE(CONTROL!$C$10, $C$13, 100%, $E$13) + CHOOSE(CONTROL!$C$29, 0.0274, 0)</f>
        <v>19.0273</v>
      </c>
      <c r="D96" s="4">
        <f>26.7988 * CHOOSE(CONTROL!$C$10, $C$13, 100%, $E$13) + CHOOSE(CONTROL!$C$29, 0.0021, 0)</f>
        <v>26.800899999999999</v>
      </c>
      <c r="E96" s="4">
        <f>122.504744178367 * CHOOSE(CONTROL!$C$10, $C$13, 100%, $E$13) + CHOOSE(CONTROL!$C$29, 0.0021, 0)</f>
        <v>122.506844178367</v>
      </c>
    </row>
    <row r="97" spans="1:5" ht="15">
      <c r="A97" s="13">
        <v>44075</v>
      </c>
      <c r="B97" s="4">
        <f>18.4174 * CHOOSE(CONTROL!$C$10, $C$13, 100%, $E$13) + CHOOSE(CONTROL!$C$29, 0.0274, 0)</f>
        <v>18.444800000000001</v>
      </c>
      <c r="C97" s="4">
        <f>18.2611 * CHOOSE(CONTROL!$C$10, $C$13, 100%, $E$13) + CHOOSE(CONTROL!$C$29, 0.0274, 0)</f>
        <v>18.288499999999999</v>
      </c>
      <c r="D97" s="4">
        <f>26.6719 * CHOOSE(CONTROL!$C$10, $C$13, 100%, $E$13) + CHOOSE(CONTROL!$C$29, 0.0021, 0)</f>
        <v>26.673999999999999</v>
      </c>
      <c r="E97" s="4">
        <f>117.622825918171 * CHOOSE(CONTROL!$C$10, $C$13, 100%, $E$13) + CHOOSE(CONTROL!$C$29, 0.0021, 0)</f>
        <v>117.624925918171</v>
      </c>
    </row>
    <row r="98" spans="1:5" ht="15">
      <c r="A98" s="13">
        <v>44105</v>
      </c>
      <c r="B98" s="4">
        <f>17.8259 * CHOOSE(CONTROL!$C$10, $C$13, 100%, $E$13) + CHOOSE(CONTROL!$C$29, 0.0274, 0)</f>
        <v>17.853300000000001</v>
      </c>
      <c r="C98" s="4">
        <f>17.6697 * CHOOSE(CONTROL!$C$10, $C$13, 100%, $E$13) + CHOOSE(CONTROL!$C$29, 0.0274, 0)</f>
        <v>17.697099999999999</v>
      </c>
      <c r="D98" s="4">
        <f>26.3318 * CHOOSE(CONTROL!$C$10, $C$13, 100%, $E$13) + CHOOSE(CONTROL!$C$29, 0.0021, 0)</f>
        <v>26.3339</v>
      </c>
      <c r="E98" s="4">
        <f>113.714753600717 * CHOOSE(CONTROL!$C$10, $C$13, 100%, $E$13) + CHOOSE(CONTROL!$C$29, 0.0021, 0)</f>
        <v>113.716853600717</v>
      </c>
    </row>
    <row r="99" spans="1:5" ht="15">
      <c r="A99" s="13">
        <v>44136</v>
      </c>
      <c r="B99" s="4">
        <f>17.445 * CHOOSE(CONTROL!$C$10, $C$13, 100%, $E$13) + CHOOSE(CONTROL!$C$29, 0.0274, 0)</f>
        <v>17.4724</v>
      </c>
      <c r="C99" s="4">
        <f>17.2888 * CHOOSE(CONTROL!$C$10, $C$13, 100%, $E$13) + CHOOSE(CONTROL!$C$29, 0.0274, 0)</f>
        <v>17.316199999999998</v>
      </c>
      <c r="D99" s="4">
        <f>26.2149 * CHOOSE(CONTROL!$C$10, $C$13, 100%, $E$13) + CHOOSE(CONTROL!$C$29, 0.0021, 0)</f>
        <v>26.216999999999999</v>
      </c>
      <c r="E99" s="4">
        <f>111.197663191708 * CHOOSE(CONTROL!$C$10, $C$13, 100%, $E$13) + CHOOSE(CONTROL!$C$29, 0.0021, 0)</f>
        <v>111.199763191708</v>
      </c>
    </row>
    <row r="100" spans="1:5" ht="15">
      <c r="A100" s="13">
        <v>44166</v>
      </c>
      <c r="B100" s="4">
        <f>17.1815 * CHOOSE(CONTROL!$C$10, $C$13, 100%, $E$13) + CHOOSE(CONTROL!$C$29, 0.0274, 0)</f>
        <v>17.2089</v>
      </c>
      <c r="C100" s="4">
        <f>17.0252 * CHOOSE(CONTROL!$C$10, $C$13, 100%, $E$13) + CHOOSE(CONTROL!$C$29, 0.0274, 0)</f>
        <v>17.052600000000002</v>
      </c>
      <c r="D100" s="4">
        <f>25.3543 * CHOOSE(CONTROL!$C$10, $C$13, 100%, $E$13) + CHOOSE(CONTROL!$C$29, 0.0021, 0)</f>
        <v>25.356399999999997</v>
      </c>
      <c r="E100" s="4">
        <f>109.456160186608 * CHOOSE(CONTROL!$C$10, $C$13, 100%, $E$13) + CHOOSE(CONTROL!$C$29, 0.0021, 0)</f>
        <v>109.458260186608</v>
      </c>
    </row>
    <row r="101" spans="1:5" ht="15">
      <c r="A101" s="13">
        <v>44197</v>
      </c>
      <c r="B101" s="4">
        <f>16.3496 * CHOOSE(CONTROL!$C$10, $C$13, 100%, $E$13) + CHOOSE(CONTROL!$C$29, 0.0274, 0)</f>
        <v>16.376999999999999</v>
      </c>
      <c r="C101" s="4">
        <f>16.1934 * CHOOSE(CONTROL!$C$10, $C$13, 100%, $E$13) + CHOOSE(CONTROL!$C$29, 0.0274, 0)</f>
        <v>16.220800000000001</v>
      </c>
      <c r="D101" s="4">
        <f>24.2335 * CHOOSE(CONTROL!$C$10, $C$13, 100%, $E$13) + CHOOSE(CONTROL!$C$29, 0.0021, 0)</f>
        <v>24.235599999999998</v>
      </c>
      <c r="E101" s="4">
        <f>102.953300234088 * CHOOSE(CONTROL!$C$10, $C$13, 100%, $E$13) + CHOOSE(CONTROL!$C$29, 0.0021, 0)</f>
        <v>102.955400234088</v>
      </c>
    </row>
    <row r="102" spans="1:5" ht="15">
      <c r="A102" s="13">
        <v>44228</v>
      </c>
      <c r="B102" s="4">
        <f>16.7232 * CHOOSE(CONTROL!$C$10, $C$13, 100%, $E$13) + CHOOSE(CONTROL!$C$29, 0.0274, 0)</f>
        <v>16.750599999999999</v>
      </c>
      <c r="C102" s="4">
        <f>16.5669 * CHOOSE(CONTROL!$C$10, $C$13, 100%, $E$13) + CHOOSE(CONTROL!$C$29, 0.0274, 0)</f>
        <v>16.5943</v>
      </c>
      <c r="D102" s="4">
        <f>25.0184 * CHOOSE(CONTROL!$C$10, $C$13, 100%, $E$13) + CHOOSE(CONTROL!$C$29, 0.0021, 0)</f>
        <v>25.020499999999998</v>
      </c>
      <c r="E102" s="4">
        <f>105.397817311278 * CHOOSE(CONTROL!$C$10, $C$13, 100%, $E$13) + CHOOSE(CONTROL!$C$29, 0.0021, 0)</f>
        <v>105.399917311278</v>
      </c>
    </row>
    <row r="103" spans="1:5" ht="15">
      <c r="A103" s="13">
        <v>44256</v>
      </c>
      <c r="B103" s="4">
        <f>17.7041 * CHOOSE(CONTROL!$C$10, $C$13, 100%, $E$13) + CHOOSE(CONTROL!$C$29, 0.0274, 0)</f>
        <v>17.7315</v>
      </c>
      <c r="C103" s="4">
        <f>17.5479 * CHOOSE(CONTROL!$C$10, $C$13, 100%, $E$13) + CHOOSE(CONTROL!$C$29, 0.0274, 0)</f>
        <v>17.575299999999999</v>
      </c>
      <c r="D103" s="4">
        <f>26.2471 * CHOOSE(CONTROL!$C$10, $C$13, 100%, $E$13) + CHOOSE(CONTROL!$C$29, 0.0021, 0)</f>
        <v>26.249199999999998</v>
      </c>
      <c r="E103" s="4">
        <f>111.817249065506 * CHOOSE(CONTROL!$C$10, $C$13, 100%, $E$13) + CHOOSE(CONTROL!$C$29, 0.0021, 0)</f>
        <v>111.819349065506</v>
      </c>
    </row>
    <row r="104" spans="1:5" ht="15">
      <c r="A104" s="13">
        <v>44287</v>
      </c>
      <c r="B104" s="4">
        <f>18.4011 * CHOOSE(CONTROL!$C$10, $C$13, 100%, $E$13) + CHOOSE(CONTROL!$C$29, 0.0274, 0)</f>
        <v>18.4285</v>
      </c>
      <c r="C104" s="4">
        <f>18.2449 * CHOOSE(CONTROL!$C$10, $C$13, 100%, $E$13) + CHOOSE(CONTROL!$C$29, 0.0274, 0)</f>
        <v>18.272300000000001</v>
      </c>
      <c r="D104" s="4">
        <f>26.9549 * CHOOSE(CONTROL!$C$10, $C$13, 100%, $E$13) + CHOOSE(CONTROL!$C$29, 0.0021, 0)</f>
        <v>26.956999999999997</v>
      </c>
      <c r="E104" s="4">
        <f>116.378340877062 * CHOOSE(CONTROL!$C$10, $C$13, 100%, $E$13) + CHOOSE(CONTROL!$C$29, 0.0021, 0)</f>
        <v>116.380440877062</v>
      </c>
    </row>
    <row r="105" spans="1:5" ht="15">
      <c r="A105" s="13">
        <v>44317</v>
      </c>
      <c r="B105" s="4">
        <f>18.827 * CHOOSE(CONTROL!$C$10, $C$13, 100%, $E$13) + CHOOSE(CONTROL!$C$29, 0.0274, 0)</f>
        <v>18.854400000000002</v>
      </c>
      <c r="C105" s="4">
        <f>18.6707 * CHOOSE(CONTROL!$C$10, $C$13, 100%, $E$13) + CHOOSE(CONTROL!$C$29, 0.0274, 0)</f>
        <v>18.6981</v>
      </c>
      <c r="D105" s="4">
        <f>26.6752 * CHOOSE(CONTROL!$C$10, $C$13, 100%, $E$13) + CHOOSE(CONTROL!$C$29, 0.0021, 0)</f>
        <v>26.677299999999999</v>
      </c>
      <c r="E105" s="4">
        <f>119.165058659808 * CHOOSE(CONTROL!$C$10, $C$13, 100%, $E$13) + CHOOSE(CONTROL!$C$29, 0.0021, 0)</f>
        <v>119.167158659808</v>
      </c>
    </row>
    <row r="106" spans="1:5" ht="15">
      <c r="A106" s="13">
        <v>44348</v>
      </c>
      <c r="B106" s="4">
        <f>18.8846 * CHOOSE(CONTROL!$C$10, $C$13, 100%, $E$13) + CHOOSE(CONTROL!$C$29, 0.0274, 0)</f>
        <v>18.911999999999999</v>
      </c>
      <c r="C106" s="4">
        <f>18.7283 * CHOOSE(CONTROL!$C$10, $C$13, 100%, $E$13) + CHOOSE(CONTROL!$C$29, 0.0274, 0)</f>
        <v>18.755700000000001</v>
      </c>
      <c r="D106" s="4">
        <f>26.903 * CHOOSE(CONTROL!$C$10, $C$13, 100%, $E$13) + CHOOSE(CONTROL!$C$29, 0.0021, 0)</f>
        <v>26.905099999999997</v>
      </c>
      <c r="E106" s="4">
        <f>119.54211314093 * CHOOSE(CONTROL!$C$10, $C$13, 100%, $E$13) + CHOOSE(CONTROL!$C$29, 0.0021, 0)</f>
        <v>119.54421314093</v>
      </c>
    </row>
    <row r="107" spans="1:5" ht="15">
      <c r="A107" s="13">
        <v>44378</v>
      </c>
      <c r="B107" s="4">
        <f>18.8788 * CHOOSE(CONTROL!$C$10, $C$13, 100%, $E$13) + CHOOSE(CONTROL!$C$29, 0.0274, 0)</f>
        <v>18.906199999999998</v>
      </c>
      <c r="C107" s="4">
        <f>18.7225 * CHOOSE(CONTROL!$C$10, $C$13, 100%, $E$13) + CHOOSE(CONTROL!$C$29, 0.0274, 0)</f>
        <v>18.7499</v>
      </c>
      <c r="D107" s="4">
        <f>27.3139 * CHOOSE(CONTROL!$C$10, $C$13, 100%, $E$13) + CHOOSE(CONTROL!$C$29, 0.0021, 0)</f>
        <v>27.315999999999999</v>
      </c>
      <c r="E107" s="4">
        <f>119.504090840312 * CHOOSE(CONTROL!$C$10, $C$13, 100%, $E$13) + CHOOSE(CONTROL!$C$29, 0.0021, 0)</f>
        <v>119.506190840312</v>
      </c>
    </row>
    <row r="108" spans="1:5" ht="15">
      <c r="A108" s="13">
        <v>44409</v>
      </c>
      <c r="B108" s="4">
        <f>19.316 * CHOOSE(CONTROL!$C$10, $C$13, 100%, $E$13) + CHOOSE(CONTROL!$C$29, 0.0274, 0)</f>
        <v>19.343399999999999</v>
      </c>
      <c r="C108" s="4">
        <f>19.1597 * CHOOSE(CONTROL!$C$10, $C$13, 100%, $E$13) + CHOOSE(CONTROL!$C$29, 0.0274, 0)</f>
        <v>19.187100000000001</v>
      </c>
      <c r="D108" s="4">
        <f>27.0425 * CHOOSE(CONTROL!$C$10, $C$13, 100%, $E$13) + CHOOSE(CONTROL!$C$29, 0.0021, 0)</f>
        <v>27.044599999999999</v>
      </c>
      <c r="E108" s="4">
        <f>122.365268961768 * CHOOSE(CONTROL!$C$10, $C$13, 100%, $E$13) + CHOOSE(CONTROL!$C$29, 0.0021, 0)</f>
        <v>122.36736896176799</v>
      </c>
    </row>
    <row r="109" spans="1:5" ht="15">
      <c r="A109" s="13">
        <v>44440</v>
      </c>
      <c r="B109" s="4">
        <f>18.5708 * CHOOSE(CONTROL!$C$10, $C$13, 100%, $E$13) + CHOOSE(CONTROL!$C$29, 0.0274, 0)</f>
        <v>18.598199999999999</v>
      </c>
      <c r="C109" s="4">
        <f>18.4146 * CHOOSE(CONTROL!$C$10, $C$13, 100%, $E$13) + CHOOSE(CONTROL!$C$29, 0.0274, 0)</f>
        <v>18.442</v>
      </c>
      <c r="D109" s="4">
        <f>26.9143 * CHOOSE(CONTROL!$C$10, $C$13, 100%, $E$13) + CHOOSE(CONTROL!$C$29, 0.0021, 0)</f>
        <v>26.916399999999999</v>
      </c>
      <c r="E109" s="4">
        <f>117.488908907593 * CHOOSE(CONTROL!$C$10, $C$13, 100%, $E$13) + CHOOSE(CONTROL!$C$29, 0.0021, 0)</f>
        <v>117.491008907593</v>
      </c>
    </row>
    <row r="110" spans="1:5" ht="15">
      <c r="A110" s="13">
        <v>44470</v>
      </c>
      <c r="B110" s="4">
        <f>17.9743 * CHOOSE(CONTROL!$C$10, $C$13, 100%, $E$13) + CHOOSE(CONTROL!$C$29, 0.0274, 0)</f>
        <v>18.0017</v>
      </c>
      <c r="C110" s="4">
        <f>17.818 * CHOOSE(CONTROL!$C$10, $C$13, 100%, $E$13) + CHOOSE(CONTROL!$C$29, 0.0274, 0)</f>
        <v>17.845400000000001</v>
      </c>
      <c r="D110" s="4">
        <f>26.5709 * CHOOSE(CONTROL!$C$10, $C$13, 100%, $E$13) + CHOOSE(CONTROL!$C$29, 0.0021, 0)</f>
        <v>26.573</v>
      </c>
      <c r="E110" s="4">
        <f>113.585286044212 * CHOOSE(CONTROL!$C$10, $C$13, 100%, $E$13) + CHOOSE(CONTROL!$C$29, 0.0021, 0)</f>
        <v>113.587386044212</v>
      </c>
    </row>
    <row r="111" spans="1:5" ht="15">
      <c r="A111" s="13">
        <v>44501</v>
      </c>
      <c r="B111" s="4">
        <f>17.5901 * CHOOSE(CONTROL!$C$10, $C$13, 100%, $E$13) + CHOOSE(CONTROL!$C$29, 0.0274, 0)</f>
        <v>17.6175</v>
      </c>
      <c r="C111" s="4">
        <f>17.4338 * CHOOSE(CONTROL!$C$10, $C$13, 100%, $E$13) + CHOOSE(CONTROL!$C$29, 0.0274, 0)</f>
        <v>17.461200000000002</v>
      </c>
      <c r="D111" s="4">
        <f>26.4529 * CHOOSE(CONTROL!$C$10, $C$13, 100%, $E$13) + CHOOSE(CONTROL!$C$29, 0.0021, 0)</f>
        <v>26.454999999999998</v>
      </c>
      <c r="E111" s="4">
        <f>111.071061415891 * CHOOSE(CONTROL!$C$10, $C$13, 100%, $E$13) + CHOOSE(CONTROL!$C$29, 0.0021, 0)</f>
        <v>111.07316141589099</v>
      </c>
    </row>
    <row r="112" spans="1:5" ht="15">
      <c r="A112" s="13">
        <v>44531</v>
      </c>
      <c r="B112" s="4">
        <f>17.3243 * CHOOSE(CONTROL!$C$10, $C$13, 100%, $E$13) + CHOOSE(CONTROL!$C$29, 0.0274, 0)</f>
        <v>17.351700000000001</v>
      </c>
      <c r="C112" s="4">
        <f>17.168 * CHOOSE(CONTROL!$C$10, $C$13, 100%, $E$13) + CHOOSE(CONTROL!$C$29, 0.0274, 0)</f>
        <v>17.195399999999999</v>
      </c>
      <c r="D112" s="4">
        <f>25.5838 * CHOOSE(CONTROL!$C$10, $C$13, 100%, $E$13) + CHOOSE(CONTROL!$C$29, 0.0021, 0)</f>
        <v>25.585899999999999</v>
      </c>
      <c r="E112" s="4">
        <f>109.331541162647 * CHOOSE(CONTROL!$C$10, $C$13, 100%, $E$13) + CHOOSE(CONTROL!$C$29, 0.0021, 0)</f>
        <v>109.333641162647</v>
      </c>
    </row>
    <row r="113" spans="1:5" ht="15">
      <c r="A113" s="13">
        <v>44562</v>
      </c>
      <c r="B113" s="4">
        <f>16.2599 * CHOOSE(CONTROL!$C$10, $C$13, 100%, $E$13) + CHOOSE(CONTROL!$C$29, 0.0274, 0)</f>
        <v>16.287299999999998</v>
      </c>
      <c r="C113" s="4">
        <f>16.1036 * CHOOSE(CONTROL!$C$10, $C$13, 100%, $E$13) + CHOOSE(CONTROL!$C$29, 0.0274, 0)</f>
        <v>16.131</v>
      </c>
      <c r="D113" s="4">
        <f>24.6318 * CHOOSE(CONTROL!$C$10, $C$13, 100%, $E$13) + CHOOSE(CONTROL!$C$29, 0.0021, 0)</f>
        <v>24.633899999999997</v>
      </c>
      <c r="E113" s="4">
        <f>103.251751789183 * CHOOSE(CONTROL!$C$10, $C$13, 100%, $E$13) + CHOOSE(CONTROL!$C$29, 0.0021, 0)</f>
        <v>103.253851789183</v>
      </c>
    </row>
    <row r="114" spans="1:5" ht="15">
      <c r="A114" s="13">
        <v>44593</v>
      </c>
      <c r="B114" s="4">
        <f>16.6313 * CHOOSE(CONTROL!$C$10, $C$13, 100%, $E$13) + CHOOSE(CONTROL!$C$29, 0.0274, 0)</f>
        <v>16.6587</v>
      </c>
      <c r="C114" s="4">
        <f>16.4751 * CHOOSE(CONTROL!$C$10, $C$13, 100%, $E$13) + CHOOSE(CONTROL!$C$29, 0.0274, 0)</f>
        <v>16.502500000000001</v>
      </c>
      <c r="D114" s="4">
        <f>25.4308 * CHOOSE(CONTROL!$C$10, $C$13, 100%, $E$13) + CHOOSE(CONTROL!$C$29, 0.0021, 0)</f>
        <v>25.4329</v>
      </c>
      <c r="E114" s="4">
        <f>105.703355282461 * CHOOSE(CONTROL!$C$10, $C$13, 100%, $E$13) + CHOOSE(CONTROL!$C$29, 0.0021, 0)</f>
        <v>105.705455282461</v>
      </c>
    </row>
    <row r="115" spans="1:5" ht="15">
      <c r="A115" s="13">
        <v>44621</v>
      </c>
      <c r="B115" s="4">
        <f>17.6067 * CHOOSE(CONTROL!$C$10, $C$13, 100%, $E$13) + CHOOSE(CONTROL!$C$29, 0.0274, 0)</f>
        <v>17.6341</v>
      </c>
      <c r="C115" s="4">
        <f>17.4504 * CHOOSE(CONTROL!$C$10, $C$13, 100%, $E$13) + CHOOSE(CONTROL!$C$29, 0.0274, 0)</f>
        <v>17.477799999999998</v>
      </c>
      <c r="D115" s="4">
        <f>26.6815 * CHOOSE(CONTROL!$C$10, $C$13, 100%, $E$13) + CHOOSE(CONTROL!$C$29, 0.0021, 0)</f>
        <v>26.683599999999998</v>
      </c>
      <c r="E115" s="4">
        <f>112.141396341933 * CHOOSE(CONTROL!$C$10, $C$13, 100%, $E$13) + CHOOSE(CONTROL!$C$29, 0.0021, 0)</f>
        <v>112.143496341933</v>
      </c>
    </row>
    <row r="116" spans="1:5" ht="15">
      <c r="A116" s="13">
        <v>44652</v>
      </c>
      <c r="B116" s="4">
        <f>18.2997 * CHOOSE(CONTROL!$C$10, $C$13, 100%, $E$13) + CHOOSE(CONTROL!$C$29, 0.0274, 0)</f>
        <v>18.327100000000002</v>
      </c>
      <c r="C116" s="4">
        <f>18.1434 * CHOOSE(CONTROL!$C$10, $C$13, 100%, $E$13) + CHOOSE(CONTROL!$C$29, 0.0274, 0)</f>
        <v>18.1708</v>
      </c>
      <c r="D116" s="4">
        <f>27.4019 * CHOOSE(CONTROL!$C$10, $C$13, 100%, $E$13) + CHOOSE(CONTROL!$C$29, 0.0021, 0)</f>
        <v>27.404</v>
      </c>
      <c r="E116" s="4">
        <f>116.715710312866 * CHOOSE(CONTROL!$C$10, $C$13, 100%, $E$13) + CHOOSE(CONTROL!$C$29, 0.0021, 0)</f>
        <v>116.71781031286599</v>
      </c>
    </row>
    <row r="117" spans="1:5" ht="15">
      <c r="A117" s="13">
        <v>44682</v>
      </c>
      <c r="B117" s="4">
        <f>18.7231 * CHOOSE(CONTROL!$C$10, $C$13, 100%, $E$13) + CHOOSE(CONTROL!$C$29, 0.0274, 0)</f>
        <v>18.750499999999999</v>
      </c>
      <c r="C117" s="4">
        <f>18.5669 * CHOOSE(CONTROL!$C$10, $C$13, 100%, $E$13) + CHOOSE(CONTROL!$C$29, 0.0274, 0)</f>
        <v>18.5943</v>
      </c>
      <c r="D117" s="4">
        <f>27.1172 * CHOOSE(CONTROL!$C$10, $C$13, 100%, $E$13) + CHOOSE(CONTROL!$C$29, 0.0021, 0)</f>
        <v>27.119299999999999</v>
      </c>
      <c r="E117" s="4">
        <f>119.5105065181 * CHOOSE(CONTROL!$C$10, $C$13, 100%, $E$13) + CHOOSE(CONTROL!$C$29, 0.0021, 0)</f>
        <v>119.5126065181</v>
      </c>
    </row>
    <row r="118" spans="1:5" ht="15">
      <c r="A118" s="13">
        <v>44713</v>
      </c>
      <c r="B118" s="4">
        <f>18.7804 * CHOOSE(CONTROL!$C$10, $C$13, 100%, $E$13) + CHOOSE(CONTROL!$C$29, 0.0274, 0)</f>
        <v>18.8078</v>
      </c>
      <c r="C118" s="4">
        <f>18.6242 * CHOOSE(CONTROL!$C$10, $C$13, 100%, $E$13) + CHOOSE(CONTROL!$C$29, 0.0274, 0)</f>
        <v>18.651599999999998</v>
      </c>
      <c r="D118" s="4">
        <f>27.3491 * CHOOSE(CONTROL!$C$10, $C$13, 100%, $E$13) + CHOOSE(CONTROL!$C$29, 0.0021, 0)</f>
        <v>27.351199999999999</v>
      </c>
      <c r="E118" s="4">
        <f>119.888654043311 * CHOOSE(CONTROL!$C$10, $C$13, 100%, $E$13) + CHOOSE(CONTROL!$C$29, 0.0021, 0)</f>
        <v>119.89075404331101</v>
      </c>
    </row>
    <row r="119" spans="1:5" ht="15">
      <c r="A119" s="13">
        <v>44743</v>
      </c>
      <c r="B119" s="4">
        <f>18.7746 * CHOOSE(CONTROL!$C$10, $C$13, 100%, $E$13) + CHOOSE(CONTROL!$C$29, 0.0274, 0)</f>
        <v>18.802</v>
      </c>
      <c r="C119" s="4">
        <f>18.6184 * CHOOSE(CONTROL!$C$10, $C$13, 100%, $E$13) + CHOOSE(CONTROL!$C$29, 0.0274, 0)</f>
        <v>18.645800000000001</v>
      </c>
      <c r="D119" s="4">
        <f>27.7674 * CHOOSE(CONTROL!$C$10, $C$13, 100%, $E$13) + CHOOSE(CONTROL!$C$29, 0.0021, 0)</f>
        <v>27.769499999999997</v>
      </c>
      <c r="E119" s="4">
        <f>119.85052151976 * CHOOSE(CONTROL!$C$10, $C$13, 100%, $E$13) + CHOOSE(CONTROL!$C$29, 0.0021, 0)</f>
        <v>119.85262151975999</v>
      </c>
    </row>
    <row r="120" spans="1:5" ht="15">
      <c r="A120" s="13">
        <v>44774</v>
      </c>
      <c r="B120" s="4">
        <f>19.2094 * CHOOSE(CONTROL!$C$10, $C$13, 100%, $E$13) + CHOOSE(CONTROL!$C$29, 0.0274, 0)</f>
        <v>19.236799999999999</v>
      </c>
      <c r="C120" s="4">
        <f>19.0531 * CHOOSE(CONTROL!$C$10, $C$13, 100%, $E$13) + CHOOSE(CONTROL!$C$29, 0.0274, 0)</f>
        <v>19.080500000000001</v>
      </c>
      <c r="D120" s="4">
        <f>27.4911 * CHOOSE(CONTROL!$C$10, $C$13, 100%, $E$13) + CHOOSE(CONTROL!$C$29, 0.0021, 0)</f>
        <v>27.493199999999998</v>
      </c>
      <c r="E120" s="4">
        <f>122.719993916948 * CHOOSE(CONTROL!$C$10, $C$13, 100%, $E$13) + CHOOSE(CONTROL!$C$29, 0.0021, 0)</f>
        <v>122.722093916948</v>
      </c>
    </row>
    <row r="121" spans="1:5" ht="15">
      <c r="A121" s="13">
        <v>44805</v>
      </c>
      <c r="B121" s="4">
        <f>18.4684 * CHOOSE(CONTROL!$C$10, $C$13, 100%, $E$13) + CHOOSE(CONTROL!$C$29, 0.0274, 0)</f>
        <v>18.495799999999999</v>
      </c>
      <c r="C121" s="4">
        <f>18.3122 * CHOOSE(CONTROL!$C$10, $C$13, 100%, $E$13) + CHOOSE(CONTROL!$C$29, 0.0274, 0)</f>
        <v>18.339600000000001</v>
      </c>
      <c r="D121" s="4">
        <f>27.3606 * CHOOSE(CONTROL!$C$10, $C$13, 100%, $E$13) + CHOOSE(CONTROL!$C$29, 0.0021, 0)</f>
        <v>27.3627</v>
      </c>
      <c r="E121" s="4">
        <f>117.829497771575 * CHOOSE(CONTROL!$C$10, $C$13, 100%, $E$13) + CHOOSE(CONTROL!$C$29, 0.0021, 0)</f>
        <v>117.83159777157501</v>
      </c>
    </row>
    <row r="122" spans="1:5" ht="15">
      <c r="A122" s="13">
        <v>44835</v>
      </c>
      <c r="B122" s="4">
        <f>17.8753 * CHOOSE(CONTROL!$C$10, $C$13, 100%, $E$13) + CHOOSE(CONTROL!$C$29, 0.0274, 0)</f>
        <v>17.902699999999999</v>
      </c>
      <c r="C122" s="4">
        <f>17.7191 * CHOOSE(CONTROL!$C$10, $C$13, 100%, $E$13) + CHOOSE(CONTROL!$C$29, 0.0274, 0)</f>
        <v>17.746500000000001</v>
      </c>
      <c r="D122" s="4">
        <f>27.0111 * CHOOSE(CONTROL!$C$10, $C$13, 100%, $E$13) + CHOOSE(CONTROL!$C$29, 0.0021, 0)</f>
        <v>27.013199999999998</v>
      </c>
      <c r="E122" s="4">
        <f>113.914558687039 * CHOOSE(CONTROL!$C$10, $C$13, 100%, $E$13) + CHOOSE(CONTROL!$C$29, 0.0021, 0)</f>
        <v>113.916658687039</v>
      </c>
    </row>
    <row r="123" spans="1:5" ht="15">
      <c r="A123" s="13">
        <v>44866</v>
      </c>
      <c r="B123" s="4">
        <f>17.4933 * CHOOSE(CONTROL!$C$10, $C$13, 100%, $E$13) + CHOOSE(CONTROL!$C$29, 0.0274, 0)</f>
        <v>17.520700000000001</v>
      </c>
      <c r="C123" s="4">
        <f>17.3371 * CHOOSE(CONTROL!$C$10, $C$13, 100%, $E$13) + CHOOSE(CONTROL!$C$29, 0.0274, 0)</f>
        <v>17.3645</v>
      </c>
      <c r="D123" s="4">
        <f>26.8909 * CHOOSE(CONTROL!$C$10, $C$13, 100%, $E$13) + CHOOSE(CONTROL!$C$29, 0.0021, 0)</f>
        <v>26.892999999999997</v>
      </c>
      <c r="E123" s="4">
        <f>111.393045567251 * CHOOSE(CONTROL!$C$10, $C$13, 100%, $E$13) + CHOOSE(CONTROL!$C$29, 0.0021, 0)</f>
        <v>111.39514556725099</v>
      </c>
    </row>
    <row r="124" spans="1:5" ht="15">
      <c r="A124" s="13">
        <v>44896</v>
      </c>
      <c r="B124" s="4">
        <f>17.229 * CHOOSE(CONTROL!$C$10, $C$13, 100%, $E$13) + CHOOSE(CONTROL!$C$29, 0.0274, 0)</f>
        <v>17.256399999999999</v>
      </c>
      <c r="C124" s="4">
        <f>17.0728 * CHOOSE(CONTROL!$C$10, $C$13, 100%, $E$13) + CHOOSE(CONTROL!$C$29, 0.0274, 0)</f>
        <v>17.100200000000001</v>
      </c>
      <c r="D124" s="4">
        <f>26.0063 * CHOOSE(CONTROL!$C$10, $C$13, 100%, $E$13) + CHOOSE(CONTROL!$C$29, 0.0021, 0)</f>
        <v>26.008399999999998</v>
      </c>
      <c r="E124" s="4">
        <f>109.648482614808 * CHOOSE(CONTROL!$C$10, $C$13, 100%, $E$13) + CHOOSE(CONTROL!$C$29, 0.0021, 0)</f>
        <v>109.650582614808</v>
      </c>
    </row>
    <row r="125" spans="1:5" ht="15">
      <c r="A125" s="13">
        <v>44927</v>
      </c>
      <c r="B125" s="4">
        <f>16.9457 * CHOOSE(CONTROL!$C$10, $C$13, 100%, $E$13) + CHOOSE(CONTROL!$C$29, 0.0274, 0)</f>
        <v>16.973099999999999</v>
      </c>
      <c r="C125" s="4">
        <f>16.7894 * CHOOSE(CONTROL!$C$10, $C$13, 100%, $E$13) + CHOOSE(CONTROL!$C$29, 0.0274, 0)</f>
        <v>16.816800000000001</v>
      </c>
      <c r="D125" s="4">
        <f>25.6256 * CHOOSE(CONTROL!$C$10, $C$13, 100%, $E$13) + CHOOSE(CONTROL!$C$29, 0.0021, 0)</f>
        <v>25.627699999999997</v>
      </c>
      <c r="E125" s="4">
        <f>107.511458169409 * CHOOSE(CONTROL!$C$10, $C$13, 100%, $E$13) + CHOOSE(CONTROL!$C$29, 0.0021, 0)</f>
        <v>107.513558169409</v>
      </c>
    </row>
    <row r="126" spans="1:5" ht="15">
      <c r="A126" s="13">
        <v>44958</v>
      </c>
      <c r="B126" s="4">
        <f>17.3334 * CHOOSE(CONTROL!$C$10, $C$13, 100%, $E$13) + CHOOSE(CONTROL!$C$29, 0.0274, 0)</f>
        <v>17.360800000000001</v>
      </c>
      <c r="C126" s="4">
        <f>17.1771 * CHOOSE(CONTROL!$C$10, $C$13, 100%, $E$13) + CHOOSE(CONTROL!$C$29, 0.0274, 0)</f>
        <v>17.204499999999999</v>
      </c>
      <c r="D126" s="4">
        <f>26.4596 * CHOOSE(CONTROL!$C$10, $C$13, 100%, $E$13) + CHOOSE(CONTROL!$C$29, 0.0021, 0)</f>
        <v>26.461699999999997</v>
      </c>
      <c r="E126" s="4">
        <f>110.064203879271 * CHOOSE(CONTROL!$C$10, $C$13, 100%, $E$13) + CHOOSE(CONTROL!$C$29, 0.0021, 0)</f>
        <v>110.066303879271</v>
      </c>
    </row>
    <row r="127" spans="1:5" ht="15">
      <c r="A127" s="13">
        <v>44986</v>
      </c>
      <c r="B127" s="4">
        <f>18.3515 * CHOOSE(CONTROL!$C$10, $C$13, 100%, $E$13) + CHOOSE(CONTROL!$C$29, 0.0274, 0)</f>
        <v>18.378900000000002</v>
      </c>
      <c r="C127" s="4">
        <f>18.1953 * CHOOSE(CONTROL!$C$10, $C$13, 100%, $E$13) + CHOOSE(CONTROL!$C$29, 0.0274, 0)</f>
        <v>18.2227</v>
      </c>
      <c r="D127" s="4">
        <f>27.7652 * CHOOSE(CONTROL!$C$10, $C$13, 100%, $E$13) + CHOOSE(CONTROL!$C$29, 0.0021, 0)</f>
        <v>27.767299999999999</v>
      </c>
      <c r="E127" s="4">
        <f>116.767849774515 * CHOOSE(CONTROL!$C$10, $C$13, 100%, $E$13) + CHOOSE(CONTROL!$C$29, 0.0021, 0)</f>
        <v>116.769949774515</v>
      </c>
    </row>
    <row r="128" spans="1:5" ht="15">
      <c r="A128" s="13">
        <v>45017</v>
      </c>
      <c r="B128" s="4">
        <f>19.0749 * CHOOSE(CONTROL!$C$10, $C$13, 100%, $E$13) + CHOOSE(CONTROL!$C$29, 0.0274, 0)</f>
        <v>19.1023</v>
      </c>
      <c r="C128" s="4">
        <f>18.9187 * CHOOSE(CONTROL!$C$10, $C$13, 100%, $E$13) + CHOOSE(CONTROL!$C$29, 0.0274, 0)</f>
        <v>18.946100000000001</v>
      </c>
      <c r="D128" s="4">
        <f>28.5173 * CHOOSE(CONTROL!$C$10, $C$13, 100%, $E$13) + CHOOSE(CONTROL!$C$29, 0.0021, 0)</f>
        <v>28.519399999999997</v>
      </c>
      <c r="E128" s="4">
        <f>121.530879520914 * CHOOSE(CONTROL!$C$10, $C$13, 100%, $E$13) + CHOOSE(CONTROL!$C$29, 0.0021, 0)</f>
        <v>121.532979520914</v>
      </c>
    </row>
    <row r="129" spans="1:5" ht="15">
      <c r="A129" s="13">
        <v>45047</v>
      </c>
      <c r="B129" s="4">
        <f>19.5169 * CHOOSE(CONTROL!$C$10, $C$13, 100%, $E$13) + CHOOSE(CONTROL!$C$29, 0.0274, 0)</f>
        <v>19.5443</v>
      </c>
      <c r="C129" s="4">
        <f>19.3606 * CHOOSE(CONTROL!$C$10, $C$13, 100%, $E$13) + CHOOSE(CONTROL!$C$29, 0.0274, 0)</f>
        <v>19.388000000000002</v>
      </c>
      <c r="D129" s="4">
        <f>28.2201 * CHOOSE(CONTROL!$C$10, $C$13, 100%, $E$13) + CHOOSE(CONTROL!$C$29, 0.0021, 0)</f>
        <v>28.222199999999997</v>
      </c>
      <c r="E129" s="4">
        <f>124.440976542073 * CHOOSE(CONTROL!$C$10, $C$13, 100%, $E$13) + CHOOSE(CONTROL!$C$29, 0.0021, 0)</f>
        <v>124.443076542073</v>
      </c>
    </row>
    <row r="130" spans="1:5" ht="15">
      <c r="A130" s="13">
        <v>45078</v>
      </c>
      <c r="B130" s="4">
        <f>19.5767 * CHOOSE(CONTROL!$C$10, $C$13, 100%, $E$13) + CHOOSE(CONTROL!$C$29, 0.0274, 0)</f>
        <v>19.604099999999999</v>
      </c>
      <c r="C130" s="4">
        <f>19.4204 * CHOOSE(CONTROL!$C$10, $C$13, 100%, $E$13) + CHOOSE(CONTROL!$C$29, 0.0274, 0)</f>
        <v>19.447800000000001</v>
      </c>
      <c r="D130" s="4">
        <f>28.4621 * CHOOSE(CONTROL!$C$10, $C$13, 100%, $E$13) + CHOOSE(CONTROL!$C$29, 0.0021, 0)</f>
        <v>28.464199999999998</v>
      </c>
      <c r="E130" s="4">
        <f>124.834724746186 * CHOOSE(CONTROL!$C$10, $C$13, 100%, $E$13) + CHOOSE(CONTROL!$C$29, 0.0021, 0)</f>
        <v>124.836824746186</v>
      </c>
    </row>
    <row r="131" spans="1:5" ht="15">
      <c r="A131" s="13">
        <v>45108</v>
      </c>
      <c r="B131" s="4">
        <f>19.5707 * CHOOSE(CONTROL!$C$10, $C$13, 100%, $E$13) + CHOOSE(CONTROL!$C$29, 0.0274, 0)</f>
        <v>19.598099999999999</v>
      </c>
      <c r="C131" s="4">
        <f>19.4144 * CHOOSE(CONTROL!$C$10, $C$13, 100%, $E$13) + CHOOSE(CONTROL!$C$29, 0.0274, 0)</f>
        <v>19.441800000000001</v>
      </c>
      <c r="D131" s="4">
        <f>28.8989 * CHOOSE(CONTROL!$C$10, $C$13, 100%, $E$13) + CHOOSE(CONTROL!$C$29, 0.0021, 0)</f>
        <v>28.901</v>
      </c>
      <c r="E131" s="4">
        <f>124.795019044931 * CHOOSE(CONTROL!$C$10, $C$13, 100%, $E$13) + CHOOSE(CONTROL!$C$29, 0.0021, 0)</f>
        <v>124.79711904493099</v>
      </c>
    </row>
    <row r="132" spans="1:5" ht="15">
      <c r="A132" s="13">
        <v>45139</v>
      </c>
      <c r="B132" s="4">
        <f>20.0245 * CHOOSE(CONTROL!$C$10, $C$13, 100%, $E$13) + CHOOSE(CONTROL!$C$29, 0.0274, 0)</f>
        <v>20.0519</v>
      </c>
      <c r="C132" s="4">
        <f>19.8682 * CHOOSE(CONTROL!$C$10, $C$13, 100%, $E$13) + CHOOSE(CONTROL!$C$29, 0.0274, 0)</f>
        <v>19.895600000000002</v>
      </c>
      <c r="D132" s="4">
        <f>28.6104 * CHOOSE(CONTROL!$C$10, $C$13, 100%, $E$13) + CHOOSE(CONTROL!$C$29, 0.0021, 0)</f>
        <v>28.612499999999997</v>
      </c>
      <c r="E132" s="4">
        <f>127.782873064381 * CHOOSE(CONTROL!$C$10, $C$13, 100%, $E$13) + CHOOSE(CONTROL!$C$29, 0.0021, 0)</f>
        <v>127.78497306438099</v>
      </c>
    </row>
    <row r="133" spans="1:5" ht="15">
      <c r="A133" s="13">
        <v>45170</v>
      </c>
      <c r="B133" s="4">
        <f>19.2511 * CHOOSE(CONTROL!$C$10, $C$13, 100%, $E$13) + CHOOSE(CONTROL!$C$29, 0.0274, 0)</f>
        <v>19.278500000000001</v>
      </c>
      <c r="C133" s="4">
        <f>19.0948 * CHOOSE(CONTROL!$C$10, $C$13, 100%, $E$13) + CHOOSE(CONTROL!$C$29, 0.0274, 0)</f>
        <v>19.122199999999999</v>
      </c>
      <c r="D133" s="4">
        <f>28.4742 * CHOOSE(CONTROL!$C$10, $C$13, 100%, $E$13) + CHOOSE(CONTROL!$C$29, 0.0021, 0)</f>
        <v>28.476299999999998</v>
      </c>
      <c r="E133" s="4">
        <f>122.690616878408 * CHOOSE(CONTROL!$C$10, $C$13, 100%, $E$13) + CHOOSE(CONTROL!$C$29, 0.0021, 0)</f>
        <v>122.69271687840799</v>
      </c>
    </row>
    <row r="134" spans="1:5" ht="15">
      <c r="A134" s="13">
        <v>45200</v>
      </c>
      <c r="B134" s="4">
        <f>18.6319 * CHOOSE(CONTROL!$C$10, $C$13, 100%, $E$13) + CHOOSE(CONTROL!$C$29, 0.0274, 0)</f>
        <v>18.659300000000002</v>
      </c>
      <c r="C134" s="4">
        <f>18.4757 * CHOOSE(CONTROL!$C$10, $C$13, 100%, $E$13) + CHOOSE(CONTROL!$C$29, 0.0274, 0)</f>
        <v>18.5031</v>
      </c>
      <c r="D134" s="4">
        <f>28.1093 * CHOOSE(CONTROL!$C$10, $C$13, 100%, $E$13) + CHOOSE(CONTROL!$C$29, 0.0021, 0)</f>
        <v>28.1114</v>
      </c>
      <c r="E134" s="4">
        <f>118.61416488288 * CHOOSE(CONTROL!$C$10, $C$13, 100%, $E$13) + CHOOSE(CONTROL!$C$29, 0.0021, 0)</f>
        <v>118.61626488288</v>
      </c>
    </row>
    <row r="135" spans="1:5" ht="15">
      <c r="A135" s="13">
        <v>45231</v>
      </c>
      <c r="B135" s="4">
        <f>18.2332 * CHOOSE(CONTROL!$C$10, $C$13, 100%, $E$13) + CHOOSE(CONTROL!$C$29, 0.0274, 0)</f>
        <v>18.2606</v>
      </c>
      <c r="C135" s="4">
        <f>18.0769 * CHOOSE(CONTROL!$C$10, $C$13, 100%, $E$13) + CHOOSE(CONTROL!$C$29, 0.0274, 0)</f>
        <v>18.104299999999999</v>
      </c>
      <c r="D135" s="4">
        <f>27.9839 * CHOOSE(CONTROL!$C$10, $C$13, 100%, $E$13) + CHOOSE(CONTROL!$C$29, 0.0021, 0)</f>
        <v>27.985999999999997</v>
      </c>
      <c r="E135" s="4">
        <f>115.988625387383 * CHOOSE(CONTROL!$C$10, $C$13, 100%, $E$13) + CHOOSE(CONTROL!$C$29, 0.0021, 0)</f>
        <v>115.99072538738299</v>
      </c>
    </row>
    <row r="136" spans="1:5" ht="15">
      <c r="A136" s="13">
        <v>45261</v>
      </c>
      <c r="B136" s="4">
        <f>17.9573 * CHOOSE(CONTROL!$C$10, $C$13, 100%, $E$13) + CHOOSE(CONTROL!$C$29, 0.0274, 0)</f>
        <v>17.9847</v>
      </c>
      <c r="C136" s="4">
        <f>17.801 * CHOOSE(CONTROL!$C$10, $C$13, 100%, $E$13) + CHOOSE(CONTROL!$C$29, 0.0274, 0)</f>
        <v>17.828399999999998</v>
      </c>
      <c r="D136" s="4">
        <f>27.0604 * CHOOSE(CONTROL!$C$10, $C$13, 100%, $E$13) + CHOOSE(CONTROL!$C$29, 0.0021, 0)</f>
        <v>27.0625</v>
      </c>
      <c r="E136" s="4">
        <f>114.17208955496 * CHOOSE(CONTROL!$C$10, $C$13, 100%, $E$13) + CHOOSE(CONTROL!$C$29, 0.0021, 0)</f>
        <v>114.17418955495999</v>
      </c>
    </row>
    <row r="137" spans="1:5" ht="15">
      <c r="A137" s="13">
        <v>45292</v>
      </c>
      <c r="B137" s="4">
        <f>17.6998 * CHOOSE(CONTROL!$C$10, $C$13, 100%, $E$13) + CHOOSE(CONTROL!$C$29, 0.0274, 0)</f>
        <v>17.7272</v>
      </c>
      <c r="C137" s="4">
        <f>17.5436 * CHOOSE(CONTROL!$C$10, $C$13, 100%, $E$13) + CHOOSE(CONTROL!$C$29, 0.0274, 0)</f>
        <v>17.571000000000002</v>
      </c>
      <c r="D137" s="4">
        <f>26.5699 * CHOOSE(CONTROL!$C$10, $C$13, 100%, $E$13) + CHOOSE(CONTROL!$C$29, 0.0021, 0)</f>
        <v>26.571999999999999</v>
      </c>
      <c r="E137" s="4">
        <f>111.946599105143 * CHOOSE(CONTROL!$C$10, $C$13, 100%, $E$13) + CHOOSE(CONTROL!$C$29, 0.0021, 0)</f>
        <v>111.94869910514299</v>
      </c>
    </row>
    <row r="138" spans="1:5" ht="15">
      <c r="A138" s="13">
        <v>45323</v>
      </c>
      <c r="B138" s="4">
        <f>18.1054 * CHOOSE(CONTROL!$C$10, $C$13, 100%, $E$13) + CHOOSE(CONTROL!$C$29, 0.0274, 0)</f>
        <v>18.1328</v>
      </c>
      <c r="C138" s="4">
        <f>17.9492 * CHOOSE(CONTROL!$C$10, $C$13, 100%, $E$13) + CHOOSE(CONTROL!$C$29, 0.0274, 0)</f>
        <v>17.976600000000001</v>
      </c>
      <c r="D138" s="4">
        <f>27.4372 * CHOOSE(CONTROL!$C$10, $C$13, 100%, $E$13) + CHOOSE(CONTROL!$C$29, 0.0021, 0)</f>
        <v>27.439299999999999</v>
      </c>
      <c r="E138" s="4">
        <f>114.604652539309 * CHOOSE(CONTROL!$C$10, $C$13, 100%, $E$13) + CHOOSE(CONTROL!$C$29, 0.0021, 0)</f>
        <v>114.606752539309</v>
      </c>
    </row>
    <row r="139" spans="1:5" ht="15">
      <c r="A139" s="13">
        <v>45352</v>
      </c>
      <c r="B139" s="4">
        <f>19.1706 * CHOOSE(CONTROL!$C$10, $C$13, 100%, $E$13) + CHOOSE(CONTROL!$C$29, 0.0274, 0)</f>
        <v>19.198</v>
      </c>
      <c r="C139" s="4">
        <f>19.0143 * CHOOSE(CONTROL!$C$10, $C$13, 100%, $E$13) + CHOOSE(CONTROL!$C$29, 0.0274, 0)</f>
        <v>19.041699999999999</v>
      </c>
      <c r="D139" s="4">
        <f>28.795 * CHOOSE(CONTROL!$C$10, $C$13, 100%, $E$13) + CHOOSE(CONTROL!$C$29, 0.0021, 0)</f>
        <v>28.7971</v>
      </c>
      <c r="E139" s="4">
        <f>121.584842114965 * CHOOSE(CONTROL!$C$10, $C$13, 100%, $E$13) + CHOOSE(CONTROL!$C$29, 0.0021, 0)</f>
        <v>121.586942114965</v>
      </c>
    </row>
    <row r="140" spans="1:5" ht="15">
      <c r="A140" s="13">
        <v>45383</v>
      </c>
      <c r="B140" s="4">
        <f>19.9274 * CHOOSE(CONTROL!$C$10, $C$13, 100%, $E$13) + CHOOSE(CONTROL!$C$29, 0.0274, 0)</f>
        <v>19.954799999999999</v>
      </c>
      <c r="C140" s="4">
        <f>19.7711 * CHOOSE(CONTROL!$C$10, $C$13, 100%, $E$13) + CHOOSE(CONTROL!$C$29, 0.0274, 0)</f>
        <v>19.798500000000001</v>
      </c>
      <c r="D140" s="4">
        <f>29.5771 * CHOOSE(CONTROL!$C$10, $C$13, 100%, $E$13) + CHOOSE(CONTROL!$C$29, 0.0021, 0)</f>
        <v>29.5792</v>
      </c>
      <c r="E140" s="4">
        <f>126.544359831726 * CHOOSE(CONTROL!$C$10, $C$13, 100%, $E$13) + CHOOSE(CONTROL!$C$29, 0.0021, 0)</f>
        <v>126.546459831726</v>
      </c>
    </row>
    <row r="141" spans="1:5" ht="15">
      <c r="A141" s="13">
        <v>45413</v>
      </c>
      <c r="B141" s="4">
        <f>20.3898 * CHOOSE(CONTROL!$C$10, $C$13, 100%, $E$13) + CHOOSE(CONTROL!$C$29, 0.0274, 0)</f>
        <v>20.417200000000001</v>
      </c>
      <c r="C141" s="4">
        <f>20.2335 * CHOOSE(CONTROL!$C$10, $C$13, 100%, $E$13) + CHOOSE(CONTROL!$C$29, 0.0274, 0)</f>
        <v>20.260899999999999</v>
      </c>
      <c r="D141" s="4">
        <f>29.2681 * CHOOSE(CONTROL!$C$10, $C$13, 100%, $E$13) + CHOOSE(CONTROL!$C$29, 0.0021, 0)</f>
        <v>29.270199999999999</v>
      </c>
      <c r="E141" s="4">
        <f>129.574506293616 * CHOOSE(CONTROL!$C$10, $C$13, 100%, $E$13) + CHOOSE(CONTROL!$C$29, 0.0021, 0)</f>
        <v>129.57660629361601</v>
      </c>
    </row>
    <row r="142" spans="1:5" ht="15">
      <c r="A142" s="13">
        <v>45444</v>
      </c>
      <c r="B142" s="4">
        <f>20.4523 * CHOOSE(CONTROL!$C$10, $C$13, 100%, $E$13) + CHOOSE(CONTROL!$C$29, 0.0274, 0)</f>
        <v>20.479700000000001</v>
      </c>
      <c r="C142" s="4">
        <f>20.2961 * CHOOSE(CONTROL!$C$10, $C$13, 100%, $E$13) + CHOOSE(CONTROL!$C$29, 0.0274, 0)</f>
        <v>20.323499999999999</v>
      </c>
      <c r="D142" s="4">
        <f>29.5198 * CHOOSE(CONTROL!$C$10, $C$13, 100%, $E$13) + CHOOSE(CONTROL!$C$29, 0.0021, 0)</f>
        <v>29.521899999999999</v>
      </c>
      <c r="E142" s="4">
        <f>129.984497685276 * CHOOSE(CONTROL!$C$10, $C$13, 100%, $E$13) + CHOOSE(CONTROL!$C$29, 0.0021, 0)</f>
        <v>129.98659768527602</v>
      </c>
    </row>
    <row r="143" spans="1:5" ht="15">
      <c r="A143" s="13">
        <v>45474</v>
      </c>
      <c r="B143" s="4">
        <f>20.446 * CHOOSE(CONTROL!$C$10, $C$13, 100%, $E$13) + CHOOSE(CONTROL!$C$29, 0.0274, 0)</f>
        <v>20.473400000000002</v>
      </c>
      <c r="C143" s="4">
        <f>20.2898 * CHOOSE(CONTROL!$C$10, $C$13, 100%, $E$13) + CHOOSE(CONTROL!$C$29, 0.0274, 0)</f>
        <v>20.3172</v>
      </c>
      <c r="D143" s="4">
        <f>29.9739 * CHOOSE(CONTROL!$C$10, $C$13, 100%, $E$13) + CHOOSE(CONTROL!$C$29, 0.0021, 0)</f>
        <v>29.975999999999999</v>
      </c>
      <c r="E143" s="4">
        <f>129.943154015529 * CHOOSE(CONTROL!$C$10, $C$13, 100%, $E$13) + CHOOSE(CONTROL!$C$29, 0.0021, 0)</f>
        <v>129.945254015529</v>
      </c>
    </row>
    <row r="144" spans="1:5" ht="15">
      <c r="A144" s="13">
        <v>45505</v>
      </c>
      <c r="B144" s="4">
        <f>20.9208 * CHOOSE(CONTROL!$C$10, $C$13, 100%, $E$13) + CHOOSE(CONTROL!$C$29, 0.0274, 0)</f>
        <v>20.9482</v>
      </c>
      <c r="C144" s="4">
        <f>20.7645 * CHOOSE(CONTROL!$C$10, $C$13, 100%, $E$13) + CHOOSE(CONTROL!$C$29, 0.0274, 0)</f>
        <v>20.791900000000002</v>
      </c>
      <c r="D144" s="4">
        <f>29.674 * CHOOSE(CONTROL!$C$10, $C$13, 100%, $E$13) + CHOOSE(CONTROL!$C$29, 0.0021, 0)</f>
        <v>29.676099999999998</v>
      </c>
      <c r="E144" s="4">
        <f>133.054265164008 * CHOOSE(CONTROL!$C$10, $C$13, 100%, $E$13) + CHOOSE(CONTROL!$C$29, 0.0021, 0)</f>
        <v>133.05636516400801</v>
      </c>
    </row>
    <row r="145" spans="1:5" ht="15">
      <c r="A145" s="13">
        <v>45536</v>
      </c>
      <c r="B145" s="4">
        <f>20.1116 * CHOOSE(CONTROL!$C$10, $C$13, 100%, $E$13) + CHOOSE(CONTROL!$C$29, 0.0274, 0)</f>
        <v>20.138999999999999</v>
      </c>
      <c r="C145" s="4">
        <f>19.9554 * CHOOSE(CONTROL!$C$10, $C$13, 100%, $E$13) + CHOOSE(CONTROL!$C$29, 0.0274, 0)</f>
        <v>19.982800000000001</v>
      </c>
      <c r="D145" s="4">
        <f>29.5323 * CHOOSE(CONTROL!$C$10, $C$13, 100%, $E$13) + CHOOSE(CONTROL!$C$29, 0.0021, 0)</f>
        <v>29.534399999999998</v>
      </c>
      <c r="E145" s="4">
        <f>127.751939518926 * CHOOSE(CONTROL!$C$10, $C$13, 100%, $E$13) + CHOOSE(CONTROL!$C$29, 0.0021, 0)</f>
        <v>127.75403951892599</v>
      </c>
    </row>
    <row r="146" spans="1:5" ht="15">
      <c r="A146" s="13">
        <v>45566</v>
      </c>
      <c r="B146" s="4">
        <f>19.4639 * CHOOSE(CONTROL!$C$10, $C$13, 100%, $E$13) + CHOOSE(CONTROL!$C$29, 0.0274, 0)</f>
        <v>19.491299999999999</v>
      </c>
      <c r="C146" s="4">
        <f>19.3077 * CHOOSE(CONTROL!$C$10, $C$13, 100%, $E$13) + CHOOSE(CONTROL!$C$29, 0.0274, 0)</f>
        <v>19.335100000000001</v>
      </c>
      <c r="D146" s="4">
        <f>29.1529 * CHOOSE(CONTROL!$C$10, $C$13, 100%, $E$13) + CHOOSE(CONTROL!$C$29, 0.0021, 0)</f>
        <v>29.154999999999998</v>
      </c>
      <c r="E146" s="4">
        <f>123.507322758211 * CHOOSE(CONTROL!$C$10, $C$13, 100%, $E$13) + CHOOSE(CONTROL!$C$29, 0.0021, 0)</f>
        <v>123.509422758211</v>
      </c>
    </row>
    <row r="147" spans="1:5" ht="15">
      <c r="A147" s="13">
        <v>45597</v>
      </c>
      <c r="B147" s="4">
        <f>19.0468 * CHOOSE(CONTROL!$C$10, $C$13, 100%, $E$13) + CHOOSE(CONTROL!$C$29, 0.0274, 0)</f>
        <v>19.074200000000001</v>
      </c>
      <c r="C147" s="4">
        <f>18.8905 * CHOOSE(CONTROL!$C$10, $C$13, 100%, $E$13) + CHOOSE(CONTROL!$C$29, 0.0274, 0)</f>
        <v>18.917899999999999</v>
      </c>
      <c r="D147" s="4">
        <f>29.0224 * CHOOSE(CONTROL!$C$10, $C$13, 100%, $E$13) + CHOOSE(CONTROL!$C$29, 0.0021, 0)</f>
        <v>29.0245</v>
      </c>
      <c r="E147" s="4">
        <f>120.773472596176 * CHOOSE(CONTROL!$C$10, $C$13, 100%, $E$13) + CHOOSE(CONTROL!$C$29, 0.0021, 0)</f>
        <v>120.775572596176</v>
      </c>
    </row>
    <row r="148" spans="1:5" ht="15">
      <c r="A148" s="13">
        <v>45627</v>
      </c>
      <c r="B148" s="4">
        <f>18.7581 * CHOOSE(CONTROL!$C$10, $C$13, 100%, $E$13) + CHOOSE(CONTROL!$C$29, 0.0274, 0)</f>
        <v>18.785499999999999</v>
      </c>
      <c r="C148" s="4">
        <f>18.6019 * CHOOSE(CONTROL!$C$10, $C$13, 100%, $E$13) + CHOOSE(CONTROL!$C$29, 0.0274, 0)</f>
        <v>18.629300000000001</v>
      </c>
      <c r="D148" s="4">
        <f>28.062 * CHOOSE(CONTROL!$C$10, $C$13, 100%, $E$13) + CHOOSE(CONTROL!$C$29, 0.0021, 0)</f>
        <v>28.0641</v>
      </c>
      <c r="E148" s="4">
        <f>118.88199970524 * CHOOSE(CONTROL!$C$10, $C$13, 100%, $E$13) + CHOOSE(CONTROL!$C$29, 0.0021, 0)</f>
        <v>118.88409970524</v>
      </c>
    </row>
    <row r="149" spans="1:5" ht="15">
      <c r="A149" s="13">
        <v>45658</v>
      </c>
      <c r="B149" s="4">
        <f>18.5708 * CHOOSE(CONTROL!$C$10, $C$13, 100%, $E$13) + CHOOSE(CONTROL!$C$29, 0.0274, 0)</f>
        <v>18.598199999999999</v>
      </c>
      <c r="C149" s="4">
        <f>18.4146 * CHOOSE(CONTROL!$C$10, $C$13, 100%, $E$13) + CHOOSE(CONTROL!$C$29, 0.0274, 0)</f>
        <v>18.442</v>
      </c>
      <c r="D149" s="4">
        <f>27.4691 * CHOOSE(CONTROL!$C$10, $C$13, 100%, $E$13) + CHOOSE(CONTROL!$C$29, 0.0021, 0)</f>
        <v>27.4712</v>
      </c>
      <c r="E149" s="4">
        <f>116.5461483834 * CHOOSE(CONTROL!$C$10, $C$13, 100%, $E$13) + CHOOSE(CONTROL!$C$29, 0.0021, 0)</f>
        <v>116.54824838339999</v>
      </c>
    </row>
    <row r="150" spans="1:5" ht="15">
      <c r="A150" s="13">
        <v>45689</v>
      </c>
      <c r="B150" s="4">
        <f>18.9971 * CHOOSE(CONTROL!$C$10, $C$13, 100%, $E$13) + CHOOSE(CONTROL!$C$29, 0.0274, 0)</f>
        <v>19.0245</v>
      </c>
      <c r="C150" s="4">
        <f>18.8409 * CHOOSE(CONTROL!$C$10, $C$13, 100%, $E$13) + CHOOSE(CONTROL!$C$29, 0.0274, 0)</f>
        <v>18.868300000000001</v>
      </c>
      <c r="D150" s="4">
        <f>28.3681 * CHOOSE(CONTROL!$C$10, $C$13, 100%, $E$13) + CHOOSE(CONTROL!$C$29, 0.0021, 0)</f>
        <v>28.370199999999997</v>
      </c>
      <c r="E150" s="4">
        <f>119.313413243839 * CHOOSE(CONTROL!$C$10, $C$13, 100%, $E$13) + CHOOSE(CONTROL!$C$29, 0.0021, 0)</f>
        <v>119.31551324383899</v>
      </c>
    </row>
    <row r="151" spans="1:5" ht="15">
      <c r="A151" s="13">
        <v>45717</v>
      </c>
      <c r="B151" s="4">
        <f>20.1166 * CHOOSE(CONTROL!$C$10, $C$13, 100%, $E$13) + CHOOSE(CONTROL!$C$29, 0.0274, 0)</f>
        <v>20.143999999999998</v>
      </c>
      <c r="C151" s="4">
        <f>19.9603 * CHOOSE(CONTROL!$C$10, $C$13, 100%, $E$13) + CHOOSE(CONTROL!$C$29, 0.0274, 0)</f>
        <v>19.9877</v>
      </c>
      <c r="D151" s="4">
        <f>29.7756 * CHOOSE(CONTROL!$C$10, $C$13, 100%, $E$13) + CHOOSE(CONTROL!$C$29, 0.0021, 0)</f>
        <v>29.777699999999999</v>
      </c>
      <c r="E151" s="4">
        <f>126.580397828736 * CHOOSE(CONTROL!$C$10, $C$13, 100%, $E$13) + CHOOSE(CONTROL!$C$29, 0.0021, 0)</f>
        <v>126.582497828736</v>
      </c>
    </row>
    <row r="152" spans="1:5" ht="15">
      <c r="A152" s="13">
        <v>45748</v>
      </c>
      <c r="B152" s="4">
        <f>20.912 * CHOOSE(CONTROL!$C$10, $C$13, 100%, $E$13) + CHOOSE(CONTROL!$C$29, 0.0274, 0)</f>
        <v>20.939399999999999</v>
      </c>
      <c r="C152" s="4">
        <f>20.7557 * CHOOSE(CONTROL!$C$10, $C$13, 100%, $E$13) + CHOOSE(CONTROL!$C$29, 0.0274, 0)</f>
        <v>20.783100000000001</v>
      </c>
      <c r="D152" s="4">
        <f>30.5863 * CHOOSE(CONTROL!$C$10, $C$13, 100%, $E$13) + CHOOSE(CONTROL!$C$29, 0.0021, 0)</f>
        <v>30.5884</v>
      </c>
      <c r="E152" s="4">
        <f>131.743687221608 * CHOOSE(CONTROL!$C$10, $C$13, 100%, $E$13) + CHOOSE(CONTROL!$C$29, 0.0021, 0)</f>
        <v>131.74578722160803</v>
      </c>
    </row>
    <row r="153" spans="1:5" ht="15">
      <c r="A153" s="13">
        <v>45778</v>
      </c>
      <c r="B153" s="4">
        <f>21.3979 * CHOOSE(CONTROL!$C$10, $C$13, 100%, $E$13) + CHOOSE(CONTROL!$C$29, 0.0274, 0)</f>
        <v>21.4253</v>
      </c>
      <c r="C153" s="4">
        <f>21.2417 * CHOOSE(CONTROL!$C$10, $C$13, 100%, $E$13) + CHOOSE(CONTROL!$C$29, 0.0274, 0)</f>
        <v>21.269100000000002</v>
      </c>
      <c r="D153" s="4">
        <f>30.266 * CHOOSE(CONTROL!$C$10, $C$13, 100%, $E$13) + CHOOSE(CONTROL!$C$29, 0.0021, 0)</f>
        <v>30.268099999999997</v>
      </c>
      <c r="E153" s="4">
        <f>134.898333293877 * CHOOSE(CONTROL!$C$10, $C$13, 100%, $E$13) + CHOOSE(CONTROL!$C$29, 0.0021, 0)</f>
        <v>134.900433293877</v>
      </c>
    </row>
    <row r="154" spans="1:5" ht="15">
      <c r="A154" s="13">
        <v>45809</v>
      </c>
      <c r="B154" s="4">
        <f>21.4637 * CHOOSE(CONTROL!$C$10, $C$13, 100%, $E$13) + CHOOSE(CONTROL!$C$29, 0.0274, 0)</f>
        <v>21.491099999999999</v>
      </c>
      <c r="C154" s="4">
        <f>21.3074 * CHOOSE(CONTROL!$C$10, $C$13, 100%, $E$13) + CHOOSE(CONTROL!$C$29, 0.0274, 0)</f>
        <v>21.334800000000001</v>
      </c>
      <c r="D154" s="4">
        <f>30.5269 * CHOOSE(CONTROL!$C$10, $C$13, 100%, $E$13) + CHOOSE(CONTROL!$C$29, 0.0021, 0)</f>
        <v>30.529</v>
      </c>
      <c r="E154" s="4">
        <f>135.325169999505 * CHOOSE(CONTROL!$C$10, $C$13, 100%, $E$13) + CHOOSE(CONTROL!$C$29, 0.0021, 0)</f>
        <v>135.32726999950501</v>
      </c>
    </row>
    <row r="155" spans="1:5" ht="15">
      <c r="A155" s="13">
        <v>45839</v>
      </c>
      <c r="B155" s="4">
        <f>21.457 * CHOOSE(CONTROL!$C$10, $C$13, 100%, $E$13) + CHOOSE(CONTROL!$C$29, 0.0274, 0)</f>
        <v>21.484400000000001</v>
      </c>
      <c r="C155" s="4">
        <f>21.3008 * CHOOSE(CONTROL!$C$10, $C$13, 100%, $E$13) + CHOOSE(CONTROL!$C$29, 0.0274, 0)</f>
        <v>21.328199999999999</v>
      </c>
      <c r="D155" s="4">
        <f>30.9977 * CHOOSE(CONTROL!$C$10, $C$13, 100%, $E$13) + CHOOSE(CONTROL!$C$29, 0.0021, 0)</f>
        <v>30.999799999999997</v>
      </c>
      <c r="E155" s="4">
        <f>135.282127642635 * CHOOSE(CONTROL!$C$10, $C$13, 100%, $E$13) + CHOOSE(CONTROL!$C$29, 0.0021, 0)</f>
        <v>135.28422764263502</v>
      </c>
    </row>
    <row r="156" spans="1:5" ht="15">
      <c r="A156" s="13">
        <v>45870</v>
      </c>
      <c r="B156" s="4">
        <f>21.956 * CHOOSE(CONTROL!$C$10, $C$13, 100%, $E$13) + CHOOSE(CONTROL!$C$29, 0.0274, 0)</f>
        <v>21.9834</v>
      </c>
      <c r="C156" s="4">
        <f>21.7997 * CHOOSE(CONTROL!$C$10, $C$13, 100%, $E$13) + CHOOSE(CONTROL!$C$29, 0.0274, 0)</f>
        <v>21.827100000000002</v>
      </c>
      <c r="D156" s="4">
        <f>30.6867 * CHOOSE(CONTROL!$C$10, $C$13, 100%, $E$13) + CHOOSE(CONTROL!$C$29, 0.0021, 0)</f>
        <v>30.688799999999997</v>
      </c>
      <c r="E156" s="4">
        <f>138.521064997108 * CHOOSE(CONTROL!$C$10, $C$13, 100%, $E$13) + CHOOSE(CONTROL!$C$29, 0.0021, 0)</f>
        <v>138.52316499710801</v>
      </c>
    </row>
    <row r="157" spans="1:5" ht="15">
      <c r="A157" s="13">
        <v>45901</v>
      </c>
      <c r="B157" s="4">
        <f>21.1056 * CHOOSE(CONTROL!$C$10, $C$13, 100%, $E$13) + CHOOSE(CONTROL!$C$29, 0.0274, 0)</f>
        <v>21.132999999999999</v>
      </c>
      <c r="C157" s="4">
        <f>20.9494 * CHOOSE(CONTROL!$C$10, $C$13, 100%, $E$13) + CHOOSE(CONTROL!$C$29, 0.0274, 0)</f>
        <v>20.976800000000001</v>
      </c>
      <c r="D157" s="4">
        <f>30.5399 * CHOOSE(CONTROL!$C$10, $C$13, 100%, $E$13) + CHOOSE(CONTROL!$C$29, 0.0021, 0)</f>
        <v>30.541999999999998</v>
      </c>
      <c r="E157" s="4">
        <f>133.000882728521 * CHOOSE(CONTROL!$C$10, $C$13, 100%, $E$13) + CHOOSE(CONTROL!$C$29, 0.0021, 0)</f>
        <v>133.002982728521</v>
      </c>
    </row>
    <row r="158" spans="1:5" ht="15">
      <c r="A158" s="13">
        <v>45931</v>
      </c>
      <c r="B158" s="4">
        <f>20.4249 * CHOOSE(CONTROL!$C$10, $C$13, 100%, $E$13) + CHOOSE(CONTROL!$C$29, 0.0274, 0)</f>
        <v>20.452300000000001</v>
      </c>
      <c r="C158" s="4">
        <f>20.2686 * CHOOSE(CONTROL!$C$10, $C$13, 100%, $E$13) + CHOOSE(CONTROL!$C$29, 0.0274, 0)</f>
        <v>20.295999999999999</v>
      </c>
      <c r="D158" s="4">
        <f>30.1465 * CHOOSE(CONTROL!$C$10, $C$13, 100%, $E$13) + CHOOSE(CONTROL!$C$29, 0.0021, 0)</f>
        <v>30.148599999999998</v>
      </c>
      <c r="E158" s="4">
        <f>128.581867423194 * CHOOSE(CONTROL!$C$10, $C$13, 100%, $E$13) + CHOOSE(CONTROL!$C$29, 0.0021, 0)</f>
        <v>128.58396742319403</v>
      </c>
    </row>
    <row r="159" spans="1:5" ht="15">
      <c r="A159" s="13">
        <v>45962</v>
      </c>
      <c r="B159" s="4">
        <f>19.9864 * CHOOSE(CONTROL!$C$10, $C$13, 100%, $E$13) + CHOOSE(CONTROL!$C$29, 0.0274, 0)</f>
        <v>20.0138</v>
      </c>
      <c r="C159" s="4">
        <f>19.8302 * CHOOSE(CONTROL!$C$10, $C$13, 100%, $E$13) + CHOOSE(CONTROL!$C$29, 0.0274, 0)</f>
        <v>19.857600000000001</v>
      </c>
      <c r="D159" s="4">
        <f>30.0113 * CHOOSE(CONTROL!$C$10, $C$13, 100%, $E$13) + CHOOSE(CONTROL!$C$29, 0.0021, 0)</f>
        <v>30.013399999999997</v>
      </c>
      <c r="E159" s="4">
        <f>125.73569157516 * CHOOSE(CONTROL!$C$10, $C$13, 100%, $E$13) + CHOOSE(CONTROL!$C$29, 0.0021, 0)</f>
        <v>125.73779157516</v>
      </c>
    </row>
    <row r="160" spans="1:5" ht="15">
      <c r="A160" s="13">
        <v>45992</v>
      </c>
      <c r="B160" s="4">
        <f>19.6831 * CHOOSE(CONTROL!$C$10, $C$13, 100%, $E$13) + CHOOSE(CONTROL!$C$29, 0.0274, 0)</f>
        <v>19.7105</v>
      </c>
      <c r="C160" s="4">
        <f>19.5268 * CHOOSE(CONTROL!$C$10, $C$13, 100%, $E$13) + CHOOSE(CONTROL!$C$29, 0.0274, 0)</f>
        <v>19.554200000000002</v>
      </c>
      <c r="D160" s="4">
        <f>29.0158 * CHOOSE(CONTROL!$C$10, $C$13, 100%, $E$13) + CHOOSE(CONTROL!$C$29, 0.0021, 0)</f>
        <v>29.017899999999997</v>
      </c>
      <c r="E160" s="4">
        <f>123.766503748355 * CHOOSE(CONTROL!$C$10, $C$13, 100%, $E$13) + CHOOSE(CONTROL!$C$29, 0.0021, 0)</f>
        <v>123.76860374835501</v>
      </c>
    </row>
    <row r="161" spans="1:5" ht="15">
      <c r="A161" s="13">
        <v>46023</v>
      </c>
      <c r="B161" s="4">
        <f>19.3022 * CHOOSE(CONTROL!$C$10, $C$13, 100%, $E$13) + CHOOSE(CONTROL!$C$29, 0.0274, 0)</f>
        <v>19.329599999999999</v>
      </c>
      <c r="C161" s="4">
        <f>19.146 * CHOOSE(CONTROL!$C$10, $C$13, 100%, $E$13) + CHOOSE(CONTROL!$C$29, 0.0274, 0)</f>
        <v>19.173400000000001</v>
      </c>
      <c r="D161" s="4">
        <f>28.478 * CHOOSE(CONTROL!$C$10, $C$13, 100%, $E$13) + CHOOSE(CONTROL!$C$29, 0.0021, 0)</f>
        <v>28.4801</v>
      </c>
      <c r="E161" s="4">
        <f>121.353494599936 * CHOOSE(CONTROL!$C$10, $C$13, 100%, $E$13) + CHOOSE(CONTROL!$C$29, 0.0021, 0)</f>
        <v>121.355594599936</v>
      </c>
    </row>
    <row r="162" spans="1:5" ht="15">
      <c r="A162" s="13">
        <v>46054</v>
      </c>
      <c r="B162" s="4">
        <f>19.7459 * CHOOSE(CONTROL!$C$10, $C$13, 100%, $E$13) + CHOOSE(CONTROL!$C$29, 0.0274, 0)</f>
        <v>19.773299999999999</v>
      </c>
      <c r="C162" s="4">
        <f>19.5896 * CHOOSE(CONTROL!$C$10, $C$13, 100%, $E$13) + CHOOSE(CONTROL!$C$29, 0.0274, 0)</f>
        <v>19.617000000000001</v>
      </c>
      <c r="D162" s="4">
        <f>29.4127 * CHOOSE(CONTROL!$C$10, $C$13, 100%, $E$13) + CHOOSE(CONTROL!$C$29, 0.0021, 0)</f>
        <v>29.4148</v>
      </c>
      <c r="E162" s="4">
        <f>124.234904804871 * CHOOSE(CONTROL!$C$10, $C$13, 100%, $E$13) + CHOOSE(CONTROL!$C$29, 0.0021, 0)</f>
        <v>124.23700480487099</v>
      </c>
    </row>
    <row r="163" spans="1:5" ht="15">
      <c r="A163" s="13">
        <v>46082</v>
      </c>
      <c r="B163" s="4">
        <f>20.9109 * CHOOSE(CONTROL!$C$10, $C$13, 100%, $E$13) + CHOOSE(CONTROL!$C$29, 0.0274, 0)</f>
        <v>20.938300000000002</v>
      </c>
      <c r="C163" s="4">
        <f>20.7547 * CHOOSE(CONTROL!$C$10, $C$13, 100%, $E$13) + CHOOSE(CONTROL!$C$29, 0.0274, 0)</f>
        <v>20.7821</v>
      </c>
      <c r="D163" s="4">
        <f>30.8759 * CHOOSE(CONTROL!$C$10, $C$13, 100%, $E$13) + CHOOSE(CONTROL!$C$29, 0.0021, 0)</f>
        <v>30.878</v>
      </c>
      <c r="E163" s="4">
        <f>131.801641130469 * CHOOSE(CONTROL!$C$10, $C$13, 100%, $E$13) + CHOOSE(CONTROL!$C$29, 0.0021, 0)</f>
        <v>131.80374113046901</v>
      </c>
    </row>
    <row r="164" spans="1:5" ht="15">
      <c r="A164" s="13">
        <v>46113</v>
      </c>
      <c r="B164" s="4">
        <f>21.7387 * CHOOSE(CONTROL!$C$10, $C$13, 100%, $E$13) + CHOOSE(CONTROL!$C$29, 0.0274, 0)</f>
        <v>21.766100000000002</v>
      </c>
      <c r="C164" s="4">
        <f>21.5825 * CHOOSE(CONTROL!$C$10, $C$13, 100%, $E$13) + CHOOSE(CONTROL!$C$29, 0.0274, 0)</f>
        <v>21.6099</v>
      </c>
      <c r="D164" s="4">
        <f>31.7187 * CHOOSE(CONTROL!$C$10, $C$13, 100%, $E$13) + CHOOSE(CONTROL!$C$29, 0.0021, 0)</f>
        <v>31.720799999999997</v>
      </c>
      <c r="E164" s="4">
        <f>137.177908129826 * CHOOSE(CONTROL!$C$10, $C$13, 100%, $E$13) + CHOOSE(CONTROL!$C$29, 0.0021, 0)</f>
        <v>137.18000812982601</v>
      </c>
    </row>
    <row r="165" spans="1:5" ht="15">
      <c r="A165" s="13">
        <v>46143</v>
      </c>
      <c r="B165" s="4">
        <f>22.2445 * CHOOSE(CONTROL!$C$10, $C$13, 100%, $E$13) + CHOOSE(CONTROL!$C$29, 0.0274, 0)</f>
        <v>22.271899999999999</v>
      </c>
      <c r="C165" s="4">
        <f>22.0882 * CHOOSE(CONTROL!$C$10, $C$13, 100%, $E$13) + CHOOSE(CONTROL!$C$29, 0.0274, 0)</f>
        <v>22.115600000000001</v>
      </c>
      <c r="D165" s="4">
        <f>31.3857 * CHOOSE(CONTROL!$C$10, $C$13, 100%, $E$13) + CHOOSE(CONTROL!$C$29, 0.0021, 0)</f>
        <v>31.387799999999999</v>
      </c>
      <c r="E165" s="4">
        <f>140.462678415296 * CHOOSE(CONTROL!$C$10, $C$13, 100%, $E$13) + CHOOSE(CONTROL!$C$29, 0.0021, 0)</f>
        <v>140.46477841529602</v>
      </c>
    </row>
    <row r="166" spans="1:5" ht="15">
      <c r="A166" s="13">
        <v>46174</v>
      </c>
      <c r="B166" s="4">
        <f>22.3129 * CHOOSE(CONTROL!$C$10, $C$13, 100%, $E$13) + CHOOSE(CONTROL!$C$29, 0.0274, 0)</f>
        <v>22.340299999999999</v>
      </c>
      <c r="C166" s="4">
        <f>22.1567 * CHOOSE(CONTROL!$C$10, $C$13, 100%, $E$13) + CHOOSE(CONTROL!$C$29, 0.0274, 0)</f>
        <v>22.184100000000001</v>
      </c>
      <c r="D166" s="4">
        <f>31.6569 * CHOOSE(CONTROL!$C$10, $C$13, 100%, $E$13) + CHOOSE(CONTROL!$C$29, 0.0021, 0)</f>
        <v>31.658999999999999</v>
      </c>
      <c r="E166" s="4">
        <f>140.907121466997 * CHOOSE(CONTROL!$C$10, $C$13, 100%, $E$13) + CHOOSE(CONTROL!$C$29, 0.0021, 0)</f>
        <v>140.90922146699702</v>
      </c>
    </row>
    <row r="167" spans="1:5" ht="15">
      <c r="A167" s="13">
        <v>46204</v>
      </c>
      <c r="B167" s="4">
        <f>22.306 * CHOOSE(CONTROL!$C$10, $C$13, 100%, $E$13) + CHOOSE(CONTROL!$C$29, 0.0274, 0)</f>
        <v>22.333400000000001</v>
      </c>
      <c r="C167" s="4">
        <f>22.1498 * CHOOSE(CONTROL!$C$10, $C$13, 100%, $E$13) + CHOOSE(CONTROL!$C$29, 0.0274, 0)</f>
        <v>22.177199999999999</v>
      </c>
      <c r="D167" s="4">
        <f>32.1463 * CHOOSE(CONTROL!$C$10, $C$13, 100%, $E$13) + CHOOSE(CONTROL!$C$29, 0.0021, 0)</f>
        <v>32.148399999999995</v>
      </c>
      <c r="E167" s="4">
        <f>140.862303680271 * CHOOSE(CONTROL!$C$10, $C$13, 100%, $E$13) + CHOOSE(CONTROL!$C$29, 0.0021, 0)</f>
        <v>140.86440368027101</v>
      </c>
    </row>
    <row r="168" spans="1:5" ht="15">
      <c r="A168" s="13">
        <v>46235</v>
      </c>
      <c r="B168" s="4">
        <f>22.8253 * CHOOSE(CONTROL!$C$10, $C$13, 100%, $E$13) + CHOOSE(CONTROL!$C$29, 0.0274, 0)</f>
        <v>22.852699999999999</v>
      </c>
      <c r="C168" s="4">
        <f>22.6691 * CHOOSE(CONTROL!$C$10, $C$13, 100%, $E$13) + CHOOSE(CONTROL!$C$29, 0.0274, 0)</f>
        <v>22.6965</v>
      </c>
      <c r="D168" s="4">
        <f>31.8231 * CHOOSE(CONTROL!$C$10, $C$13, 100%, $E$13) + CHOOSE(CONTROL!$C$29, 0.0021, 0)</f>
        <v>31.825199999999999</v>
      </c>
      <c r="E168" s="4">
        <f>144.234842131413 * CHOOSE(CONTROL!$C$10, $C$13, 100%, $E$13) + CHOOSE(CONTROL!$C$29, 0.0021, 0)</f>
        <v>144.236942131413</v>
      </c>
    </row>
    <row r="169" spans="1:5" ht="15">
      <c r="A169" s="13">
        <v>46266</v>
      </c>
      <c r="B169" s="4">
        <f>21.9403 * CHOOSE(CONTROL!$C$10, $C$13, 100%, $E$13) + CHOOSE(CONTROL!$C$29, 0.0274, 0)</f>
        <v>21.967700000000001</v>
      </c>
      <c r="C169" s="4">
        <f>21.784 * CHOOSE(CONTROL!$C$10, $C$13, 100%, $E$13) + CHOOSE(CONTROL!$C$29, 0.0274, 0)</f>
        <v>21.811399999999999</v>
      </c>
      <c r="D169" s="4">
        <f>31.6704 * CHOOSE(CONTROL!$C$10, $C$13, 100%, $E$13) + CHOOSE(CONTROL!$C$29, 0.0021, 0)</f>
        <v>31.672499999999999</v>
      </c>
      <c r="E169" s="4">
        <f>138.486960983785 * CHOOSE(CONTROL!$C$10, $C$13, 100%, $E$13) + CHOOSE(CONTROL!$C$29, 0.0021, 0)</f>
        <v>138.48906098378501</v>
      </c>
    </row>
    <row r="170" spans="1:5" ht="15">
      <c r="A170" s="13">
        <v>46296</v>
      </c>
      <c r="B170" s="4">
        <f>21.2318 * CHOOSE(CONTROL!$C$10, $C$13, 100%, $E$13) + CHOOSE(CONTROL!$C$29, 0.0274, 0)</f>
        <v>21.2592</v>
      </c>
      <c r="C170" s="4">
        <f>21.0756 * CHOOSE(CONTROL!$C$10, $C$13, 100%, $E$13) + CHOOSE(CONTROL!$C$29, 0.0274, 0)</f>
        <v>21.103000000000002</v>
      </c>
      <c r="D170" s="4">
        <f>31.2615 * CHOOSE(CONTROL!$C$10, $C$13, 100%, $E$13) + CHOOSE(CONTROL!$C$29, 0.0021, 0)</f>
        <v>31.2636</v>
      </c>
      <c r="E170" s="4">
        <f>133.885668213234 * CHOOSE(CONTROL!$C$10, $C$13, 100%, $E$13) + CHOOSE(CONTROL!$C$29, 0.0021, 0)</f>
        <v>133.88776821323401</v>
      </c>
    </row>
    <row r="171" spans="1:5" ht="15">
      <c r="A171" s="13">
        <v>46327</v>
      </c>
      <c r="B171" s="4">
        <f>20.7755 * CHOOSE(CONTROL!$C$10, $C$13, 100%, $E$13) + CHOOSE(CONTROL!$C$29, 0.0274, 0)</f>
        <v>20.802900000000001</v>
      </c>
      <c r="C171" s="4">
        <f>20.6193 * CHOOSE(CONTROL!$C$10, $C$13, 100%, $E$13) + CHOOSE(CONTROL!$C$29, 0.0274, 0)</f>
        <v>20.646699999999999</v>
      </c>
      <c r="D171" s="4">
        <f>31.1209 * CHOOSE(CONTROL!$C$10, $C$13, 100%, $E$13) + CHOOSE(CONTROL!$C$29, 0.0021, 0)</f>
        <v>31.122999999999998</v>
      </c>
      <c r="E171" s="4">
        <f>130.922092065968 * CHOOSE(CONTROL!$C$10, $C$13, 100%, $E$13) + CHOOSE(CONTROL!$C$29, 0.0021, 0)</f>
        <v>130.92419206596801</v>
      </c>
    </row>
    <row r="172" spans="1:5" ht="15">
      <c r="A172" s="13">
        <v>46357</v>
      </c>
      <c r="B172" s="4">
        <f>20.4598 * CHOOSE(CONTROL!$C$10, $C$13, 100%, $E$13) + CHOOSE(CONTROL!$C$29, 0.0274, 0)</f>
        <v>20.487200000000001</v>
      </c>
      <c r="C172" s="4">
        <f>20.3036 * CHOOSE(CONTROL!$C$10, $C$13, 100%, $E$13) + CHOOSE(CONTROL!$C$29, 0.0274, 0)</f>
        <v>20.331</v>
      </c>
      <c r="D172" s="4">
        <f>30.086 * CHOOSE(CONTROL!$C$10, $C$13, 100%, $E$13) + CHOOSE(CONTROL!$C$29, 0.0021, 0)</f>
        <v>30.088099999999997</v>
      </c>
      <c r="E172" s="4">
        <f>128.871678323247 * CHOOSE(CONTROL!$C$10, $C$13, 100%, $E$13) + CHOOSE(CONTROL!$C$29, 0.0021, 0)</f>
        <v>128.87377832324702</v>
      </c>
    </row>
    <row r="173" spans="1:5" ht="15">
      <c r="A173" s="13">
        <v>46388</v>
      </c>
      <c r="B173" s="4">
        <f>20.0715 * CHOOSE(CONTROL!$C$10, $C$13, 100%, $E$13) + CHOOSE(CONTROL!$C$29, 0.0274, 0)</f>
        <v>20.0989</v>
      </c>
      <c r="C173" s="4">
        <f>19.9153 * CHOOSE(CONTROL!$C$10, $C$13, 100%, $E$13) + CHOOSE(CONTROL!$C$29, 0.0274, 0)</f>
        <v>19.942699999999999</v>
      </c>
      <c r="D173" s="4">
        <f>29.4428 * CHOOSE(CONTROL!$C$10, $C$13, 100%, $E$13) + CHOOSE(CONTROL!$C$29, 0.0021, 0)</f>
        <v>29.444899999999997</v>
      </c>
      <c r="E173" s="4">
        <f>126.340166571441 * CHOOSE(CONTROL!$C$10, $C$13, 100%, $E$13) + CHOOSE(CONTROL!$C$29, 0.0021, 0)</f>
        <v>126.342266571441</v>
      </c>
    </row>
    <row r="174" spans="1:5" ht="15">
      <c r="A174" s="13">
        <v>46419</v>
      </c>
      <c r="B174" s="4">
        <f>20.5334 * CHOOSE(CONTROL!$C$10, $C$13, 100%, $E$13) + CHOOSE(CONTROL!$C$29, 0.0274, 0)</f>
        <v>20.5608</v>
      </c>
      <c r="C174" s="4">
        <f>20.3772 * CHOOSE(CONTROL!$C$10, $C$13, 100%, $E$13) + CHOOSE(CONTROL!$C$29, 0.0274, 0)</f>
        <v>20.404599999999999</v>
      </c>
      <c r="D174" s="4">
        <f>30.4116 * CHOOSE(CONTROL!$C$10, $C$13, 100%, $E$13) + CHOOSE(CONTROL!$C$29, 0.0021, 0)</f>
        <v>30.413699999999999</v>
      </c>
      <c r="E174" s="4">
        <f>129.339980021002 * CHOOSE(CONTROL!$C$10, $C$13, 100%, $E$13) + CHOOSE(CONTROL!$C$29, 0.0021, 0)</f>
        <v>129.342080021002</v>
      </c>
    </row>
    <row r="175" spans="1:5" ht="15">
      <c r="A175" s="13">
        <v>46447</v>
      </c>
      <c r="B175" s="4">
        <f>21.7465 * CHOOSE(CONTROL!$C$10, $C$13, 100%, $E$13) + CHOOSE(CONTROL!$C$29, 0.0274, 0)</f>
        <v>21.773900000000001</v>
      </c>
      <c r="C175" s="4">
        <f>21.5902 * CHOOSE(CONTROL!$C$10, $C$13, 100%, $E$13) + CHOOSE(CONTROL!$C$29, 0.0274, 0)</f>
        <v>21.617599999999999</v>
      </c>
      <c r="D175" s="4">
        <f>31.9281 * CHOOSE(CONTROL!$C$10, $C$13, 100%, $E$13) + CHOOSE(CONTROL!$C$29, 0.0021, 0)</f>
        <v>31.930199999999999</v>
      </c>
      <c r="E175" s="4">
        <f>137.217649559318 * CHOOSE(CONTROL!$C$10, $C$13, 100%, $E$13) + CHOOSE(CONTROL!$C$29, 0.0021, 0)</f>
        <v>137.21974955931802</v>
      </c>
    </row>
    <row r="176" spans="1:5" ht="15">
      <c r="A176" s="13">
        <v>46478</v>
      </c>
      <c r="B176" s="4">
        <f>22.6083 * CHOOSE(CONTROL!$C$10, $C$13, 100%, $E$13) + CHOOSE(CONTROL!$C$29, 0.0274, 0)</f>
        <v>22.6357</v>
      </c>
      <c r="C176" s="4">
        <f>22.4521 * CHOOSE(CONTROL!$C$10, $C$13, 100%, $E$13) + CHOOSE(CONTROL!$C$29, 0.0274, 0)</f>
        <v>22.479500000000002</v>
      </c>
      <c r="D176" s="4">
        <f>32.8016 * CHOOSE(CONTROL!$C$10, $C$13, 100%, $E$13) + CHOOSE(CONTROL!$C$29, 0.0021, 0)</f>
        <v>32.803699999999999</v>
      </c>
      <c r="E176" s="4">
        <f>142.814838750042 * CHOOSE(CONTROL!$C$10, $C$13, 100%, $E$13) + CHOOSE(CONTROL!$C$29, 0.0021, 0)</f>
        <v>142.816938750042</v>
      </c>
    </row>
    <row r="177" spans="1:5" ht="15">
      <c r="A177" s="13">
        <v>46508</v>
      </c>
      <c r="B177" s="4">
        <f>23.1349 * CHOOSE(CONTROL!$C$10, $C$13, 100%, $E$13) + CHOOSE(CONTROL!$C$29, 0.0274, 0)</f>
        <v>23.162299999999998</v>
      </c>
      <c r="C177" s="4">
        <f>22.9787 * CHOOSE(CONTROL!$C$10, $C$13, 100%, $E$13) + CHOOSE(CONTROL!$C$29, 0.0274, 0)</f>
        <v>23.0061</v>
      </c>
      <c r="D177" s="4">
        <f>32.4564 * CHOOSE(CONTROL!$C$10, $C$13, 100%, $E$13) + CHOOSE(CONTROL!$C$29, 0.0021, 0)</f>
        <v>32.458500000000001</v>
      </c>
      <c r="E177" s="4">
        <f>146.234587199671 * CHOOSE(CONTROL!$C$10, $C$13, 100%, $E$13) + CHOOSE(CONTROL!$C$29, 0.0021, 0)</f>
        <v>146.23668719967102</v>
      </c>
    </row>
    <row r="178" spans="1:5" ht="15">
      <c r="A178" s="13">
        <v>46539</v>
      </c>
      <c r="B178" s="4">
        <f>23.2062 * CHOOSE(CONTROL!$C$10, $C$13, 100%, $E$13) + CHOOSE(CONTROL!$C$29, 0.0274, 0)</f>
        <v>23.233599999999999</v>
      </c>
      <c r="C178" s="4">
        <f>23.0499 * CHOOSE(CONTROL!$C$10, $C$13, 100%, $E$13) + CHOOSE(CONTROL!$C$29, 0.0274, 0)</f>
        <v>23.077300000000001</v>
      </c>
      <c r="D178" s="4">
        <f>32.7376 * CHOOSE(CONTROL!$C$10, $C$13, 100%, $E$13) + CHOOSE(CONTROL!$C$29, 0.0021, 0)</f>
        <v>32.739699999999999</v>
      </c>
      <c r="E178" s="4">
        <f>146.697293357154 * CHOOSE(CONTROL!$C$10, $C$13, 100%, $E$13) + CHOOSE(CONTROL!$C$29, 0.0021, 0)</f>
        <v>146.69939335715401</v>
      </c>
    </row>
    <row r="179" spans="1:5" ht="15">
      <c r="A179" s="13">
        <v>46569</v>
      </c>
      <c r="B179" s="4">
        <f>23.199 * CHOOSE(CONTROL!$C$10, $C$13, 100%, $E$13) + CHOOSE(CONTROL!$C$29, 0.0274, 0)</f>
        <v>23.226400000000002</v>
      </c>
      <c r="C179" s="4">
        <f>23.0427 * CHOOSE(CONTROL!$C$10, $C$13, 100%, $E$13) + CHOOSE(CONTROL!$C$29, 0.0274, 0)</f>
        <v>23.0701</v>
      </c>
      <c r="D179" s="4">
        <f>33.2448 * CHOOSE(CONTROL!$C$10, $C$13, 100%, $E$13) + CHOOSE(CONTROL!$C$29, 0.0021, 0)</f>
        <v>33.246899999999997</v>
      </c>
      <c r="E179" s="4">
        <f>146.650633912702 * CHOOSE(CONTROL!$C$10, $C$13, 100%, $E$13) + CHOOSE(CONTROL!$C$29, 0.0021, 0)</f>
        <v>146.65273391270202</v>
      </c>
    </row>
    <row r="180" spans="1:5" ht="15">
      <c r="A180" s="13">
        <v>46600</v>
      </c>
      <c r="B180" s="4">
        <f>23.7396 * CHOOSE(CONTROL!$C$10, $C$13, 100%, $E$13) + CHOOSE(CONTROL!$C$29, 0.0274, 0)</f>
        <v>23.766999999999999</v>
      </c>
      <c r="C180" s="4">
        <f>23.5834 * CHOOSE(CONTROL!$C$10, $C$13, 100%, $E$13) + CHOOSE(CONTROL!$C$29, 0.0274, 0)</f>
        <v>23.610800000000001</v>
      </c>
      <c r="D180" s="4">
        <f>32.9098 * CHOOSE(CONTROL!$C$10, $C$13, 100%, $E$13) + CHOOSE(CONTROL!$C$29, 0.0021, 0)</f>
        <v>32.911899999999996</v>
      </c>
      <c r="E180" s="4">
        <f>150.161757107716 * CHOOSE(CONTROL!$C$10, $C$13, 100%, $E$13) + CHOOSE(CONTROL!$C$29, 0.0021, 0)</f>
        <v>150.16385710771601</v>
      </c>
    </row>
    <row r="181" spans="1:5" ht="15">
      <c r="A181" s="13">
        <v>46631</v>
      </c>
      <c r="B181" s="4">
        <f>22.8182 * CHOOSE(CONTROL!$C$10, $C$13, 100%, $E$13) + CHOOSE(CONTROL!$C$29, 0.0274, 0)</f>
        <v>22.845600000000001</v>
      </c>
      <c r="C181" s="4">
        <f>22.6619 * CHOOSE(CONTROL!$C$10, $C$13, 100%, $E$13) + CHOOSE(CONTROL!$C$29, 0.0274, 0)</f>
        <v>22.689299999999999</v>
      </c>
      <c r="D181" s="4">
        <f>32.7515 * CHOOSE(CONTROL!$C$10, $C$13, 100%, $E$13) + CHOOSE(CONTROL!$C$29, 0.0021, 0)</f>
        <v>32.753599999999999</v>
      </c>
      <c r="E181" s="4">
        <f>144.177683356745 * CHOOSE(CONTROL!$C$10, $C$13, 100%, $E$13) + CHOOSE(CONTROL!$C$29, 0.0021, 0)</f>
        <v>144.17978335674502</v>
      </c>
    </row>
    <row r="182" spans="1:5" ht="15">
      <c r="A182" s="13">
        <v>46661</v>
      </c>
      <c r="B182" s="4">
        <f>22.0806 * CHOOSE(CONTROL!$C$10, $C$13, 100%, $E$13) + CHOOSE(CONTROL!$C$29, 0.0274, 0)</f>
        <v>22.108000000000001</v>
      </c>
      <c r="C182" s="4">
        <f>21.9243 * CHOOSE(CONTROL!$C$10, $C$13, 100%, $E$13) + CHOOSE(CONTROL!$C$29, 0.0274, 0)</f>
        <v>21.951699999999999</v>
      </c>
      <c r="D182" s="4">
        <f>32.3277 * CHOOSE(CONTROL!$C$10, $C$13, 100%, $E$13) + CHOOSE(CONTROL!$C$29, 0.0021, 0)</f>
        <v>32.329799999999999</v>
      </c>
      <c r="E182" s="4">
        <f>139.387313726337 * CHOOSE(CONTROL!$C$10, $C$13, 100%, $E$13) + CHOOSE(CONTROL!$C$29, 0.0021, 0)</f>
        <v>139.38941372633701</v>
      </c>
    </row>
    <row r="183" spans="1:5" ht="15">
      <c r="A183" s="13">
        <v>46692</v>
      </c>
      <c r="B183" s="4">
        <f>21.6055 * CHOOSE(CONTROL!$C$10, $C$13, 100%, $E$13) + CHOOSE(CONTROL!$C$29, 0.0274, 0)</f>
        <v>21.632899999999999</v>
      </c>
      <c r="C183" s="4">
        <f>21.4492 * CHOOSE(CONTROL!$C$10, $C$13, 100%, $E$13) + CHOOSE(CONTROL!$C$29, 0.0274, 0)</f>
        <v>21.476600000000001</v>
      </c>
      <c r="D183" s="4">
        <f>32.182 * CHOOSE(CONTROL!$C$10, $C$13, 100%, $E$13) + CHOOSE(CONTROL!$C$29, 0.0021, 0)</f>
        <v>32.184100000000001</v>
      </c>
      <c r="E183" s="4">
        <f>136.301957961947 * CHOOSE(CONTROL!$C$10, $C$13, 100%, $E$13) + CHOOSE(CONTROL!$C$29, 0.0021, 0)</f>
        <v>136.30405796194702</v>
      </c>
    </row>
    <row r="184" spans="1:5" ht="15">
      <c r="A184" s="13">
        <v>46722</v>
      </c>
      <c r="B184" s="4">
        <f>21.2768 * CHOOSE(CONTROL!$C$10, $C$13, 100%, $E$13) + CHOOSE(CONTROL!$C$29, 0.0274, 0)</f>
        <v>21.304200000000002</v>
      </c>
      <c r="C184" s="4">
        <f>21.1205 * CHOOSE(CONTROL!$C$10, $C$13, 100%, $E$13) + CHOOSE(CONTROL!$C$29, 0.0274, 0)</f>
        <v>21.1479</v>
      </c>
      <c r="D184" s="4">
        <f>31.1094 * CHOOSE(CONTROL!$C$10, $C$13, 100%, $E$13) + CHOOSE(CONTROL!$C$29, 0.0021, 0)</f>
        <v>31.111499999999999</v>
      </c>
      <c r="E184" s="4">
        <f>134.167288378267 * CHOOSE(CONTROL!$C$10, $C$13, 100%, $E$13) + CHOOSE(CONTROL!$C$29, 0.0021, 0)</f>
        <v>134.169388378267</v>
      </c>
    </row>
    <row r="185" spans="1:5" ht="15">
      <c r="A185" s="13">
        <v>46753</v>
      </c>
      <c r="B185" s="4">
        <f>20.8447 * CHOOSE(CONTROL!$C$10, $C$13, 100%, $E$13) + CHOOSE(CONTROL!$C$29, 0.0274, 0)</f>
        <v>20.8721</v>
      </c>
      <c r="C185" s="4">
        <f>20.6884 * CHOOSE(CONTROL!$C$10, $C$13, 100%, $E$13) + CHOOSE(CONTROL!$C$29, 0.0274, 0)</f>
        <v>20.715800000000002</v>
      </c>
      <c r="D185" s="4">
        <f>30.4041 * CHOOSE(CONTROL!$C$10, $C$13, 100%, $E$13) + CHOOSE(CONTROL!$C$29, 0.0021, 0)</f>
        <v>30.406199999999998</v>
      </c>
      <c r="E185" s="4">
        <f>131.532059713794 * CHOOSE(CONTROL!$C$10, $C$13, 100%, $E$13) + CHOOSE(CONTROL!$C$29, 0.0021, 0)</f>
        <v>131.53415971379403</v>
      </c>
    </row>
    <row r="186" spans="1:5" ht="15">
      <c r="A186" s="13">
        <v>46784</v>
      </c>
      <c r="B186" s="4">
        <f>21.3249 * CHOOSE(CONTROL!$C$10, $C$13, 100%, $E$13) + CHOOSE(CONTROL!$C$29, 0.0274, 0)</f>
        <v>21.3523</v>
      </c>
      <c r="C186" s="4">
        <f>21.1687 * CHOOSE(CONTROL!$C$10, $C$13, 100%, $E$13) + CHOOSE(CONTROL!$C$29, 0.0274, 0)</f>
        <v>21.196100000000001</v>
      </c>
      <c r="D186" s="4">
        <f>31.4068 * CHOOSE(CONTROL!$C$10, $C$13, 100%, $E$13) + CHOOSE(CONTROL!$C$29, 0.0021, 0)</f>
        <v>31.408899999999999</v>
      </c>
      <c r="E186" s="4">
        <f>134.655149167335 * CHOOSE(CONTROL!$C$10, $C$13, 100%, $E$13) + CHOOSE(CONTROL!$C$29, 0.0021, 0)</f>
        <v>134.65724916733501</v>
      </c>
    </row>
    <row r="187" spans="1:5" ht="15">
      <c r="A187" s="13">
        <v>46813</v>
      </c>
      <c r="B187" s="4">
        <f>22.5862 * CHOOSE(CONTROL!$C$10, $C$13, 100%, $E$13) + CHOOSE(CONTROL!$C$29, 0.0274, 0)</f>
        <v>22.613600000000002</v>
      </c>
      <c r="C187" s="4">
        <f>22.4299 * CHOOSE(CONTROL!$C$10, $C$13, 100%, $E$13) + CHOOSE(CONTROL!$C$29, 0.0274, 0)</f>
        <v>22.4573</v>
      </c>
      <c r="D187" s="4">
        <f>32.9764 * CHOOSE(CONTROL!$C$10, $C$13, 100%, $E$13) + CHOOSE(CONTROL!$C$29, 0.0021, 0)</f>
        <v>32.978499999999997</v>
      </c>
      <c r="E187" s="4">
        <f>142.856548043388 * CHOOSE(CONTROL!$C$10, $C$13, 100%, $E$13) + CHOOSE(CONTROL!$C$29, 0.0021, 0)</f>
        <v>142.858648043388</v>
      </c>
    </row>
    <row r="188" spans="1:5" ht="15">
      <c r="A188" s="13">
        <v>46844</v>
      </c>
      <c r="B188" s="4">
        <f>23.4823 * CHOOSE(CONTROL!$C$10, $C$13, 100%, $E$13) + CHOOSE(CONTROL!$C$29, 0.0274, 0)</f>
        <v>23.509699999999999</v>
      </c>
      <c r="C188" s="4">
        <f>23.3261 * CHOOSE(CONTROL!$C$10, $C$13, 100%, $E$13) + CHOOSE(CONTROL!$C$29, 0.0274, 0)</f>
        <v>23.3535</v>
      </c>
      <c r="D188" s="4">
        <f>33.8805 * CHOOSE(CONTROL!$C$10, $C$13, 100%, $E$13) + CHOOSE(CONTROL!$C$29, 0.0021, 0)</f>
        <v>33.882599999999996</v>
      </c>
      <c r="E188" s="4">
        <f>148.683751242834 * CHOOSE(CONTROL!$C$10, $C$13, 100%, $E$13) + CHOOSE(CONTROL!$C$29, 0.0021, 0)</f>
        <v>148.68585124283402</v>
      </c>
    </row>
    <row r="189" spans="1:5" ht="15">
      <c r="A189" s="13">
        <v>46874</v>
      </c>
      <c r="B189" s="4">
        <f>24.0298 * CHOOSE(CONTROL!$C$10, $C$13, 100%, $E$13) + CHOOSE(CONTROL!$C$29, 0.0274, 0)</f>
        <v>24.057200000000002</v>
      </c>
      <c r="C189" s="4">
        <f>23.8736 * CHOOSE(CONTROL!$C$10, $C$13, 100%, $E$13) + CHOOSE(CONTROL!$C$29, 0.0274, 0)</f>
        <v>23.901</v>
      </c>
      <c r="D189" s="4">
        <f>33.5232 * CHOOSE(CONTROL!$C$10, $C$13, 100%, $E$13) + CHOOSE(CONTROL!$C$29, 0.0021, 0)</f>
        <v>33.525300000000001</v>
      </c>
      <c r="E189" s="4">
        <f>152.244032739127 * CHOOSE(CONTROL!$C$10, $C$13, 100%, $E$13) + CHOOSE(CONTROL!$C$29, 0.0021, 0)</f>
        <v>152.24613273912701</v>
      </c>
    </row>
    <row r="190" spans="1:5" ht="15">
      <c r="A190" s="13">
        <v>46905</v>
      </c>
      <c r="B190" s="4">
        <f>24.1039 * CHOOSE(CONTROL!$C$10, $C$13, 100%, $E$13) + CHOOSE(CONTROL!$C$29, 0.0274, 0)</f>
        <v>24.1313</v>
      </c>
      <c r="C190" s="4">
        <f>23.9477 * CHOOSE(CONTROL!$C$10, $C$13, 100%, $E$13) + CHOOSE(CONTROL!$C$29, 0.0274, 0)</f>
        <v>23.975100000000001</v>
      </c>
      <c r="D190" s="4">
        <f>33.8142 * CHOOSE(CONTROL!$C$10, $C$13, 100%, $E$13) + CHOOSE(CONTROL!$C$29, 0.0021, 0)</f>
        <v>33.816299999999998</v>
      </c>
      <c r="E190" s="4">
        <f>152.725753601047 * CHOOSE(CONTROL!$C$10, $C$13, 100%, $E$13) + CHOOSE(CONTROL!$C$29, 0.0021, 0)</f>
        <v>152.727853601047</v>
      </c>
    </row>
    <row r="191" spans="1:5" ht="15">
      <c r="A191" s="13">
        <v>46935</v>
      </c>
      <c r="B191" s="4">
        <f>24.0964 * CHOOSE(CONTROL!$C$10, $C$13, 100%, $E$13) + CHOOSE(CONTROL!$C$29, 0.0274, 0)</f>
        <v>24.123799999999999</v>
      </c>
      <c r="C191" s="4">
        <f>23.9402 * CHOOSE(CONTROL!$C$10, $C$13, 100%, $E$13) + CHOOSE(CONTROL!$C$29, 0.0274, 0)</f>
        <v>23.967600000000001</v>
      </c>
      <c r="D191" s="4">
        <f>34.3392 * CHOOSE(CONTROL!$C$10, $C$13, 100%, $E$13) + CHOOSE(CONTROL!$C$29, 0.0021, 0)</f>
        <v>34.341299999999997</v>
      </c>
      <c r="E191" s="4">
        <f>152.677176707408 * CHOOSE(CONTROL!$C$10, $C$13, 100%, $E$13) + CHOOSE(CONTROL!$C$29, 0.0021, 0)</f>
        <v>152.67927670740801</v>
      </c>
    </row>
    <row r="192" spans="1:5" ht="15">
      <c r="A192" s="13">
        <v>46966</v>
      </c>
      <c r="B192" s="4">
        <f>24.6586 * CHOOSE(CONTROL!$C$10, $C$13, 100%, $E$13) + CHOOSE(CONTROL!$C$29, 0.0274, 0)</f>
        <v>24.686</v>
      </c>
      <c r="C192" s="4">
        <f>24.5023 * CHOOSE(CONTROL!$C$10, $C$13, 100%, $E$13) + CHOOSE(CONTROL!$C$29, 0.0274, 0)</f>
        <v>24.529700000000002</v>
      </c>
      <c r="D192" s="4">
        <f>33.9925 * CHOOSE(CONTROL!$C$10, $C$13, 100%, $E$13) + CHOOSE(CONTROL!$C$29, 0.0021, 0)</f>
        <v>33.994599999999998</v>
      </c>
      <c r="E192" s="4">
        <f>156.332587953744 * CHOOSE(CONTROL!$C$10, $C$13, 100%, $E$13) + CHOOSE(CONTROL!$C$29, 0.0021, 0)</f>
        <v>156.33468795374401</v>
      </c>
    </row>
    <row r="193" spans="1:5" ht="15">
      <c r="A193" s="13">
        <v>46997</v>
      </c>
      <c r="B193" s="4">
        <f>23.7005 * CHOOSE(CONTROL!$C$10, $C$13, 100%, $E$13) + CHOOSE(CONTROL!$C$29, 0.0274, 0)</f>
        <v>23.727900000000002</v>
      </c>
      <c r="C193" s="4">
        <f>23.5443 * CHOOSE(CONTROL!$C$10, $C$13, 100%, $E$13) + CHOOSE(CONTROL!$C$29, 0.0274, 0)</f>
        <v>23.5717</v>
      </c>
      <c r="D193" s="4">
        <f>33.8287 * CHOOSE(CONTROL!$C$10, $C$13, 100%, $E$13) + CHOOSE(CONTROL!$C$29, 0.0021, 0)</f>
        <v>33.830799999999996</v>
      </c>
      <c r="E193" s="4">
        <f>150.102601344541 * CHOOSE(CONTROL!$C$10, $C$13, 100%, $E$13) + CHOOSE(CONTROL!$C$29, 0.0021, 0)</f>
        <v>150.10470134454101</v>
      </c>
    </row>
    <row r="194" spans="1:5" ht="15">
      <c r="A194" s="13">
        <v>47027</v>
      </c>
      <c r="B194" s="4">
        <f>22.9336 * CHOOSE(CONTROL!$C$10, $C$13, 100%, $E$13) + CHOOSE(CONTROL!$C$29, 0.0274, 0)</f>
        <v>22.960999999999999</v>
      </c>
      <c r="C194" s="4">
        <f>22.7773 * CHOOSE(CONTROL!$C$10, $C$13, 100%, $E$13) + CHOOSE(CONTROL!$C$29, 0.0274, 0)</f>
        <v>22.8047</v>
      </c>
      <c r="D194" s="4">
        <f>33.3901 * CHOOSE(CONTROL!$C$10, $C$13, 100%, $E$13) + CHOOSE(CONTROL!$C$29, 0.0021, 0)</f>
        <v>33.392199999999995</v>
      </c>
      <c r="E194" s="4">
        <f>145.115373597602 * CHOOSE(CONTROL!$C$10, $C$13, 100%, $E$13) + CHOOSE(CONTROL!$C$29, 0.0021, 0)</f>
        <v>145.11747359760201</v>
      </c>
    </row>
    <row r="195" spans="1:5" ht="15">
      <c r="A195" s="13">
        <v>47058</v>
      </c>
      <c r="B195" s="4">
        <f>22.4396 * CHOOSE(CONTROL!$C$10, $C$13, 100%, $E$13) + CHOOSE(CONTROL!$C$29, 0.0274, 0)</f>
        <v>22.466999999999999</v>
      </c>
      <c r="C195" s="4">
        <f>22.2833 * CHOOSE(CONTROL!$C$10, $C$13, 100%, $E$13) + CHOOSE(CONTROL!$C$29, 0.0274, 0)</f>
        <v>22.310700000000001</v>
      </c>
      <c r="D195" s="4">
        <f>33.2393 * CHOOSE(CONTROL!$C$10, $C$13, 100%, $E$13) + CHOOSE(CONTROL!$C$29, 0.0021, 0)</f>
        <v>33.241399999999999</v>
      </c>
      <c r="E195" s="4">
        <f>141.903226505723 * CHOOSE(CONTROL!$C$10, $C$13, 100%, $E$13) + CHOOSE(CONTROL!$C$29, 0.0021, 0)</f>
        <v>141.90532650572302</v>
      </c>
    </row>
    <row r="196" spans="1:5" ht="15">
      <c r="A196" s="13">
        <v>47088</v>
      </c>
      <c r="B196" s="4">
        <f>22.0978 * CHOOSE(CONTROL!$C$10, $C$13, 100%, $E$13) + CHOOSE(CONTROL!$C$29, 0.0274, 0)</f>
        <v>22.1252</v>
      </c>
      <c r="C196" s="4">
        <f>21.9416 * CHOOSE(CONTROL!$C$10, $C$13, 100%, $E$13) + CHOOSE(CONTROL!$C$29, 0.0274, 0)</f>
        <v>21.969000000000001</v>
      </c>
      <c r="D196" s="4">
        <f>32.129 * CHOOSE(CONTROL!$C$10, $C$13, 100%, $E$13) + CHOOSE(CONTROL!$C$29, 0.0021, 0)</f>
        <v>32.131099999999996</v>
      </c>
      <c r="E196" s="4">
        <f>139.680833621738 * CHOOSE(CONTROL!$C$10, $C$13, 100%, $E$13) + CHOOSE(CONTROL!$C$29, 0.0021, 0)</f>
        <v>139.68293362173802</v>
      </c>
    </row>
    <row r="197" spans="1:5" ht="15">
      <c r="A197" s="13">
        <v>47119</v>
      </c>
      <c r="B197" s="4">
        <f>21.6935 * CHOOSE(CONTROL!$C$10, $C$13, 100%, $E$13) + CHOOSE(CONTROL!$C$29, 0.0274, 0)</f>
        <v>21.7209</v>
      </c>
      <c r="C197" s="4">
        <f>21.5372 * CHOOSE(CONTROL!$C$10, $C$13, 100%, $E$13) + CHOOSE(CONTROL!$C$29, 0.0274, 0)</f>
        <v>21.564599999999999</v>
      </c>
      <c r="D197" s="4">
        <f>31.4024 * CHOOSE(CONTROL!$C$10, $C$13, 100%, $E$13) + CHOOSE(CONTROL!$C$29, 0.0021, 0)</f>
        <v>31.404499999999999</v>
      </c>
      <c r="E197" s="4">
        <f>136.937410973111 * CHOOSE(CONTROL!$C$10, $C$13, 100%, $E$13) + CHOOSE(CONTROL!$C$29, 0.0021, 0)</f>
        <v>136.93951097311103</v>
      </c>
    </row>
    <row r="198" spans="1:5" ht="15">
      <c r="A198" s="13">
        <v>47150</v>
      </c>
      <c r="B198" s="4">
        <f>22.1939 * CHOOSE(CONTROL!$C$10, $C$13, 100%, $E$13) + CHOOSE(CONTROL!$C$29, 0.0274, 0)</f>
        <v>22.221299999999999</v>
      </c>
      <c r="C198" s="4">
        <f>22.0377 * CHOOSE(CONTROL!$C$10, $C$13, 100%, $E$13) + CHOOSE(CONTROL!$C$29, 0.0274, 0)</f>
        <v>22.065100000000001</v>
      </c>
      <c r="D198" s="4">
        <f>32.4403 * CHOOSE(CONTROL!$C$10, $C$13, 100%, $E$13) + CHOOSE(CONTROL!$C$29, 0.0021, 0)</f>
        <v>32.442399999999999</v>
      </c>
      <c r="E198" s="4">
        <f>140.188844767548 * CHOOSE(CONTROL!$C$10, $C$13, 100%, $E$13) + CHOOSE(CONTROL!$C$29, 0.0021, 0)</f>
        <v>140.19094476754802</v>
      </c>
    </row>
    <row r="199" spans="1:5" ht="15">
      <c r="A199" s="13">
        <v>47178</v>
      </c>
      <c r="B199" s="4">
        <f>23.5081 * CHOOSE(CONTROL!$C$10, $C$13, 100%, $E$13) + CHOOSE(CONTROL!$C$29, 0.0274, 0)</f>
        <v>23.535499999999999</v>
      </c>
      <c r="C199" s="4">
        <f>23.3518 * CHOOSE(CONTROL!$C$10, $C$13, 100%, $E$13) + CHOOSE(CONTROL!$C$29, 0.0274, 0)</f>
        <v>23.379200000000001</v>
      </c>
      <c r="D199" s="4">
        <f>34.0651 * CHOOSE(CONTROL!$C$10, $C$13, 100%, $E$13) + CHOOSE(CONTROL!$C$29, 0.0021, 0)</f>
        <v>34.0672</v>
      </c>
      <c r="E199" s="4">
        <f>148.727282703426 * CHOOSE(CONTROL!$C$10, $C$13, 100%, $E$13) + CHOOSE(CONTROL!$C$29, 0.0021, 0)</f>
        <v>148.72938270342601</v>
      </c>
    </row>
    <row r="200" spans="1:5" ht="15">
      <c r="A200" s="13">
        <v>47209</v>
      </c>
      <c r="B200" s="4">
        <f>24.4418 * CHOOSE(CONTROL!$C$10, $C$13, 100%, $E$13) + CHOOSE(CONTROL!$C$29, 0.0274, 0)</f>
        <v>24.469200000000001</v>
      </c>
      <c r="C200" s="4">
        <f>24.2856 * CHOOSE(CONTROL!$C$10, $C$13, 100%, $E$13) + CHOOSE(CONTROL!$C$29, 0.0274, 0)</f>
        <v>24.312999999999999</v>
      </c>
      <c r="D200" s="4">
        <f>35.001 * CHOOSE(CONTROL!$C$10, $C$13, 100%, $E$13) + CHOOSE(CONTROL!$C$29, 0.0021, 0)</f>
        <v>35.003099999999996</v>
      </c>
      <c r="E200" s="4">
        <f>154.793956646514 * CHOOSE(CONTROL!$C$10, $C$13, 100%, $E$13) + CHOOSE(CONTROL!$C$29, 0.0021, 0)</f>
        <v>154.79605664651402</v>
      </c>
    </row>
    <row r="201" spans="1:5" ht="15">
      <c r="A201" s="13">
        <v>47239</v>
      </c>
      <c r="B201" s="4">
        <f>25.0123 * CHOOSE(CONTROL!$C$10, $C$13, 100%, $E$13) + CHOOSE(CONTROL!$C$29, 0.0274, 0)</f>
        <v>25.0397</v>
      </c>
      <c r="C201" s="4">
        <f>24.8561 * CHOOSE(CONTROL!$C$10, $C$13, 100%, $E$13) + CHOOSE(CONTROL!$C$29, 0.0274, 0)</f>
        <v>24.883500000000002</v>
      </c>
      <c r="D201" s="4">
        <f>34.6312 * CHOOSE(CONTROL!$C$10, $C$13, 100%, $E$13) + CHOOSE(CONTROL!$C$29, 0.0021, 0)</f>
        <v>34.633299999999998</v>
      </c>
      <c r="E201" s="4">
        <f>158.500549027859 * CHOOSE(CONTROL!$C$10, $C$13, 100%, $E$13) + CHOOSE(CONTROL!$C$29, 0.0021, 0)</f>
        <v>158.50264902785901</v>
      </c>
    </row>
    <row r="202" spans="1:5" ht="15">
      <c r="A202" s="13">
        <v>47270</v>
      </c>
      <c r="B202" s="4">
        <f>25.0895 * CHOOSE(CONTROL!$C$10, $C$13, 100%, $E$13) + CHOOSE(CONTROL!$C$29, 0.0274, 0)</f>
        <v>25.116900000000001</v>
      </c>
      <c r="C202" s="4">
        <f>24.9332 * CHOOSE(CONTROL!$C$10, $C$13, 100%, $E$13) + CHOOSE(CONTROL!$C$29, 0.0274, 0)</f>
        <v>24.960599999999999</v>
      </c>
      <c r="D202" s="4">
        <f>34.9324 * CHOOSE(CONTROL!$C$10, $C$13, 100%, $E$13) + CHOOSE(CONTROL!$C$29, 0.0021, 0)</f>
        <v>34.9345</v>
      </c>
      <c r="E202" s="4">
        <f>159.00206635973 * CHOOSE(CONTROL!$C$10, $C$13, 100%, $E$13) + CHOOSE(CONTROL!$C$29, 0.0021, 0)</f>
        <v>159.00416635973002</v>
      </c>
    </row>
    <row r="203" spans="1:5" ht="15">
      <c r="A203" s="13">
        <v>47300</v>
      </c>
      <c r="B203" s="4">
        <f>25.0817 * CHOOSE(CONTROL!$C$10, $C$13, 100%, $E$13) + CHOOSE(CONTROL!$C$29, 0.0274, 0)</f>
        <v>25.109100000000002</v>
      </c>
      <c r="C203" s="4">
        <f>24.9255 * CHOOSE(CONTROL!$C$10, $C$13, 100%, $E$13) + CHOOSE(CONTROL!$C$29, 0.0274, 0)</f>
        <v>24.9529</v>
      </c>
      <c r="D203" s="4">
        <f>35.4759 * CHOOSE(CONTROL!$C$10, $C$13, 100%, $E$13) + CHOOSE(CONTROL!$C$29, 0.0021, 0)</f>
        <v>35.478000000000002</v>
      </c>
      <c r="E203" s="4">
        <f>158.951493183407 * CHOOSE(CONTROL!$C$10, $C$13, 100%, $E$13) + CHOOSE(CONTROL!$C$29, 0.0021, 0)</f>
        <v>158.95359318340701</v>
      </c>
    </row>
    <row r="204" spans="1:5" ht="15">
      <c r="A204" s="13">
        <v>47331</v>
      </c>
      <c r="B204" s="4">
        <f>25.6674 * CHOOSE(CONTROL!$C$10, $C$13, 100%, $E$13) + CHOOSE(CONTROL!$C$29, 0.0274, 0)</f>
        <v>25.694800000000001</v>
      </c>
      <c r="C204" s="4">
        <f>25.5112 * CHOOSE(CONTROL!$C$10, $C$13, 100%, $E$13) + CHOOSE(CONTROL!$C$29, 0.0274, 0)</f>
        <v>25.538599999999999</v>
      </c>
      <c r="D204" s="4">
        <f>35.117 * CHOOSE(CONTROL!$C$10, $C$13, 100%, $E$13) + CHOOSE(CONTROL!$C$29, 0.0021, 0)</f>
        <v>35.119099999999996</v>
      </c>
      <c r="E204" s="4">
        <f>162.757124701718 * CHOOSE(CONTROL!$C$10, $C$13, 100%, $E$13) + CHOOSE(CONTROL!$C$29, 0.0021, 0)</f>
        <v>162.75922470171801</v>
      </c>
    </row>
    <row r="205" spans="1:5" ht="15">
      <c r="A205" s="13">
        <v>47362</v>
      </c>
      <c r="B205" s="4">
        <f>24.6692 * CHOOSE(CONTROL!$C$10, $C$13, 100%, $E$13) + CHOOSE(CONTROL!$C$29, 0.0274, 0)</f>
        <v>24.6966</v>
      </c>
      <c r="C205" s="4">
        <f>24.5129 * CHOOSE(CONTROL!$C$10, $C$13, 100%, $E$13) + CHOOSE(CONTROL!$C$29, 0.0274, 0)</f>
        <v>24.540299999999998</v>
      </c>
      <c r="D205" s="4">
        <f>34.9474 * CHOOSE(CONTROL!$C$10, $C$13, 100%, $E$13) + CHOOSE(CONTROL!$C$29, 0.0021, 0)</f>
        <v>34.9495</v>
      </c>
      <c r="E205" s="4">
        <f>156.271114838284 * CHOOSE(CONTROL!$C$10, $C$13, 100%, $E$13) + CHOOSE(CONTROL!$C$29, 0.0021, 0)</f>
        <v>156.27321483828402</v>
      </c>
    </row>
    <row r="206" spans="1:5" ht="15">
      <c r="A206" s="13">
        <v>47392</v>
      </c>
      <c r="B206" s="4">
        <f>23.87 * CHOOSE(CONTROL!$C$10, $C$13, 100%, $E$13) + CHOOSE(CONTROL!$C$29, 0.0274, 0)</f>
        <v>23.897400000000001</v>
      </c>
      <c r="C206" s="4">
        <f>23.7138 * CHOOSE(CONTROL!$C$10, $C$13, 100%, $E$13) + CHOOSE(CONTROL!$C$29, 0.0274, 0)</f>
        <v>23.741199999999999</v>
      </c>
      <c r="D206" s="4">
        <f>34.4933 * CHOOSE(CONTROL!$C$10, $C$13, 100%, $E$13) + CHOOSE(CONTROL!$C$29, 0.0021, 0)</f>
        <v>34.495399999999997</v>
      </c>
      <c r="E206" s="4">
        <f>151.078935402449 * CHOOSE(CONTROL!$C$10, $C$13, 100%, $E$13) + CHOOSE(CONTROL!$C$29, 0.0021, 0)</f>
        <v>151.081035402449</v>
      </c>
    </row>
    <row r="207" spans="1:5" ht="15">
      <c r="A207" s="13">
        <v>47423</v>
      </c>
      <c r="B207" s="4">
        <f>23.3553 * CHOOSE(CONTROL!$C$10, $C$13, 100%, $E$13) + CHOOSE(CONTROL!$C$29, 0.0274, 0)</f>
        <v>23.3827</v>
      </c>
      <c r="C207" s="4">
        <f>23.1991 * CHOOSE(CONTROL!$C$10, $C$13, 100%, $E$13) + CHOOSE(CONTROL!$C$29, 0.0274, 0)</f>
        <v>23.226500000000001</v>
      </c>
      <c r="D207" s="4">
        <f>34.3372 * CHOOSE(CONTROL!$C$10, $C$13, 100%, $E$13) + CHOOSE(CONTROL!$C$29, 0.0021, 0)</f>
        <v>34.339300000000001</v>
      </c>
      <c r="E207" s="4">
        <f>147.734784118086 * CHOOSE(CONTROL!$C$10, $C$13, 100%, $E$13) + CHOOSE(CONTROL!$C$29, 0.0021, 0)</f>
        <v>147.73688411808601</v>
      </c>
    </row>
    <row r="208" spans="1:5" ht="15">
      <c r="A208" s="13">
        <v>47453</v>
      </c>
      <c r="B208" s="4">
        <f>22.9992 * CHOOSE(CONTROL!$C$10, $C$13, 100%, $E$13) + CHOOSE(CONTROL!$C$29, 0.0274, 0)</f>
        <v>23.026599999999998</v>
      </c>
      <c r="C208" s="4">
        <f>22.843 * CHOOSE(CONTROL!$C$10, $C$13, 100%, $E$13) + CHOOSE(CONTROL!$C$29, 0.0274, 0)</f>
        <v>22.8704</v>
      </c>
      <c r="D208" s="4">
        <f>33.188 * CHOOSE(CONTROL!$C$10, $C$13, 100%, $E$13) + CHOOSE(CONTROL!$C$29, 0.0021, 0)</f>
        <v>33.190100000000001</v>
      </c>
      <c r="E208" s="4">
        <f>145.421061301306 * CHOOSE(CONTROL!$C$10, $C$13, 100%, $E$13) + CHOOSE(CONTROL!$C$29, 0.0021, 0)</f>
        <v>145.42316130130601</v>
      </c>
    </row>
    <row r="209" spans="1:5" ht="15">
      <c r="A209" s="13">
        <v>47484</v>
      </c>
      <c r="B209" s="4">
        <f>22.5791 * CHOOSE(CONTROL!$C$10, $C$13, 100%, $E$13) + CHOOSE(CONTROL!$C$29, 0.0274, 0)</f>
        <v>22.6065</v>
      </c>
      <c r="C209" s="4">
        <f>22.4228 * CHOOSE(CONTROL!$C$10, $C$13, 100%, $E$13) + CHOOSE(CONTROL!$C$29, 0.0274, 0)</f>
        <v>22.450199999999999</v>
      </c>
      <c r="D209" s="4">
        <f>32.4416 * CHOOSE(CONTROL!$C$10, $C$13, 100%, $E$13) + CHOOSE(CONTROL!$C$29, 0.0021, 0)</f>
        <v>32.4437</v>
      </c>
      <c r="E209" s="4">
        <f>142.578038614685 * CHOOSE(CONTROL!$C$10, $C$13, 100%, $E$13) + CHOOSE(CONTROL!$C$29, 0.0021, 0)</f>
        <v>142.58013861468501</v>
      </c>
    </row>
    <row r="210" spans="1:5" ht="15">
      <c r="A210" s="13">
        <v>47515</v>
      </c>
      <c r="B210" s="4">
        <f>23.1005 * CHOOSE(CONTROL!$C$10, $C$13, 100%, $E$13) + CHOOSE(CONTROL!$C$29, 0.0274, 0)</f>
        <v>23.1279</v>
      </c>
      <c r="C210" s="4">
        <f>22.9443 * CHOOSE(CONTROL!$C$10, $C$13, 100%, $E$13) + CHOOSE(CONTROL!$C$29, 0.0274, 0)</f>
        <v>22.971699999999998</v>
      </c>
      <c r="D210" s="4">
        <f>33.5162 * CHOOSE(CONTROL!$C$10, $C$13, 100%, $E$13) + CHOOSE(CONTROL!$C$29, 0.0021, 0)</f>
        <v>33.518299999999996</v>
      </c>
      <c r="E210" s="4">
        <f>145.963403138536 * CHOOSE(CONTROL!$C$10, $C$13, 100%, $E$13) + CHOOSE(CONTROL!$C$29, 0.0021, 0)</f>
        <v>145.96550313853601</v>
      </c>
    </row>
    <row r="211" spans="1:5" ht="15">
      <c r="A211" s="13">
        <v>47543</v>
      </c>
      <c r="B211" s="4">
        <f>24.4699 * CHOOSE(CONTROL!$C$10, $C$13, 100%, $E$13) + CHOOSE(CONTROL!$C$29, 0.0274, 0)</f>
        <v>24.497299999999999</v>
      </c>
      <c r="C211" s="4">
        <f>24.3137 * CHOOSE(CONTROL!$C$10, $C$13, 100%, $E$13) + CHOOSE(CONTROL!$C$29, 0.0274, 0)</f>
        <v>24.341100000000001</v>
      </c>
      <c r="D211" s="4">
        <f>35.1984 * CHOOSE(CONTROL!$C$10, $C$13, 100%, $E$13) + CHOOSE(CONTROL!$C$29, 0.0021, 0)</f>
        <v>35.200499999999998</v>
      </c>
      <c r="E211" s="4">
        <f>154.853550287366 * CHOOSE(CONTROL!$C$10, $C$13, 100%, $E$13) + CHOOSE(CONTROL!$C$29, 0.0021, 0)</f>
        <v>154.85565028736602</v>
      </c>
    </row>
    <row r="212" spans="1:5" ht="15">
      <c r="A212" s="13">
        <v>47574</v>
      </c>
      <c r="B212" s="4">
        <f>25.4429 * CHOOSE(CONTROL!$C$10, $C$13, 100%, $E$13) + CHOOSE(CONTROL!$C$29, 0.0274, 0)</f>
        <v>25.470300000000002</v>
      </c>
      <c r="C212" s="4">
        <f>25.2866 * CHOOSE(CONTROL!$C$10, $C$13, 100%, $E$13) + CHOOSE(CONTROL!$C$29, 0.0274, 0)</f>
        <v>25.314</v>
      </c>
      <c r="D212" s="4">
        <f>36.1674 * CHOOSE(CONTROL!$C$10, $C$13, 100%, $E$13) + CHOOSE(CONTROL!$C$29, 0.0021, 0)</f>
        <v>36.169499999999999</v>
      </c>
      <c r="E212" s="4">
        <f>161.170118313398 * CHOOSE(CONTROL!$C$10, $C$13, 100%, $E$13) + CHOOSE(CONTROL!$C$29, 0.0021, 0)</f>
        <v>161.17221831339802</v>
      </c>
    </row>
    <row r="213" spans="1:5" ht="15">
      <c r="A213" s="13">
        <v>47604</v>
      </c>
      <c r="B213" s="4">
        <f>26.0373 * CHOOSE(CONTROL!$C$10, $C$13, 100%, $E$13) + CHOOSE(CONTROL!$C$29, 0.0274, 0)</f>
        <v>26.064699999999998</v>
      </c>
      <c r="C213" s="4">
        <f>25.8811 * CHOOSE(CONTROL!$C$10, $C$13, 100%, $E$13) + CHOOSE(CONTROL!$C$29, 0.0274, 0)</f>
        <v>25.9085</v>
      </c>
      <c r="D213" s="4">
        <f>35.7845 * CHOOSE(CONTROL!$C$10, $C$13, 100%, $E$13) + CHOOSE(CONTROL!$C$29, 0.0021, 0)</f>
        <v>35.7866</v>
      </c>
      <c r="E213" s="4">
        <f>165.029389990296 * CHOOSE(CONTROL!$C$10, $C$13, 100%, $E$13) + CHOOSE(CONTROL!$C$29, 0.0021, 0)</f>
        <v>165.03148999029602</v>
      </c>
    </row>
    <row r="214" spans="1:5" ht="15">
      <c r="A214" s="13">
        <v>47635</v>
      </c>
      <c r="B214" s="4">
        <f>26.1178 * CHOOSE(CONTROL!$C$10, $C$13, 100%, $E$13) + CHOOSE(CONTROL!$C$29, 0.0274, 0)</f>
        <v>26.145199999999999</v>
      </c>
      <c r="C214" s="4">
        <f>25.9615 * CHOOSE(CONTROL!$C$10, $C$13, 100%, $E$13) + CHOOSE(CONTROL!$C$29, 0.0274, 0)</f>
        <v>25.988900000000001</v>
      </c>
      <c r="D214" s="4">
        <f>36.0963 * CHOOSE(CONTROL!$C$10, $C$13, 100%, $E$13) + CHOOSE(CONTROL!$C$29, 0.0021, 0)</f>
        <v>36.098399999999998</v>
      </c>
      <c r="E214" s="4">
        <f>165.551565464487 * CHOOSE(CONTROL!$C$10, $C$13, 100%, $E$13) + CHOOSE(CONTROL!$C$29, 0.0021, 0)</f>
        <v>165.55366546448701</v>
      </c>
    </row>
    <row r="215" spans="1:5" ht="15">
      <c r="A215" s="13">
        <v>47665</v>
      </c>
      <c r="B215" s="4">
        <f>26.1097 * CHOOSE(CONTROL!$C$10, $C$13, 100%, $E$13) + CHOOSE(CONTROL!$C$29, 0.0274, 0)</f>
        <v>26.1371</v>
      </c>
      <c r="C215" s="4">
        <f>25.9534 * CHOOSE(CONTROL!$C$10, $C$13, 100%, $E$13) + CHOOSE(CONTROL!$C$29, 0.0274, 0)</f>
        <v>25.980799999999999</v>
      </c>
      <c r="D215" s="4">
        <f>36.659 * CHOOSE(CONTROL!$C$10, $C$13, 100%, $E$13) + CHOOSE(CONTROL!$C$29, 0.0021, 0)</f>
        <v>36.661099999999998</v>
      </c>
      <c r="E215" s="4">
        <f>165.498909114149 * CHOOSE(CONTROL!$C$10, $C$13, 100%, $E$13) + CHOOSE(CONTROL!$C$29, 0.0021, 0)</f>
        <v>165.50100911414901</v>
      </c>
    </row>
    <row r="216" spans="1:5" ht="15">
      <c r="A216" s="13">
        <v>47696</v>
      </c>
      <c r="B216" s="4">
        <f>26.72 * CHOOSE(CONTROL!$C$10, $C$13, 100%, $E$13) + CHOOSE(CONTROL!$C$29, 0.0274, 0)</f>
        <v>26.747399999999999</v>
      </c>
      <c r="C216" s="4">
        <f>26.5637 * CHOOSE(CONTROL!$C$10, $C$13, 100%, $E$13) + CHOOSE(CONTROL!$C$29, 0.0274, 0)</f>
        <v>26.591100000000001</v>
      </c>
      <c r="D216" s="4">
        <f>36.2874 * CHOOSE(CONTROL!$C$10, $C$13, 100%, $E$13) + CHOOSE(CONTROL!$C$29, 0.0021, 0)</f>
        <v>36.289499999999997</v>
      </c>
      <c r="E216" s="4">
        <f>169.461299477127 * CHOOSE(CONTROL!$C$10, $C$13, 100%, $E$13) + CHOOSE(CONTROL!$C$29, 0.0021, 0)</f>
        <v>169.46339947712701</v>
      </c>
    </row>
    <row r="217" spans="1:5" ht="15">
      <c r="A217" s="13">
        <v>47727</v>
      </c>
      <c r="B217" s="4">
        <f>25.6798 * CHOOSE(CONTROL!$C$10, $C$13, 100%, $E$13) + CHOOSE(CONTROL!$C$29, 0.0274, 0)</f>
        <v>25.7072</v>
      </c>
      <c r="C217" s="4">
        <f>25.5235 * CHOOSE(CONTROL!$C$10, $C$13, 100%, $E$13) + CHOOSE(CONTROL!$C$29, 0.0274, 0)</f>
        <v>25.550899999999999</v>
      </c>
      <c r="D217" s="4">
        <f>36.1119 * CHOOSE(CONTROL!$C$10, $C$13, 100%, $E$13) + CHOOSE(CONTROL!$C$29, 0.0021, 0)</f>
        <v>36.113999999999997</v>
      </c>
      <c r="E217" s="4">
        <f>162.708122546204 * CHOOSE(CONTROL!$C$10, $C$13, 100%, $E$13) + CHOOSE(CONTROL!$C$29, 0.0021, 0)</f>
        <v>162.71022254620402</v>
      </c>
    </row>
    <row r="218" spans="1:5" ht="15">
      <c r="A218" s="13">
        <v>47757</v>
      </c>
      <c r="B218" s="4">
        <f>24.8471 * CHOOSE(CONTROL!$C$10, $C$13, 100%, $E$13) + CHOOSE(CONTROL!$C$29, 0.0274, 0)</f>
        <v>24.874500000000001</v>
      </c>
      <c r="C218" s="4">
        <f>24.6908 * CHOOSE(CONTROL!$C$10, $C$13, 100%, $E$13) + CHOOSE(CONTROL!$C$29, 0.0274, 0)</f>
        <v>24.7182</v>
      </c>
      <c r="D218" s="4">
        <f>35.6418 * CHOOSE(CONTROL!$C$10, $C$13, 100%, $E$13) + CHOOSE(CONTROL!$C$29, 0.0021, 0)</f>
        <v>35.643900000000002</v>
      </c>
      <c r="E218" s="4">
        <f>157.30207057811 * CHOOSE(CONTROL!$C$10, $C$13, 100%, $E$13) + CHOOSE(CONTROL!$C$29, 0.0021, 0)</f>
        <v>157.30417057811002</v>
      </c>
    </row>
    <row r="219" spans="1:5" ht="15">
      <c r="A219" s="13">
        <v>47788</v>
      </c>
      <c r="B219" s="4">
        <f>24.3107 * CHOOSE(CONTROL!$C$10, $C$13, 100%, $E$13) + CHOOSE(CONTROL!$C$29, 0.0274, 0)</f>
        <v>24.338100000000001</v>
      </c>
      <c r="C219" s="4">
        <f>24.1545 * CHOOSE(CONTROL!$C$10, $C$13, 100%, $E$13) + CHOOSE(CONTROL!$C$29, 0.0274, 0)</f>
        <v>24.181899999999999</v>
      </c>
      <c r="D219" s="4">
        <f>35.4801 * CHOOSE(CONTROL!$C$10, $C$13, 100%, $E$13) + CHOOSE(CONTROL!$C$29, 0.0021, 0)</f>
        <v>35.482199999999999</v>
      </c>
      <c r="E219" s="4">
        <f>153.820169411972 * CHOOSE(CONTROL!$C$10, $C$13, 100%, $E$13) + CHOOSE(CONTROL!$C$29, 0.0021, 0)</f>
        <v>153.822269411972</v>
      </c>
    </row>
    <row r="220" spans="1:5" ht="15">
      <c r="A220" s="13">
        <v>47818</v>
      </c>
      <c r="B220" s="4">
        <f>23.9397 * CHOOSE(CONTROL!$C$10, $C$13, 100%, $E$13) + CHOOSE(CONTROL!$C$29, 0.0274, 0)</f>
        <v>23.967099999999999</v>
      </c>
      <c r="C220" s="4">
        <f>23.7834 * CHOOSE(CONTROL!$C$10, $C$13, 100%, $E$13) + CHOOSE(CONTROL!$C$29, 0.0274, 0)</f>
        <v>23.8108</v>
      </c>
      <c r="D220" s="4">
        <f>34.2903 * CHOOSE(CONTROL!$C$10, $C$13, 100%, $E$13) + CHOOSE(CONTROL!$C$29, 0.0021, 0)</f>
        <v>34.292400000000001</v>
      </c>
      <c r="E220" s="4">
        <f>151.411141383982 * CHOOSE(CONTROL!$C$10, $C$13, 100%, $E$13) + CHOOSE(CONTROL!$C$29, 0.0021, 0)</f>
        <v>151.41324138398201</v>
      </c>
    </row>
    <row r="221" spans="1:5" ht="15">
      <c r="A221" s="13">
        <v>47849</v>
      </c>
      <c r="B221" s="4">
        <f>22.9671 * CHOOSE(CONTROL!$C$10, $C$13, 100%, $E$13) + CHOOSE(CONTROL!$C$29, 0.0274, 0)</f>
        <v>22.994499999999999</v>
      </c>
      <c r="C221" s="4">
        <f>22.8108 * CHOOSE(CONTROL!$C$10, $C$13, 100%, $E$13) + CHOOSE(CONTROL!$C$29, 0.0274, 0)</f>
        <v>22.838200000000001</v>
      </c>
      <c r="D221" s="4">
        <f>32.9204 * CHOOSE(CONTROL!$C$10, $C$13, 100%, $E$13) + CHOOSE(CONTROL!$C$29, 0.0021, 0)</f>
        <v>32.922499999999999</v>
      </c>
      <c r="E221" s="4">
        <f>145.104252099775 * CHOOSE(CONTROL!$C$10, $C$13, 100%, $E$13) + CHOOSE(CONTROL!$C$29, 0.0021, 0)</f>
        <v>145.10635209977502</v>
      </c>
    </row>
    <row r="222" spans="1:5" ht="15">
      <c r="A222" s="13">
        <v>47880</v>
      </c>
      <c r="B222" s="4">
        <f>23.4978 * CHOOSE(CONTROL!$C$10, $C$13, 100%, $E$13) + CHOOSE(CONTROL!$C$29, 0.0274, 0)</f>
        <v>23.525200000000002</v>
      </c>
      <c r="C222" s="4">
        <f>23.3415 * CHOOSE(CONTROL!$C$10, $C$13, 100%, $E$13) + CHOOSE(CONTROL!$C$29, 0.0274, 0)</f>
        <v>23.3689</v>
      </c>
      <c r="D222" s="4">
        <f>34.0119 * CHOOSE(CONTROL!$C$10, $C$13, 100%, $E$13) + CHOOSE(CONTROL!$C$29, 0.0021, 0)</f>
        <v>34.013999999999996</v>
      </c>
      <c r="E222" s="4">
        <f>148.54959888734 * CHOOSE(CONTROL!$C$10, $C$13, 100%, $E$13) + CHOOSE(CONTROL!$C$29, 0.0021, 0)</f>
        <v>148.55169888734002</v>
      </c>
    </row>
    <row r="223" spans="1:5" ht="15">
      <c r="A223" s="13">
        <v>47908</v>
      </c>
      <c r="B223" s="4">
        <f>24.8913 * CHOOSE(CONTROL!$C$10, $C$13, 100%, $E$13) + CHOOSE(CONTROL!$C$29, 0.0274, 0)</f>
        <v>24.918700000000001</v>
      </c>
      <c r="C223" s="4">
        <f>24.7351 * CHOOSE(CONTROL!$C$10, $C$13, 100%, $E$13) + CHOOSE(CONTROL!$C$29, 0.0274, 0)</f>
        <v>24.762499999999999</v>
      </c>
      <c r="D223" s="4">
        <f>35.7205 * CHOOSE(CONTROL!$C$10, $C$13, 100%, $E$13) + CHOOSE(CONTROL!$C$29, 0.0021, 0)</f>
        <v>35.7226</v>
      </c>
      <c r="E223" s="4">
        <f>157.597262648336 * CHOOSE(CONTROL!$C$10, $C$13, 100%, $E$13) + CHOOSE(CONTROL!$C$29, 0.0021, 0)</f>
        <v>157.59936264833601</v>
      </c>
    </row>
    <row r="224" spans="1:5" ht="15">
      <c r="A224" s="13">
        <v>47939</v>
      </c>
      <c r="B224" s="4">
        <f>25.8815 * CHOOSE(CONTROL!$C$10, $C$13, 100%, $E$13) + CHOOSE(CONTROL!$C$29, 0.0274, 0)</f>
        <v>25.908899999999999</v>
      </c>
      <c r="C224" s="4">
        <f>25.7252 * CHOOSE(CONTROL!$C$10, $C$13, 100%, $E$13) + CHOOSE(CONTROL!$C$29, 0.0274, 0)</f>
        <v>25.752600000000001</v>
      </c>
      <c r="D224" s="4">
        <f>36.7048 * CHOOSE(CONTROL!$C$10, $C$13, 100%, $E$13) + CHOOSE(CONTROL!$C$29, 0.0021, 0)</f>
        <v>36.706899999999997</v>
      </c>
      <c r="E224" s="4">
        <f>164.025748326496 * CHOOSE(CONTROL!$C$10, $C$13, 100%, $E$13) + CHOOSE(CONTROL!$C$29, 0.0021, 0)</f>
        <v>164.02784832649601</v>
      </c>
    </row>
    <row r="225" spans="1:5" ht="15">
      <c r="A225" s="13">
        <v>47969</v>
      </c>
      <c r="B225" s="4">
        <f>26.4865 * CHOOSE(CONTROL!$C$10, $C$13, 100%, $E$13) + CHOOSE(CONTROL!$C$29, 0.0274, 0)</f>
        <v>26.5139</v>
      </c>
      <c r="C225" s="4">
        <f>26.3302 * CHOOSE(CONTROL!$C$10, $C$13, 100%, $E$13) + CHOOSE(CONTROL!$C$29, 0.0274, 0)</f>
        <v>26.357600000000001</v>
      </c>
      <c r="D225" s="4">
        <f>36.3158 * CHOOSE(CONTROL!$C$10, $C$13, 100%, $E$13) + CHOOSE(CONTROL!$C$29, 0.0021, 0)</f>
        <v>36.317900000000002</v>
      </c>
      <c r="E225" s="4">
        <f>167.953399006553 * CHOOSE(CONTROL!$C$10, $C$13, 100%, $E$13) + CHOOSE(CONTROL!$C$29, 0.0021, 0)</f>
        <v>167.95549900655303</v>
      </c>
    </row>
    <row r="226" spans="1:5" ht="15">
      <c r="A226" s="13">
        <v>48000</v>
      </c>
      <c r="B226" s="4">
        <f>26.5683 * CHOOSE(CONTROL!$C$10, $C$13, 100%, $E$13) + CHOOSE(CONTROL!$C$29, 0.0274, 0)</f>
        <v>26.595700000000001</v>
      </c>
      <c r="C226" s="4">
        <f>26.4121 * CHOOSE(CONTROL!$C$10, $C$13, 100%, $E$13) + CHOOSE(CONTROL!$C$29, 0.0274, 0)</f>
        <v>26.439499999999999</v>
      </c>
      <c r="D226" s="4">
        <f>36.6326 * CHOOSE(CONTROL!$C$10, $C$13, 100%, $E$13) + CHOOSE(CONTROL!$C$29, 0.0021, 0)</f>
        <v>36.634699999999995</v>
      </c>
      <c r="E226" s="4">
        <f>168.48482644365 * CHOOSE(CONTROL!$C$10, $C$13, 100%, $E$13) + CHOOSE(CONTROL!$C$29, 0.0021, 0)</f>
        <v>168.48692644365002</v>
      </c>
    </row>
    <row r="227" spans="1:5" ht="15">
      <c r="A227" s="13">
        <v>48030</v>
      </c>
      <c r="B227" s="4">
        <f>26.5601 * CHOOSE(CONTROL!$C$10, $C$13, 100%, $E$13) + CHOOSE(CONTROL!$C$29, 0.0274, 0)</f>
        <v>26.587499999999999</v>
      </c>
      <c r="C227" s="4">
        <f>26.4038 * CHOOSE(CONTROL!$C$10, $C$13, 100%, $E$13) + CHOOSE(CONTROL!$C$29, 0.0274, 0)</f>
        <v>26.4312</v>
      </c>
      <c r="D227" s="4">
        <f>37.2041 * CHOOSE(CONTROL!$C$10, $C$13, 100%, $E$13) + CHOOSE(CONTROL!$C$29, 0.0021, 0)</f>
        <v>37.206199999999995</v>
      </c>
      <c r="E227" s="4">
        <f>168.431237122262 * CHOOSE(CONTROL!$C$10, $C$13, 100%, $E$13) + CHOOSE(CONTROL!$C$29, 0.0021, 0)</f>
        <v>168.433337122262</v>
      </c>
    </row>
    <row r="228" spans="1:5" ht="15">
      <c r="A228" s="13">
        <v>48061</v>
      </c>
      <c r="B228" s="4">
        <f>27.1812 * CHOOSE(CONTROL!$C$10, $C$13, 100%, $E$13) + CHOOSE(CONTROL!$C$29, 0.0274, 0)</f>
        <v>27.208600000000001</v>
      </c>
      <c r="C228" s="4">
        <f>27.0249 * CHOOSE(CONTROL!$C$10, $C$13, 100%, $E$13) + CHOOSE(CONTROL!$C$29, 0.0274, 0)</f>
        <v>27.052299999999999</v>
      </c>
      <c r="D228" s="4">
        <f>36.8267 * CHOOSE(CONTROL!$C$10, $C$13, 100%, $E$13) + CHOOSE(CONTROL!$C$29, 0.0021, 0)</f>
        <v>36.828800000000001</v>
      </c>
      <c r="E228" s="4">
        <f>172.463833556704 * CHOOSE(CONTROL!$C$10, $C$13, 100%, $E$13) + CHOOSE(CONTROL!$C$29, 0.0021, 0)</f>
        <v>172.46593355670402</v>
      </c>
    </row>
    <row r="229" spans="1:5" ht="15">
      <c r="A229" s="13">
        <v>48092</v>
      </c>
      <c r="B229" s="4">
        <f>26.1226 * CHOOSE(CONTROL!$C$10, $C$13, 100%, $E$13) + CHOOSE(CONTROL!$C$29, 0.0274, 0)</f>
        <v>26.15</v>
      </c>
      <c r="C229" s="4">
        <f>25.9663 * CHOOSE(CONTROL!$C$10, $C$13, 100%, $E$13) + CHOOSE(CONTROL!$C$29, 0.0274, 0)</f>
        <v>25.9937</v>
      </c>
      <c r="D229" s="4">
        <f>36.6483 * CHOOSE(CONTROL!$C$10, $C$13, 100%, $E$13) + CHOOSE(CONTROL!$C$29, 0.0021, 0)</f>
        <v>36.650399999999998</v>
      </c>
      <c r="E229" s="4">
        <f>165.591003088702 * CHOOSE(CONTROL!$C$10, $C$13, 100%, $E$13) + CHOOSE(CONTROL!$C$29, 0.0021, 0)</f>
        <v>165.59310308870201</v>
      </c>
    </row>
    <row r="230" spans="1:5" ht="15">
      <c r="A230" s="13">
        <v>48122</v>
      </c>
      <c r="B230" s="4">
        <f>25.2752 * CHOOSE(CONTROL!$C$10, $C$13, 100%, $E$13) + CHOOSE(CONTROL!$C$29, 0.0274, 0)</f>
        <v>25.302600000000002</v>
      </c>
      <c r="C230" s="4">
        <f>25.1189 * CHOOSE(CONTROL!$C$10, $C$13, 100%, $E$13) + CHOOSE(CONTROL!$C$29, 0.0274, 0)</f>
        <v>25.1463</v>
      </c>
      <c r="D230" s="4">
        <f>36.1709 * CHOOSE(CONTROL!$C$10, $C$13, 100%, $E$13) + CHOOSE(CONTROL!$C$29, 0.0021, 0)</f>
        <v>36.173000000000002</v>
      </c>
      <c r="E230" s="4">
        <f>160.089166092874 * CHOOSE(CONTROL!$C$10, $C$13, 100%, $E$13) + CHOOSE(CONTROL!$C$29, 0.0021, 0)</f>
        <v>160.09126609287401</v>
      </c>
    </row>
    <row r="231" spans="1:5" ht="15">
      <c r="A231" s="13">
        <v>48153</v>
      </c>
      <c r="B231" s="4">
        <f>24.7294 * CHOOSE(CONTROL!$C$10, $C$13, 100%, $E$13) + CHOOSE(CONTROL!$C$29, 0.0274, 0)</f>
        <v>24.756799999999998</v>
      </c>
      <c r="C231" s="4">
        <f>24.5731 * CHOOSE(CONTROL!$C$10, $C$13, 100%, $E$13) + CHOOSE(CONTROL!$C$29, 0.0274, 0)</f>
        <v>24.6005</v>
      </c>
      <c r="D231" s="4">
        <f>36.0067 * CHOOSE(CONTROL!$C$10, $C$13, 100%, $E$13) + CHOOSE(CONTROL!$C$29, 0.0021, 0)</f>
        <v>36.008800000000001</v>
      </c>
      <c r="E231" s="4">
        <f>156.545572216098 * CHOOSE(CONTROL!$C$10, $C$13, 100%, $E$13) + CHOOSE(CONTROL!$C$29, 0.0021, 0)</f>
        <v>156.54767221609802</v>
      </c>
    </row>
    <row r="232" spans="1:5" ht="15">
      <c r="A232" s="13">
        <v>48183</v>
      </c>
      <c r="B232" s="4">
        <f>24.3517 * CHOOSE(CONTROL!$C$10, $C$13, 100%, $E$13) + CHOOSE(CONTROL!$C$29, 0.0274, 0)</f>
        <v>24.379100000000001</v>
      </c>
      <c r="C232" s="4">
        <f>24.1955 * CHOOSE(CONTROL!$C$10, $C$13, 100%, $E$13) + CHOOSE(CONTROL!$C$29, 0.0274, 0)</f>
        <v>24.222899999999999</v>
      </c>
      <c r="D232" s="4">
        <f>34.7981 * CHOOSE(CONTROL!$C$10, $C$13, 100%, $E$13) + CHOOSE(CONTROL!$C$29, 0.0021, 0)</f>
        <v>34.800199999999997</v>
      </c>
      <c r="E232" s="4">
        <f>154.0938607626 * CHOOSE(CONTROL!$C$10, $C$13, 100%, $E$13) + CHOOSE(CONTROL!$C$29, 0.0021, 0)</f>
        <v>154.09596076260001</v>
      </c>
    </row>
    <row r="233" spans="1:5" ht="15">
      <c r="A233" s="13">
        <v>48214</v>
      </c>
      <c r="B233" s="4">
        <f>23.362 * CHOOSE(CONTROL!$C$10, $C$13, 100%, $E$13) + CHOOSE(CONTROL!$C$29, 0.0274, 0)</f>
        <v>23.389399999999998</v>
      </c>
      <c r="C233" s="4">
        <f>23.2057 * CHOOSE(CONTROL!$C$10, $C$13, 100%, $E$13) + CHOOSE(CONTROL!$C$29, 0.0274, 0)</f>
        <v>23.2331</v>
      </c>
      <c r="D233" s="4">
        <f>33.4067 * CHOOSE(CONTROL!$C$10, $C$13, 100%, $E$13) + CHOOSE(CONTROL!$C$29, 0.0021, 0)</f>
        <v>33.408799999999999</v>
      </c>
      <c r="E233" s="4">
        <f>147.675225315284 * CHOOSE(CONTROL!$C$10, $C$13, 100%, $E$13) + CHOOSE(CONTROL!$C$29, 0.0021, 0)</f>
        <v>147.67732531528401</v>
      </c>
    </row>
    <row r="234" spans="1:5" ht="15">
      <c r="A234" s="13">
        <v>48245</v>
      </c>
      <c r="B234" s="4">
        <f>23.902 * CHOOSE(CONTROL!$C$10, $C$13, 100%, $E$13) + CHOOSE(CONTROL!$C$29, 0.0274, 0)</f>
        <v>23.929400000000001</v>
      </c>
      <c r="C234" s="4">
        <f>23.7458 * CHOOSE(CONTROL!$C$10, $C$13, 100%, $E$13) + CHOOSE(CONTROL!$C$29, 0.0274, 0)</f>
        <v>23.773199999999999</v>
      </c>
      <c r="D234" s="4">
        <f>34.5154 * CHOOSE(CONTROL!$C$10, $C$13, 100%, $E$13) + CHOOSE(CONTROL!$C$29, 0.0021, 0)</f>
        <v>34.517499999999998</v>
      </c>
      <c r="E234" s="4">
        <f>151.181617138959 * CHOOSE(CONTROL!$C$10, $C$13, 100%, $E$13) + CHOOSE(CONTROL!$C$29, 0.0021, 0)</f>
        <v>151.18371713895903</v>
      </c>
    </row>
    <row r="235" spans="1:5" ht="15">
      <c r="A235" s="13">
        <v>48274</v>
      </c>
      <c r="B235" s="4">
        <f>25.3202 * CHOOSE(CONTROL!$C$10, $C$13, 100%, $E$13) + CHOOSE(CONTROL!$C$29, 0.0274, 0)</f>
        <v>25.3476</v>
      </c>
      <c r="C235" s="4">
        <f>25.164 * CHOOSE(CONTROL!$C$10, $C$13, 100%, $E$13) + CHOOSE(CONTROL!$C$29, 0.0274, 0)</f>
        <v>25.191400000000002</v>
      </c>
      <c r="D235" s="4">
        <f>36.2509 * CHOOSE(CONTROL!$C$10, $C$13, 100%, $E$13) + CHOOSE(CONTROL!$C$29, 0.0021, 0)</f>
        <v>36.253</v>
      </c>
      <c r="E235" s="4">
        <f>160.389588408906 * CHOOSE(CONTROL!$C$10, $C$13, 100%, $E$13) + CHOOSE(CONTROL!$C$29, 0.0021, 0)</f>
        <v>160.39168840890602</v>
      </c>
    </row>
    <row r="236" spans="1:5" ht="15">
      <c r="A236" s="13">
        <v>48305</v>
      </c>
      <c r="B236" s="4">
        <f>26.3279 * CHOOSE(CONTROL!$C$10, $C$13, 100%, $E$13) + CHOOSE(CONTROL!$C$29, 0.0274, 0)</f>
        <v>26.3553</v>
      </c>
      <c r="C236" s="4">
        <f>26.1716 * CHOOSE(CONTROL!$C$10, $C$13, 100%, $E$13) + CHOOSE(CONTROL!$C$29, 0.0274, 0)</f>
        <v>26.199000000000002</v>
      </c>
      <c r="D236" s="4">
        <f>37.2506 * CHOOSE(CONTROL!$C$10, $C$13, 100%, $E$13) + CHOOSE(CONTROL!$C$29, 0.0021, 0)</f>
        <v>37.252699999999997</v>
      </c>
      <c r="E236" s="4">
        <f>166.931974708555 * CHOOSE(CONTROL!$C$10, $C$13, 100%, $E$13) + CHOOSE(CONTROL!$C$29, 0.0021, 0)</f>
        <v>166.93407470855502</v>
      </c>
    </row>
    <row r="237" spans="1:5" ht="15">
      <c r="A237" s="13">
        <v>48335</v>
      </c>
      <c r="B237" s="4">
        <f>26.9435 * CHOOSE(CONTROL!$C$10, $C$13, 100%, $E$13) + CHOOSE(CONTROL!$C$29, 0.0274, 0)</f>
        <v>26.9709</v>
      </c>
      <c r="C237" s="4">
        <f>26.7873 * CHOOSE(CONTROL!$C$10, $C$13, 100%, $E$13) + CHOOSE(CONTROL!$C$29, 0.0274, 0)</f>
        <v>26.814699999999998</v>
      </c>
      <c r="D237" s="4">
        <f>36.8555 * CHOOSE(CONTROL!$C$10, $C$13, 100%, $E$13) + CHOOSE(CONTROL!$C$29, 0.0021, 0)</f>
        <v>36.857599999999998</v>
      </c>
      <c r="E237" s="4">
        <f>170.929215938525 * CHOOSE(CONTROL!$C$10, $C$13, 100%, $E$13) + CHOOSE(CONTROL!$C$29, 0.0021, 0)</f>
        <v>170.93131593852502</v>
      </c>
    </row>
    <row r="238" spans="1:5" ht="15">
      <c r="A238" s="13">
        <v>48366</v>
      </c>
      <c r="B238" s="4">
        <f>27.0268 * CHOOSE(CONTROL!$C$10, $C$13, 100%, $E$13) + CHOOSE(CONTROL!$C$29, 0.0274, 0)</f>
        <v>27.054200000000002</v>
      </c>
      <c r="C238" s="4">
        <f>26.8706 * CHOOSE(CONTROL!$C$10, $C$13, 100%, $E$13) + CHOOSE(CONTROL!$C$29, 0.0274, 0)</f>
        <v>26.898</v>
      </c>
      <c r="D238" s="4">
        <f>37.1773 * CHOOSE(CONTROL!$C$10, $C$13, 100%, $E$13) + CHOOSE(CONTROL!$C$29, 0.0021, 0)</f>
        <v>37.179400000000001</v>
      </c>
      <c r="E238" s="4">
        <f>171.470059265832 * CHOOSE(CONTROL!$C$10, $C$13, 100%, $E$13) + CHOOSE(CONTROL!$C$29, 0.0021, 0)</f>
        <v>171.472159265832</v>
      </c>
    </row>
    <row r="239" spans="1:5" ht="15">
      <c r="A239" s="13">
        <v>48396</v>
      </c>
      <c r="B239" s="4">
        <f>27.0184 * CHOOSE(CONTROL!$C$10, $C$13, 100%, $E$13) + CHOOSE(CONTROL!$C$29, 0.0274, 0)</f>
        <v>27.0458</v>
      </c>
      <c r="C239" s="4">
        <f>26.8622 * CHOOSE(CONTROL!$C$10, $C$13, 100%, $E$13) + CHOOSE(CONTROL!$C$29, 0.0274, 0)</f>
        <v>26.889600000000002</v>
      </c>
      <c r="D239" s="4">
        <f>37.7578 * CHOOSE(CONTROL!$C$10, $C$13, 100%, $E$13) + CHOOSE(CONTROL!$C$29, 0.0021, 0)</f>
        <v>37.759900000000002</v>
      </c>
      <c r="E239" s="4">
        <f>171.41552044291 * CHOOSE(CONTROL!$C$10, $C$13, 100%, $E$13) + CHOOSE(CONTROL!$C$29, 0.0021, 0)</f>
        <v>171.41762044291002</v>
      </c>
    </row>
    <row r="240" spans="1:5" ht="15">
      <c r="A240" s="13">
        <v>48427</v>
      </c>
      <c r="B240" s="4">
        <f>27.6505 * CHOOSE(CONTROL!$C$10, $C$13, 100%, $E$13) + CHOOSE(CONTROL!$C$29, 0.0274, 0)</f>
        <v>27.677900000000001</v>
      </c>
      <c r="C240" s="4">
        <f>27.4943 * CHOOSE(CONTROL!$C$10, $C$13, 100%, $E$13) + CHOOSE(CONTROL!$C$29, 0.0274, 0)</f>
        <v>27.521699999999999</v>
      </c>
      <c r="D240" s="4">
        <f>37.3744 * CHOOSE(CONTROL!$C$10, $C$13, 100%, $E$13) + CHOOSE(CONTROL!$C$29, 0.0021, 0)</f>
        <v>37.3765</v>
      </c>
      <c r="E240" s="4">
        <f>175.519566867768 * CHOOSE(CONTROL!$C$10, $C$13, 100%, $E$13) + CHOOSE(CONTROL!$C$29, 0.0021, 0)</f>
        <v>175.521666867768</v>
      </c>
    </row>
    <row r="241" spans="1:5" ht="15">
      <c r="A241" s="13">
        <v>48458</v>
      </c>
      <c r="B241" s="4">
        <f>26.5732 * CHOOSE(CONTROL!$C$10, $C$13, 100%, $E$13) + CHOOSE(CONTROL!$C$29, 0.0274, 0)</f>
        <v>26.6006</v>
      </c>
      <c r="C241" s="4">
        <f>26.417 * CHOOSE(CONTROL!$C$10, $C$13, 100%, $E$13) + CHOOSE(CONTROL!$C$29, 0.0274, 0)</f>
        <v>26.444400000000002</v>
      </c>
      <c r="D241" s="4">
        <f>37.1933 * CHOOSE(CONTROL!$C$10, $C$13, 100%, $E$13) + CHOOSE(CONTROL!$C$29, 0.0021, 0)</f>
        <v>37.195399999999999</v>
      </c>
      <c r="E241" s="4">
        <f>168.52496282806 * CHOOSE(CONTROL!$C$10, $C$13, 100%, $E$13) + CHOOSE(CONTROL!$C$29, 0.0021, 0)</f>
        <v>168.52706282806002</v>
      </c>
    </row>
    <row r="242" spans="1:5" ht="15">
      <c r="A242" s="13">
        <v>48488</v>
      </c>
      <c r="B242" s="4">
        <f>25.7108 * CHOOSE(CONTROL!$C$10, $C$13, 100%, $E$13) + CHOOSE(CONTROL!$C$29, 0.0274, 0)</f>
        <v>25.738199999999999</v>
      </c>
      <c r="C242" s="4">
        <f>25.5546 * CHOOSE(CONTROL!$C$10, $C$13, 100%, $E$13) + CHOOSE(CONTROL!$C$29, 0.0274, 0)</f>
        <v>25.582000000000001</v>
      </c>
      <c r="D242" s="4">
        <f>36.7083 * CHOOSE(CONTROL!$C$10, $C$13, 100%, $E$13) + CHOOSE(CONTROL!$C$29, 0.0021, 0)</f>
        <v>36.7104</v>
      </c>
      <c r="E242" s="4">
        <f>162.925643674765 * CHOOSE(CONTROL!$C$10, $C$13, 100%, $E$13) + CHOOSE(CONTROL!$C$29, 0.0021, 0)</f>
        <v>162.92774367476503</v>
      </c>
    </row>
    <row r="243" spans="1:5" ht="15">
      <c r="A243" s="13">
        <v>48519</v>
      </c>
      <c r="B243" s="4">
        <f>25.1554 * CHOOSE(CONTROL!$C$10, $C$13, 100%, $E$13) + CHOOSE(CONTROL!$C$29, 0.0274, 0)</f>
        <v>25.1828</v>
      </c>
      <c r="C243" s="4">
        <f>24.9991 * CHOOSE(CONTROL!$C$10, $C$13, 100%, $E$13) + CHOOSE(CONTROL!$C$29, 0.0274, 0)</f>
        <v>25.026499999999999</v>
      </c>
      <c r="D243" s="4">
        <f>36.5415 * CHOOSE(CONTROL!$C$10, $C$13, 100%, $E$13) + CHOOSE(CONTROL!$C$29, 0.0021, 0)</f>
        <v>36.543599999999998</v>
      </c>
      <c r="E243" s="4">
        <f>159.319264009068 * CHOOSE(CONTROL!$C$10, $C$13, 100%, $E$13) + CHOOSE(CONTROL!$C$29, 0.0021, 0)</f>
        <v>159.32136400906802</v>
      </c>
    </row>
    <row r="244" spans="1:5" ht="15">
      <c r="A244" s="13">
        <v>48549</v>
      </c>
      <c r="B244" s="4">
        <f>24.7711 * CHOOSE(CONTROL!$C$10, $C$13, 100%, $E$13) + CHOOSE(CONTROL!$C$29, 0.0274, 0)</f>
        <v>24.798500000000001</v>
      </c>
      <c r="C244" s="4">
        <f>24.6148 * CHOOSE(CONTROL!$C$10, $C$13, 100%, $E$13) + CHOOSE(CONTROL!$C$29, 0.0274, 0)</f>
        <v>24.642199999999999</v>
      </c>
      <c r="D244" s="4">
        <f>35.314 * CHOOSE(CONTROL!$C$10, $C$13, 100%, $E$13) + CHOOSE(CONTROL!$C$29, 0.0021, 0)</f>
        <v>35.316099999999999</v>
      </c>
      <c r="E244" s="4">
        <f>156.8241128604 * CHOOSE(CONTROL!$C$10, $C$13, 100%, $E$13) + CHOOSE(CONTROL!$C$29, 0.0021, 0)</f>
        <v>156.82621286040001</v>
      </c>
    </row>
    <row r="245" spans="1:5" ht="15">
      <c r="A245" s="13">
        <v>48580</v>
      </c>
      <c r="B245" s="4">
        <f>23.7638 * CHOOSE(CONTROL!$C$10, $C$13, 100%, $E$13) + CHOOSE(CONTROL!$C$29, 0.0274, 0)</f>
        <v>23.7912</v>
      </c>
      <c r="C245" s="4">
        <f>23.6076 * CHOOSE(CONTROL!$C$10, $C$13, 100%, $E$13) + CHOOSE(CONTROL!$C$29, 0.0274, 0)</f>
        <v>23.635000000000002</v>
      </c>
      <c r="D245" s="4">
        <f>33.9007 * CHOOSE(CONTROL!$C$10, $C$13, 100%, $E$13) + CHOOSE(CONTROL!$C$29, 0.0021, 0)</f>
        <v>33.902799999999999</v>
      </c>
      <c r="E245" s="4">
        <f>150.291751319077 * CHOOSE(CONTROL!$C$10, $C$13, 100%, $E$13) + CHOOSE(CONTROL!$C$29, 0.0021, 0)</f>
        <v>150.29385131907702</v>
      </c>
    </row>
    <row r="246" spans="1:5" ht="15">
      <c r="A246" s="13">
        <v>48611</v>
      </c>
      <c r="B246" s="4">
        <f>24.3134 * CHOOSE(CONTROL!$C$10, $C$13, 100%, $E$13) + CHOOSE(CONTROL!$C$29, 0.0274, 0)</f>
        <v>24.340800000000002</v>
      </c>
      <c r="C246" s="4">
        <f>24.1572 * CHOOSE(CONTROL!$C$10, $C$13, 100%, $E$13) + CHOOSE(CONTROL!$C$29, 0.0274, 0)</f>
        <v>24.1846</v>
      </c>
      <c r="D246" s="4">
        <f>35.0267 * CHOOSE(CONTROL!$C$10, $C$13, 100%, $E$13) + CHOOSE(CONTROL!$C$29, 0.0021, 0)</f>
        <v>35.028799999999997</v>
      </c>
      <c r="E246" s="4">
        <f>153.860269781573 * CHOOSE(CONTROL!$C$10, $C$13, 100%, $E$13) + CHOOSE(CONTROL!$C$29, 0.0021, 0)</f>
        <v>153.86236978157302</v>
      </c>
    </row>
    <row r="247" spans="1:5" ht="15">
      <c r="A247" s="13">
        <v>48639</v>
      </c>
      <c r="B247" s="4">
        <f>25.7567 * CHOOSE(CONTROL!$C$10, $C$13, 100%, $E$13) + CHOOSE(CONTROL!$C$29, 0.0274, 0)</f>
        <v>25.784099999999999</v>
      </c>
      <c r="C247" s="4">
        <f>25.6004 * CHOOSE(CONTROL!$C$10, $C$13, 100%, $E$13) + CHOOSE(CONTROL!$C$29, 0.0274, 0)</f>
        <v>25.627800000000001</v>
      </c>
      <c r="D247" s="4">
        <f>36.7895 * CHOOSE(CONTROL!$C$10, $C$13, 100%, $E$13) + CHOOSE(CONTROL!$C$29, 0.0021, 0)</f>
        <v>36.791599999999995</v>
      </c>
      <c r="E247" s="4">
        <f>163.231388906677 * CHOOSE(CONTROL!$C$10, $C$13, 100%, $E$13) + CHOOSE(CONTROL!$C$29, 0.0021, 0)</f>
        <v>163.23348890667702</v>
      </c>
    </row>
    <row r="248" spans="1:5" ht="15">
      <c r="A248" s="13">
        <v>48670</v>
      </c>
      <c r="B248" s="4">
        <f>26.7821 * CHOOSE(CONTROL!$C$10, $C$13, 100%, $E$13) + CHOOSE(CONTROL!$C$29, 0.0274, 0)</f>
        <v>26.8095</v>
      </c>
      <c r="C248" s="4">
        <f>26.6259 * CHOOSE(CONTROL!$C$10, $C$13, 100%, $E$13) + CHOOSE(CONTROL!$C$29, 0.0274, 0)</f>
        <v>26.653300000000002</v>
      </c>
      <c r="D248" s="4">
        <f>37.805 * CHOOSE(CONTROL!$C$10, $C$13, 100%, $E$13) + CHOOSE(CONTROL!$C$29, 0.0021, 0)</f>
        <v>37.807099999999998</v>
      </c>
      <c r="E248" s="4">
        <f>169.889693931647 * CHOOSE(CONTROL!$C$10, $C$13, 100%, $E$13) + CHOOSE(CONTROL!$C$29, 0.0021, 0)</f>
        <v>169.89179393164702</v>
      </c>
    </row>
    <row r="249" spans="1:5" ht="15">
      <c r="A249" s="13">
        <v>48700</v>
      </c>
      <c r="B249" s="4">
        <f>27.4087 * CHOOSE(CONTROL!$C$10, $C$13, 100%, $E$13) + CHOOSE(CONTROL!$C$29, 0.0274, 0)</f>
        <v>27.4361</v>
      </c>
      <c r="C249" s="4">
        <f>27.2524 * CHOOSE(CONTROL!$C$10, $C$13, 100%, $E$13) + CHOOSE(CONTROL!$C$29, 0.0274, 0)</f>
        <v>27.279800000000002</v>
      </c>
      <c r="D249" s="4">
        <f>37.4037 * CHOOSE(CONTROL!$C$10, $C$13, 100%, $E$13) + CHOOSE(CONTROL!$C$29, 0.0021, 0)</f>
        <v>37.405799999999999</v>
      </c>
      <c r="E249" s="4">
        <f>173.957758724603 * CHOOSE(CONTROL!$C$10, $C$13, 100%, $E$13) + CHOOSE(CONTROL!$C$29, 0.0021, 0)</f>
        <v>173.95985872460301</v>
      </c>
    </row>
    <row r="250" spans="1:5" ht="15">
      <c r="A250" s="13">
        <v>48731</v>
      </c>
      <c r="B250" s="4">
        <f>27.4934 * CHOOSE(CONTROL!$C$10, $C$13, 100%, $E$13) + CHOOSE(CONTROL!$C$29, 0.0274, 0)</f>
        <v>27.520800000000001</v>
      </c>
      <c r="C250" s="4">
        <f>27.3372 * CHOOSE(CONTROL!$C$10, $C$13, 100%, $E$13) + CHOOSE(CONTROL!$C$29, 0.0274, 0)</f>
        <v>27.364599999999999</v>
      </c>
      <c r="D250" s="4">
        <f>37.7305 * CHOOSE(CONTROL!$C$10, $C$13, 100%, $E$13) + CHOOSE(CONTROL!$C$29, 0.0021, 0)</f>
        <v>37.732599999999998</v>
      </c>
      <c r="E250" s="4">
        <f>174.508184773906 * CHOOSE(CONTROL!$C$10, $C$13, 100%, $E$13) + CHOOSE(CONTROL!$C$29, 0.0021, 0)</f>
        <v>174.51028477390602</v>
      </c>
    </row>
    <row r="251" spans="1:5" ht="15">
      <c r="A251" s="13">
        <v>48761</v>
      </c>
      <c r="B251" s="4">
        <f>27.4849 * CHOOSE(CONTROL!$C$10, $C$13, 100%, $E$13) + CHOOSE(CONTROL!$C$29, 0.0274, 0)</f>
        <v>27.5123</v>
      </c>
      <c r="C251" s="4">
        <f>27.3286 * CHOOSE(CONTROL!$C$10, $C$13, 100%, $E$13) + CHOOSE(CONTROL!$C$29, 0.0274, 0)</f>
        <v>27.356000000000002</v>
      </c>
      <c r="D251" s="4">
        <f>38.3201 * CHOOSE(CONTROL!$C$10, $C$13, 100%, $E$13) + CHOOSE(CONTROL!$C$29, 0.0021, 0)</f>
        <v>38.322199999999995</v>
      </c>
      <c r="E251" s="4">
        <f>174.452679626077 * CHOOSE(CONTROL!$C$10, $C$13, 100%, $E$13) + CHOOSE(CONTROL!$C$29, 0.0021, 0)</f>
        <v>174.45477962607703</v>
      </c>
    </row>
    <row r="252" spans="1:5" ht="15">
      <c r="A252" s="13">
        <v>48792</v>
      </c>
      <c r="B252" s="4">
        <f>28.1282 * CHOOSE(CONTROL!$C$10, $C$13, 100%, $E$13) + CHOOSE(CONTROL!$C$29, 0.0274, 0)</f>
        <v>28.1556</v>
      </c>
      <c r="C252" s="4">
        <f>27.9719 * CHOOSE(CONTROL!$C$10, $C$13, 100%, $E$13) + CHOOSE(CONTROL!$C$29, 0.0274, 0)</f>
        <v>27.999300000000002</v>
      </c>
      <c r="D252" s="4">
        <f>37.9307 * CHOOSE(CONTROL!$C$10, $C$13, 100%, $E$13) + CHOOSE(CONTROL!$C$29, 0.0021, 0)</f>
        <v>37.9328</v>
      </c>
      <c r="E252" s="4">
        <f>178.629442000198 * CHOOSE(CONTROL!$C$10, $C$13, 100%, $E$13) + CHOOSE(CONTROL!$C$29, 0.0021, 0)</f>
        <v>178.63154200019801</v>
      </c>
    </row>
    <row r="253" spans="1:5" ht="15">
      <c r="A253" s="13">
        <v>48823</v>
      </c>
      <c r="B253" s="4">
        <f>27.0318 * CHOOSE(CONTROL!$C$10, $C$13, 100%, $E$13) + CHOOSE(CONTROL!$C$29, 0.0274, 0)</f>
        <v>27.059200000000001</v>
      </c>
      <c r="C253" s="4">
        <f>26.8756 * CHOOSE(CONTROL!$C$10, $C$13, 100%, $E$13) + CHOOSE(CONTROL!$C$29, 0.0274, 0)</f>
        <v>26.902999999999999</v>
      </c>
      <c r="D253" s="4">
        <f>37.7468 * CHOOSE(CONTROL!$C$10, $C$13, 100%, $E$13) + CHOOSE(CONTROL!$C$29, 0.0021, 0)</f>
        <v>37.748899999999999</v>
      </c>
      <c r="E253" s="4">
        <f>171.510906791148 * CHOOSE(CONTROL!$C$10, $C$13, 100%, $E$13) + CHOOSE(CONTROL!$C$29, 0.0021, 0)</f>
        <v>171.513006791148</v>
      </c>
    </row>
    <row r="254" spans="1:5" ht="15">
      <c r="A254" s="13">
        <v>48853</v>
      </c>
      <c r="B254" s="4">
        <f>26.1542 * CHOOSE(CONTROL!$C$10, $C$13, 100%, $E$13) + CHOOSE(CONTROL!$C$29, 0.0274, 0)</f>
        <v>26.1816</v>
      </c>
      <c r="C254" s="4">
        <f>25.9979 * CHOOSE(CONTROL!$C$10, $C$13, 100%, $E$13) + CHOOSE(CONTROL!$C$29, 0.0274, 0)</f>
        <v>26.025300000000001</v>
      </c>
      <c r="D254" s="4">
        <f>37.2541 * CHOOSE(CONTROL!$C$10, $C$13, 100%, $E$13) + CHOOSE(CONTROL!$C$29, 0.0021, 0)</f>
        <v>37.2562</v>
      </c>
      <c r="E254" s="4">
        <f>165.812378280719 * CHOOSE(CONTROL!$C$10, $C$13, 100%, $E$13) + CHOOSE(CONTROL!$C$29, 0.0021, 0)</f>
        <v>165.81447828071902</v>
      </c>
    </row>
    <row r="255" spans="1:5" ht="15">
      <c r="A255" s="13">
        <v>48884</v>
      </c>
      <c r="B255" s="4">
        <f>25.5889 * CHOOSE(CONTROL!$C$10, $C$13, 100%, $E$13) + CHOOSE(CONTROL!$C$29, 0.0274, 0)</f>
        <v>25.616299999999999</v>
      </c>
      <c r="C255" s="4">
        <f>25.4327 * CHOOSE(CONTROL!$C$10, $C$13, 100%, $E$13) + CHOOSE(CONTROL!$C$29, 0.0274, 0)</f>
        <v>25.460100000000001</v>
      </c>
      <c r="D255" s="4">
        <f>37.0848 * CHOOSE(CONTROL!$C$10, $C$13, 100%, $E$13) + CHOOSE(CONTROL!$C$29, 0.0021, 0)</f>
        <v>37.0869</v>
      </c>
      <c r="E255" s="4">
        <f>162.142100380536 * CHOOSE(CONTROL!$C$10, $C$13, 100%, $E$13) + CHOOSE(CONTROL!$C$29, 0.0021, 0)</f>
        <v>162.14420038053601</v>
      </c>
    </row>
    <row r="256" spans="1:5" ht="15">
      <c r="A256" s="13">
        <v>48914</v>
      </c>
      <c r="B256" s="4">
        <f>25.1978 * CHOOSE(CONTROL!$C$10, $C$13, 100%, $E$13) + CHOOSE(CONTROL!$C$29, 0.0274, 0)</f>
        <v>25.225200000000001</v>
      </c>
      <c r="C256" s="4">
        <f>25.0416 * CHOOSE(CONTROL!$C$10, $C$13, 100%, $E$13) + CHOOSE(CONTROL!$C$29, 0.0274, 0)</f>
        <v>25.068999999999999</v>
      </c>
      <c r="D256" s="4">
        <f>35.8379 * CHOOSE(CONTROL!$C$10, $C$13, 100%, $E$13) + CHOOSE(CONTROL!$C$29, 0.0021, 0)</f>
        <v>35.839999999999996</v>
      </c>
      <c r="E256" s="4">
        <f>159.602739867366 * CHOOSE(CONTROL!$C$10, $C$13, 100%, $E$13) + CHOOSE(CONTROL!$C$29, 0.0021, 0)</f>
        <v>159.60483986736602</v>
      </c>
    </row>
    <row r="257" spans="1:5" ht="15">
      <c r="A257" s="13">
        <v>48945</v>
      </c>
      <c r="B257" s="4">
        <f>24.1728 * CHOOSE(CONTROL!$C$10, $C$13, 100%, $E$13) + CHOOSE(CONTROL!$C$29, 0.0274, 0)</f>
        <v>24.200199999999999</v>
      </c>
      <c r="C257" s="4">
        <f>24.0165 * CHOOSE(CONTROL!$C$10, $C$13, 100%, $E$13) + CHOOSE(CONTROL!$C$29, 0.0274, 0)</f>
        <v>24.043900000000001</v>
      </c>
      <c r="D257" s="4">
        <f>34.4024 * CHOOSE(CONTROL!$C$10, $C$13, 100%, $E$13) + CHOOSE(CONTROL!$C$29, 0.0021, 0)</f>
        <v>34.404499999999999</v>
      </c>
      <c r="E257" s="4">
        <f>152.954637220502 * CHOOSE(CONTROL!$C$10, $C$13, 100%, $E$13) + CHOOSE(CONTROL!$C$29, 0.0021, 0)</f>
        <v>152.95673722050202</v>
      </c>
    </row>
    <row r="258" spans="1:5" ht="15">
      <c r="A258" s="13">
        <v>48976</v>
      </c>
      <c r="B258" s="4">
        <f>24.7321 * CHOOSE(CONTROL!$C$10, $C$13, 100%, $E$13) + CHOOSE(CONTROL!$C$29, 0.0274, 0)</f>
        <v>24.759499999999999</v>
      </c>
      <c r="C258" s="4">
        <f>24.5758 * CHOOSE(CONTROL!$C$10, $C$13, 100%, $E$13) + CHOOSE(CONTROL!$C$29, 0.0274, 0)</f>
        <v>24.603200000000001</v>
      </c>
      <c r="D258" s="4">
        <f>35.5462 * CHOOSE(CONTROL!$C$10, $C$13, 100%, $E$13) + CHOOSE(CONTROL!$C$29, 0.0021, 0)</f>
        <v>35.548299999999998</v>
      </c>
      <c r="E258" s="4">
        <f>156.586383088491 * CHOOSE(CONTROL!$C$10, $C$13, 100%, $E$13) + CHOOSE(CONTROL!$C$29, 0.0021, 0)</f>
        <v>156.58848308849102</v>
      </c>
    </row>
    <row r="259" spans="1:5" ht="15">
      <c r="A259" s="13">
        <v>49004</v>
      </c>
      <c r="B259" s="4">
        <f>26.2009 * CHOOSE(CONTROL!$C$10, $C$13, 100%, $E$13) + CHOOSE(CONTROL!$C$29, 0.0274, 0)</f>
        <v>26.228300000000001</v>
      </c>
      <c r="C259" s="4">
        <f>26.0446 * CHOOSE(CONTROL!$C$10, $C$13, 100%, $E$13) + CHOOSE(CONTROL!$C$29, 0.0274, 0)</f>
        <v>26.071999999999999</v>
      </c>
      <c r="D259" s="4">
        <f>37.3367 * CHOOSE(CONTROL!$C$10, $C$13, 100%, $E$13) + CHOOSE(CONTROL!$C$29, 0.0021, 0)</f>
        <v>37.338799999999999</v>
      </c>
      <c r="E259" s="4">
        <f>166.123540740525 * CHOOSE(CONTROL!$C$10, $C$13, 100%, $E$13) + CHOOSE(CONTROL!$C$29, 0.0021, 0)</f>
        <v>166.125640740525</v>
      </c>
    </row>
    <row r="260" spans="1:5" ht="15">
      <c r="A260" s="13">
        <v>49035</v>
      </c>
      <c r="B260" s="4">
        <f>27.2444 * CHOOSE(CONTROL!$C$10, $C$13, 100%, $E$13) + CHOOSE(CONTROL!$C$29, 0.0274, 0)</f>
        <v>27.271799999999999</v>
      </c>
      <c r="C260" s="4">
        <f>27.0882 * CHOOSE(CONTROL!$C$10, $C$13, 100%, $E$13) + CHOOSE(CONTROL!$C$29, 0.0274, 0)</f>
        <v>27.115600000000001</v>
      </c>
      <c r="D260" s="4">
        <f>38.3681 * CHOOSE(CONTROL!$C$10, $C$13, 100%, $E$13) + CHOOSE(CONTROL!$C$29, 0.0021, 0)</f>
        <v>38.370199999999997</v>
      </c>
      <c r="E260" s="4">
        <f>172.899818351633 * CHOOSE(CONTROL!$C$10, $C$13, 100%, $E$13) + CHOOSE(CONTROL!$C$29, 0.0021, 0)</f>
        <v>172.90191835163301</v>
      </c>
    </row>
    <row r="261" spans="1:5" ht="15">
      <c r="A261" s="13">
        <v>49065</v>
      </c>
      <c r="B261" s="4">
        <f>27.882 * CHOOSE(CONTROL!$C$10, $C$13, 100%, $E$13) + CHOOSE(CONTROL!$C$29, 0.0274, 0)</f>
        <v>27.909400000000002</v>
      </c>
      <c r="C261" s="4">
        <f>27.7258 * CHOOSE(CONTROL!$C$10, $C$13, 100%, $E$13) + CHOOSE(CONTROL!$C$29, 0.0274, 0)</f>
        <v>27.7532</v>
      </c>
      <c r="D261" s="4">
        <f>37.9605 * CHOOSE(CONTROL!$C$10, $C$13, 100%, $E$13) + CHOOSE(CONTROL!$C$29, 0.0021, 0)</f>
        <v>37.962600000000002</v>
      </c>
      <c r="E261" s="4">
        <f>177.039961567311 * CHOOSE(CONTROL!$C$10, $C$13, 100%, $E$13) + CHOOSE(CONTROL!$C$29, 0.0021, 0)</f>
        <v>177.04206156731101</v>
      </c>
    </row>
    <row r="262" spans="1:5" ht="15">
      <c r="A262" s="13">
        <v>49096</v>
      </c>
      <c r="B262" s="4">
        <f>27.9683 * CHOOSE(CONTROL!$C$10, $C$13, 100%, $E$13) + CHOOSE(CONTROL!$C$29, 0.0274, 0)</f>
        <v>27.995699999999999</v>
      </c>
      <c r="C262" s="4">
        <f>27.812 * CHOOSE(CONTROL!$C$10, $C$13, 100%, $E$13) + CHOOSE(CONTROL!$C$29, 0.0274, 0)</f>
        <v>27.839400000000001</v>
      </c>
      <c r="D262" s="4">
        <f>38.2924 * CHOOSE(CONTROL!$C$10, $C$13, 100%, $E$13) + CHOOSE(CONTROL!$C$29, 0.0021, 0)</f>
        <v>38.294499999999999</v>
      </c>
      <c r="E262" s="4">
        <f>177.60014012634 * CHOOSE(CONTROL!$C$10, $C$13, 100%, $E$13) + CHOOSE(CONTROL!$C$29, 0.0021, 0)</f>
        <v>177.60224012634001</v>
      </c>
    </row>
    <row r="263" spans="1:5" ht="15">
      <c r="A263" s="13">
        <v>49126</v>
      </c>
      <c r="B263" s="4">
        <f>27.9596 * CHOOSE(CONTROL!$C$10, $C$13, 100%, $E$13) + CHOOSE(CONTROL!$C$29, 0.0274, 0)</f>
        <v>27.986999999999998</v>
      </c>
      <c r="C263" s="4">
        <f>27.8033 * CHOOSE(CONTROL!$C$10, $C$13, 100%, $E$13) + CHOOSE(CONTROL!$C$29, 0.0274, 0)</f>
        <v>27.8307</v>
      </c>
      <c r="D263" s="4">
        <f>38.8914 * CHOOSE(CONTROL!$C$10, $C$13, 100%, $E$13) + CHOOSE(CONTROL!$C$29, 0.0021, 0)</f>
        <v>38.893499999999996</v>
      </c>
      <c r="E263" s="4">
        <f>177.543651532152 * CHOOSE(CONTROL!$C$10, $C$13, 100%, $E$13) + CHOOSE(CONTROL!$C$29, 0.0021, 0)</f>
        <v>177.54575153215202</v>
      </c>
    </row>
    <row r="264" spans="1:5" ht="15">
      <c r="A264" s="13">
        <v>49157</v>
      </c>
      <c r="B264" s="4">
        <f>28.6142 * CHOOSE(CONTROL!$C$10, $C$13, 100%, $E$13) + CHOOSE(CONTROL!$C$29, 0.0274, 0)</f>
        <v>28.6416</v>
      </c>
      <c r="C264" s="4">
        <f>28.458 * CHOOSE(CONTROL!$C$10, $C$13, 100%, $E$13) + CHOOSE(CONTROL!$C$29, 0.0274, 0)</f>
        <v>28.485399999999998</v>
      </c>
      <c r="D264" s="4">
        <f>38.4958 * CHOOSE(CONTROL!$C$10, $C$13, 100%, $E$13) + CHOOSE(CONTROL!$C$29, 0.0021, 0)</f>
        <v>38.497900000000001</v>
      </c>
      <c r="E264" s="4">
        <f>181.794418244782 * CHOOSE(CONTROL!$C$10, $C$13, 100%, $E$13) + CHOOSE(CONTROL!$C$29, 0.0021, 0)</f>
        <v>181.79651824478202</v>
      </c>
    </row>
    <row r="265" spans="1:5" ht="15">
      <c r="A265" s="13">
        <v>49188</v>
      </c>
      <c r="B265" s="4">
        <f>27.4985 * CHOOSE(CONTROL!$C$10, $C$13, 100%, $E$13) + CHOOSE(CONTROL!$C$29, 0.0274, 0)</f>
        <v>27.5259</v>
      </c>
      <c r="C265" s="4">
        <f>27.3423 * CHOOSE(CONTROL!$C$10, $C$13, 100%, $E$13) + CHOOSE(CONTROL!$C$29, 0.0274, 0)</f>
        <v>27.369700000000002</v>
      </c>
      <c r="D265" s="4">
        <f>38.309 * CHOOSE(CONTROL!$C$10, $C$13, 100%, $E$13) + CHOOSE(CONTROL!$C$29, 0.0021, 0)</f>
        <v>38.311099999999996</v>
      </c>
      <c r="E265" s="4">
        <f>174.549756040201 * CHOOSE(CONTROL!$C$10, $C$13, 100%, $E$13) + CHOOSE(CONTROL!$C$29, 0.0021, 0)</f>
        <v>174.55185604020102</v>
      </c>
    </row>
    <row r="266" spans="1:5" ht="15">
      <c r="A266" s="13">
        <v>49218</v>
      </c>
      <c r="B266" s="4">
        <f>26.6054 * CHOOSE(CONTROL!$C$10, $C$13, 100%, $E$13) + CHOOSE(CONTROL!$C$29, 0.0274, 0)</f>
        <v>26.6328</v>
      </c>
      <c r="C266" s="4">
        <f>26.4491 * CHOOSE(CONTROL!$C$10, $C$13, 100%, $E$13) + CHOOSE(CONTROL!$C$29, 0.0274, 0)</f>
        <v>26.476500000000001</v>
      </c>
      <c r="D266" s="4">
        <f>37.8086 * CHOOSE(CONTROL!$C$10, $C$13, 100%, $E$13) + CHOOSE(CONTROL!$C$29, 0.0021, 0)</f>
        <v>37.810699999999997</v>
      </c>
      <c r="E266" s="4">
        <f>168.750260370257 * CHOOSE(CONTROL!$C$10, $C$13, 100%, $E$13) + CHOOSE(CONTROL!$C$29, 0.0021, 0)</f>
        <v>168.75236037025701</v>
      </c>
    </row>
    <row r="267" spans="1:5" ht="15">
      <c r="A267" s="13">
        <v>49249</v>
      </c>
      <c r="B267" s="4">
        <f>26.0301 * CHOOSE(CONTROL!$C$10, $C$13, 100%, $E$13) + CHOOSE(CONTROL!$C$29, 0.0274, 0)</f>
        <v>26.057500000000001</v>
      </c>
      <c r="C267" s="4">
        <f>25.8739 * CHOOSE(CONTROL!$C$10, $C$13, 100%, $E$13) + CHOOSE(CONTROL!$C$29, 0.0274, 0)</f>
        <v>25.901299999999999</v>
      </c>
      <c r="D267" s="4">
        <f>37.6366 * CHOOSE(CONTROL!$C$10, $C$13, 100%, $E$13) + CHOOSE(CONTROL!$C$29, 0.0021, 0)</f>
        <v>37.6387</v>
      </c>
      <c r="E267" s="4">
        <f>165.01495207959 * CHOOSE(CONTROL!$C$10, $C$13, 100%, $E$13) + CHOOSE(CONTROL!$C$29, 0.0021, 0)</f>
        <v>165.01705207959</v>
      </c>
    </row>
    <row r="268" spans="1:5" ht="15">
      <c r="A268" s="13">
        <v>49279</v>
      </c>
      <c r="B268" s="4">
        <f>25.6321 * CHOOSE(CONTROL!$C$10, $C$13, 100%, $E$13) + CHOOSE(CONTROL!$C$29, 0.0274, 0)</f>
        <v>25.659500000000001</v>
      </c>
      <c r="C268" s="4">
        <f>25.4759 * CHOOSE(CONTROL!$C$10, $C$13, 100%, $E$13) + CHOOSE(CONTROL!$C$29, 0.0274, 0)</f>
        <v>25.503299999999999</v>
      </c>
      <c r="D268" s="4">
        <f>36.3701 * CHOOSE(CONTROL!$C$10, $C$13, 100%, $E$13) + CHOOSE(CONTROL!$C$29, 0.0021, 0)</f>
        <v>36.372199999999999</v>
      </c>
      <c r="E268" s="4">
        <f>162.4305988955 * CHOOSE(CONTROL!$C$10, $C$13, 100%, $E$13) + CHOOSE(CONTROL!$C$29, 0.0021, 0)</f>
        <v>162.43269889550001</v>
      </c>
    </row>
    <row r="269" spans="1:5" ht="15">
      <c r="A269" s="13">
        <v>49310</v>
      </c>
      <c r="B269" s="4">
        <f>24.589 * CHOOSE(CONTROL!$C$10, $C$13, 100%, $E$13) + CHOOSE(CONTROL!$C$29, 0.0274, 0)</f>
        <v>24.616399999999999</v>
      </c>
      <c r="C269" s="4">
        <f>24.4327 * CHOOSE(CONTROL!$C$10, $C$13, 100%, $E$13) + CHOOSE(CONTROL!$C$29, 0.0274, 0)</f>
        <v>24.460100000000001</v>
      </c>
      <c r="D269" s="4">
        <f>34.912 * CHOOSE(CONTROL!$C$10, $C$13, 100%, $E$13) + CHOOSE(CONTROL!$C$29, 0.0021, 0)</f>
        <v>34.914099999999998</v>
      </c>
      <c r="E269" s="4">
        <f>155.664704429363 * CHOOSE(CONTROL!$C$10, $C$13, 100%, $E$13) + CHOOSE(CONTROL!$C$29, 0.0021, 0)</f>
        <v>155.66680442936303</v>
      </c>
    </row>
    <row r="270" spans="1:5" ht="15">
      <c r="A270" s="13">
        <v>49341</v>
      </c>
      <c r="B270" s="4">
        <f>25.1582 * CHOOSE(CONTROL!$C$10, $C$13, 100%, $E$13) + CHOOSE(CONTROL!$C$29, 0.0274, 0)</f>
        <v>25.185600000000001</v>
      </c>
      <c r="C270" s="4">
        <f>25.0019 * CHOOSE(CONTROL!$C$10, $C$13, 100%, $E$13) + CHOOSE(CONTROL!$C$29, 0.0274, 0)</f>
        <v>25.029299999999999</v>
      </c>
      <c r="D270" s="4">
        <f>36.0738 * CHOOSE(CONTROL!$C$10, $C$13, 100%, $E$13) + CHOOSE(CONTROL!$C$29, 0.0021, 0)</f>
        <v>36.075899999999997</v>
      </c>
      <c r="E270" s="4">
        <f>159.360797973019 * CHOOSE(CONTROL!$C$10, $C$13, 100%, $E$13) + CHOOSE(CONTROL!$C$29, 0.0021, 0)</f>
        <v>159.36289797301902</v>
      </c>
    </row>
    <row r="271" spans="1:5" ht="15">
      <c r="A271" s="13">
        <v>49369</v>
      </c>
      <c r="B271" s="4">
        <f>26.6529 * CHOOSE(CONTROL!$C$10, $C$13, 100%, $E$13) + CHOOSE(CONTROL!$C$29, 0.0274, 0)</f>
        <v>26.680299999999999</v>
      </c>
      <c r="C271" s="4">
        <f>26.4966 * CHOOSE(CONTROL!$C$10, $C$13, 100%, $E$13) + CHOOSE(CONTROL!$C$29, 0.0274, 0)</f>
        <v>26.524000000000001</v>
      </c>
      <c r="D271" s="4">
        <f>37.8924 * CHOOSE(CONTROL!$C$10, $C$13, 100%, $E$13) + CHOOSE(CONTROL!$C$29, 0.0021, 0)</f>
        <v>37.894500000000001</v>
      </c>
      <c r="E271" s="4">
        <f>169.066936041001 * CHOOSE(CONTROL!$C$10, $C$13, 100%, $E$13) + CHOOSE(CONTROL!$C$29, 0.0021, 0)</f>
        <v>169.069036041001</v>
      </c>
    </row>
    <row r="272" spans="1:5" ht="15">
      <c r="A272" s="13">
        <v>49400</v>
      </c>
      <c r="B272" s="4">
        <f>27.7149 * CHOOSE(CONTROL!$C$10, $C$13, 100%, $E$13) + CHOOSE(CONTROL!$C$29, 0.0274, 0)</f>
        <v>27.7423</v>
      </c>
      <c r="C272" s="4">
        <f>27.5586 * CHOOSE(CONTROL!$C$10, $C$13, 100%, $E$13) + CHOOSE(CONTROL!$C$29, 0.0274, 0)</f>
        <v>27.585999999999999</v>
      </c>
      <c r="D272" s="4">
        <f>38.94 * CHOOSE(CONTROL!$C$10, $C$13, 100%, $E$13) + CHOOSE(CONTROL!$C$29, 0.0021, 0)</f>
        <v>38.942099999999996</v>
      </c>
      <c r="E272" s="4">
        <f>175.963276489599 * CHOOSE(CONTROL!$C$10, $C$13, 100%, $E$13) + CHOOSE(CONTROL!$C$29, 0.0021, 0)</f>
        <v>175.96537648959901</v>
      </c>
    </row>
    <row r="273" spans="1:5" ht="15">
      <c r="A273" s="13">
        <v>49430</v>
      </c>
      <c r="B273" s="4">
        <f>28.3638 * CHOOSE(CONTROL!$C$10, $C$13, 100%, $E$13) + CHOOSE(CONTROL!$C$29, 0.0274, 0)</f>
        <v>28.391200000000001</v>
      </c>
      <c r="C273" s="4">
        <f>28.2075 * CHOOSE(CONTROL!$C$10, $C$13, 100%, $E$13) + CHOOSE(CONTROL!$C$29, 0.0274, 0)</f>
        <v>28.2349</v>
      </c>
      <c r="D273" s="4">
        <f>38.5261 * CHOOSE(CONTROL!$C$10, $C$13, 100%, $E$13) + CHOOSE(CONTROL!$C$29, 0.0021, 0)</f>
        <v>38.528199999999998</v>
      </c>
      <c r="E273" s="4">
        <f>180.176775221479 * CHOOSE(CONTROL!$C$10, $C$13, 100%, $E$13) + CHOOSE(CONTROL!$C$29, 0.0021, 0)</f>
        <v>180.17887522147902</v>
      </c>
    </row>
    <row r="274" spans="1:5" ht="15">
      <c r="A274" s="14">
        <v>49461</v>
      </c>
      <c r="B274" s="4">
        <f>28.4515 * CHOOSE(CONTROL!$C$10, $C$13, 100%, $E$13) + CHOOSE(CONTROL!$C$29, 0.0274, 0)</f>
        <v>28.478899999999999</v>
      </c>
      <c r="C274" s="4">
        <f>28.2953 * CHOOSE(CONTROL!$C$10, $C$13, 100%, $E$13) + CHOOSE(CONTROL!$C$29, 0.0274, 0)</f>
        <v>28.322700000000001</v>
      </c>
      <c r="D274" s="4">
        <f>38.8632 * CHOOSE(CONTROL!$C$10, $C$13, 100%, $E$13) + CHOOSE(CONTROL!$C$29, 0.0021, 0)</f>
        <v>38.865299999999998</v>
      </c>
      <c r="E274" s="4">
        <f>180.746879086282 * CHOOSE(CONTROL!$C$10, $C$13, 100%, $E$13) + CHOOSE(CONTROL!$C$29, 0.0021, 0)</f>
        <v>180.74897908628202</v>
      </c>
    </row>
    <row r="275" spans="1:5" ht="15">
      <c r="A275" s="14">
        <v>49491</v>
      </c>
      <c r="B275" s="4">
        <f>28.4427 * CHOOSE(CONTROL!$C$10, $C$13, 100%, $E$13) + CHOOSE(CONTROL!$C$29, 0.0274, 0)</f>
        <v>28.470099999999999</v>
      </c>
      <c r="C275" s="4">
        <f>28.2864 * CHOOSE(CONTROL!$C$10, $C$13, 100%, $E$13) + CHOOSE(CONTROL!$C$29, 0.0274, 0)</f>
        <v>28.313800000000001</v>
      </c>
      <c r="D275" s="4">
        <f>39.4716 * CHOOSE(CONTROL!$C$10, $C$13, 100%, $E$13) + CHOOSE(CONTROL!$C$29, 0.0021, 0)</f>
        <v>39.473700000000001</v>
      </c>
      <c r="E275" s="4">
        <f>180.689389620924 * CHOOSE(CONTROL!$C$10, $C$13, 100%, $E$13) + CHOOSE(CONTROL!$C$29, 0.0021, 0)</f>
        <v>180.69148962092402</v>
      </c>
    </row>
    <row r="276" spans="1:5" ht="15">
      <c r="A276" s="14">
        <v>49522</v>
      </c>
      <c r="B276" s="4">
        <f>29.1089 * CHOOSE(CONTROL!$C$10, $C$13, 100%, $E$13) + CHOOSE(CONTROL!$C$29, 0.0274, 0)</f>
        <v>29.136299999999999</v>
      </c>
      <c r="C276" s="4">
        <f>28.9526 * CHOOSE(CONTROL!$C$10, $C$13, 100%, $E$13) + CHOOSE(CONTROL!$C$29, 0.0274, 0)</f>
        <v>28.98</v>
      </c>
      <c r="D276" s="4">
        <f>39.0698 * CHOOSE(CONTROL!$C$10, $C$13, 100%, $E$13) + CHOOSE(CONTROL!$C$29, 0.0021, 0)</f>
        <v>39.071899999999999</v>
      </c>
      <c r="E276" s="4">
        <f>185.01547188913 * CHOOSE(CONTROL!$C$10, $C$13, 100%, $E$13) + CHOOSE(CONTROL!$C$29, 0.0021, 0)</f>
        <v>185.01757188913001</v>
      </c>
    </row>
    <row r="277" spans="1:5" ht="15">
      <c r="A277" s="14">
        <v>49553</v>
      </c>
      <c r="B277" s="4">
        <f>27.9735 * CHOOSE(CONTROL!$C$10, $C$13, 100%, $E$13) + CHOOSE(CONTROL!$C$29, 0.0274, 0)</f>
        <v>28.000900000000001</v>
      </c>
      <c r="C277" s="4">
        <f>27.8172 * CHOOSE(CONTROL!$C$10, $C$13, 100%, $E$13) + CHOOSE(CONTROL!$C$29, 0.0274, 0)</f>
        <v>27.8446</v>
      </c>
      <c r="D277" s="4">
        <f>38.88 * CHOOSE(CONTROL!$C$10, $C$13, 100%, $E$13) + CHOOSE(CONTROL!$C$29, 0.0021, 0)</f>
        <v>38.882100000000001</v>
      </c>
      <c r="E277" s="4">
        <f>177.642447956937 * CHOOSE(CONTROL!$C$10, $C$13, 100%, $E$13) + CHOOSE(CONTROL!$C$29, 0.0021, 0)</f>
        <v>177.644547956937</v>
      </c>
    </row>
    <row r="278" spans="1:5" ht="15">
      <c r="A278" s="14">
        <v>49583</v>
      </c>
      <c r="B278" s="4">
        <f>27.0645 * CHOOSE(CONTROL!$C$10, $C$13, 100%, $E$13) + CHOOSE(CONTROL!$C$29, 0.0274, 0)</f>
        <v>27.091899999999999</v>
      </c>
      <c r="C278" s="4">
        <f>26.9083 * CHOOSE(CONTROL!$C$10, $C$13, 100%, $E$13) + CHOOSE(CONTROL!$C$29, 0.0274, 0)</f>
        <v>26.935700000000001</v>
      </c>
      <c r="D278" s="4">
        <f>38.3718 * CHOOSE(CONTROL!$C$10, $C$13, 100%, $E$13) + CHOOSE(CONTROL!$C$29, 0.0021, 0)</f>
        <v>38.373899999999999</v>
      </c>
      <c r="E278" s="4">
        <f>171.740196180159 * CHOOSE(CONTROL!$C$10, $C$13, 100%, $E$13) + CHOOSE(CONTROL!$C$29, 0.0021, 0)</f>
        <v>171.742296180159</v>
      </c>
    </row>
    <row r="279" spans="1:5" ht="15">
      <c r="A279" s="14">
        <v>49614</v>
      </c>
      <c r="B279" s="4">
        <f>26.4791 * CHOOSE(CONTROL!$C$10, $C$13, 100%, $E$13) + CHOOSE(CONTROL!$C$29, 0.0274, 0)</f>
        <v>26.506499999999999</v>
      </c>
      <c r="C279" s="4">
        <f>26.3229 * CHOOSE(CONTROL!$C$10, $C$13, 100%, $E$13) + CHOOSE(CONTROL!$C$29, 0.0274, 0)</f>
        <v>26.350300000000001</v>
      </c>
      <c r="D279" s="4">
        <f>38.197 * CHOOSE(CONTROL!$C$10, $C$13, 100%, $E$13) + CHOOSE(CONTROL!$C$29, 0.0021, 0)</f>
        <v>38.199100000000001</v>
      </c>
      <c r="E279" s="4">
        <f>167.938705283346 * CHOOSE(CONTROL!$C$10, $C$13, 100%, $E$13) + CHOOSE(CONTROL!$C$29, 0.0021, 0)</f>
        <v>167.94080528334601</v>
      </c>
    </row>
    <row r="280" spans="1:5" ht="15">
      <c r="A280" s="14">
        <v>49644</v>
      </c>
      <c r="B280" s="4">
        <f>26.0741 * CHOOSE(CONTROL!$C$10, $C$13, 100%, $E$13) + CHOOSE(CONTROL!$C$29, 0.0274, 0)</f>
        <v>26.101500000000001</v>
      </c>
      <c r="C280" s="4">
        <f>25.9179 * CHOOSE(CONTROL!$C$10, $C$13, 100%, $E$13) + CHOOSE(CONTROL!$C$29, 0.0274, 0)</f>
        <v>25.9453</v>
      </c>
      <c r="D280" s="4">
        <f>36.9106 * CHOOSE(CONTROL!$C$10, $C$13, 100%, $E$13) + CHOOSE(CONTROL!$C$29, 0.0021, 0)</f>
        <v>36.912700000000001</v>
      </c>
      <c r="E280" s="4">
        <f>165.308562243206 * CHOOSE(CONTROL!$C$10, $C$13, 100%, $E$13) + CHOOSE(CONTROL!$C$29, 0.0021, 0)</f>
        <v>165.31066224320602</v>
      </c>
    </row>
    <row r="281" spans="1:5" ht="15">
      <c r="A281" s="14">
        <v>49675</v>
      </c>
      <c r="B281" s="4">
        <f>25.0125 * CHOOSE(CONTROL!$C$10, $C$13, 100%, $E$13) + CHOOSE(CONTROL!$C$29, 0.0274, 0)</f>
        <v>25.039899999999999</v>
      </c>
      <c r="C281" s="4">
        <f>24.8563 * CHOOSE(CONTROL!$C$10, $C$13, 100%, $E$13) + CHOOSE(CONTROL!$C$29, 0.0274, 0)</f>
        <v>24.883700000000001</v>
      </c>
      <c r="D281" s="4">
        <f>35.4296 * CHOOSE(CONTROL!$C$10, $C$13, 100%, $E$13) + CHOOSE(CONTROL!$C$29, 0.0021, 0)</f>
        <v>35.431699999999999</v>
      </c>
      <c r="E281" s="4">
        <f>158.422788909292 * CHOOSE(CONTROL!$C$10, $C$13, 100%, $E$13) + CHOOSE(CONTROL!$C$29, 0.0021, 0)</f>
        <v>158.42488890929201</v>
      </c>
    </row>
    <row r="282" spans="1:5" ht="15">
      <c r="A282" s="14">
        <v>49706</v>
      </c>
      <c r="B282" s="4">
        <f>25.5918 * CHOOSE(CONTROL!$C$10, $C$13, 100%, $E$13) + CHOOSE(CONTROL!$C$29, 0.0274, 0)</f>
        <v>25.619199999999999</v>
      </c>
      <c r="C282" s="4">
        <f>25.4355 * CHOOSE(CONTROL!$C$10, $C$13, 100%, $E$13) + CHOOSE(CONTROL!$C$29, 0.0274, 0)</f>
        <v>25.462900000000001</v>
      </c>
      <c r="D282" s="4">
        <f>36.6097 * CHOOSE(CONTROL!$C$10, $C$13, 100%, $E$13) + CHOOSE(CONTROL!$C$29, 0.0021, 0)</f>
        <v>36.611799999999995</v>
      </c>
      <c r="E282" s="4">
        <f>162.184370247863 * CHOOSE(CONTROL!$C$10, $C$13, 100%, $E$13) + CHOOSE(CONTROL!$C$29, 0.0021, 0)</f>
        <v>162.18647024786301</v>
      </c>
    </row>
    <row r="283" spans="1:5" ht="15">
      <c r="A283" s="14">
        <v>49735</v>
      </c>
      <c r="B283" s="4">
        <f>27.1129 * CHOOSE(CONTROL!$C$10, $C$13, 100%, $E$13) + CHOOSE(CONTROL!$C$29, 0.0274, 0)</f>
        <v>27.1403</v>
      </c>
      <c r="C283" s="4">
        <f>26.9566 * CHOOSE(CONTROL!$C$10, $C$13, 100%, $E$13) + CHOOSE(CONTROL!$C$29, 0.0274, 0)</f>
        <v>26.984000000000002</v>
      </c>
      <c r="D283" s="4">
        <f>38.4569 * CHOOSE(CONTROL!$C$10, $C$13, 100%, $E$13) + CHOOSE(CONTROL!$C$29, 0.0021, 0)</f>
        <v>38.458999999999996</v>
      </c>
      <c r="E283" s="4">
        <f>172.062482745523 * CHOOSE(CONTROL!$C$10, $C$13, 100%, $E$13) + CHOOSE(CONTROL!$C$29, 0.0021, 0)</f>
        <v>172.06458274552301</v>
      </c>
    </row>
    <row r="284" spans="1:5" ht="15">
      <c r="A284" s="14">
        <v>49766</v>
      </c>
      <c r="B284" s="4">
        <f>28.1937 * CHOOSE(CONTROL!$C$10, $C$13, 100%, $E$13) + CHOOSE(CONTROL!$C$29, 0.0274, 0)</f>
        <v>28.2211</v>
      </c>
      <c r="C284" s="4">
        <f>28.0374 * CHOOSE(CONTROL!$C$10, $C$13, 100%, $E$13) + CHOOSE(CONTROL!$C$29, 0.0274, 0)</f>
        <v>28.064800000000002</v>
      </c>
      <c r="D284" s="4">
        <f>39.521 * CHOOSE(CONTROL!$C$10, $C$13, 100%, $E$13) + CHOOSE(CONTROL!$C$29, 0.0021, 0)</f>
        <v>39.523099999999999</v>
      </c>
      <c r="E284" s="4">
        <f>179.081013318269 * CHOOSE(CONTROL!$C$10, $C$13, 100%, $E$13) + CHOOSE(CONTROL!$C$29, 0.0021, 0)</f>
        <v>179.083113318269</v>
      </c>
    </row>
    <row r="285" spans="1:5" ht="15">
      <c r="A285" s="14">
        <v>49796</v>
      </c>
      <c r="B285" s="4">
        <f>28.854 * CHOOSE(CONTROL!$C$10, $C$13, 100%, $E$13) + CHOOSE(CONTROL!$C$29, 0.0274, 0)</f>
        <v>28.881399999999999</v>
      </c>
      <c r="C285" s="4">
        <f>28.6977 * CHOOSE(CONTROL!$C$10, $C$13, 100%, $E$13) + CHOOSE(CONTROL!$C$29, 0.0274, 0)</f>
        <v>28.725100000000001</v>
      </c>
      <c r="D285" s="4">
        <f>39.1005 * CHOOSE(CONTROL!$C$10, $C$13, 100%, $E$13) + CHOOSE(CONTROL!$C$29, 0.0021, 0)</f>
        <v>39.102599999999995</v>
      </c>
      <c r="E285" s="4">
        <f>183.369167287515 * CHOOSE(CONTROL!$C$10, $C$13, 100%, $E$13) + CHOOSE(CONTROL!$C$29, 0.0021, 0)</f>
        <v>183.37126728751502</v>
      </c>
    </row>
    <row r="286" spans="1:5" ht="15">
      <c r="A286" s="14">
        <v>49827</v>
      </c>
      <c r="B286" s="4">
        <f>28.9433 * CHOOSE(CONTROL!$C$10, $C$13, 100%, $E$13) + CHOOSE(CONTROL!$C$29, 0.0274, 0)</f>
        <v>28.970700000000001</v>
      </c>
      <c r="C286" s="4">
        <f>28.7871 * CHOOSE(CONTROL!$C$10, $C$13, 100%, $E$13) + CHOOSE(CONTROL!$C$29, 0.0274, 0)</f>
        <v>28.814499999999999</v>
      </c>
      <c r="D286" s="4">
        <f>39.443 * CHOOSE(CONTROL!$C$10, $C$13, 100%, $E$13) + CHOOSE(CONTROL!$C$29, 0.0021, 0)</f>
        <v>39.445099999999996</v>
      </c>
      <c r="E286" s="4">
        <f>183.949372315758 * CHOOSE(CONTROL!$C$10, $C$13, 100%, $E$13) + CHOOSE(CONTROL!$C$29, 0.0021, 0)</f>
        <v>183.95147231575802</v>
      </c>
    </row>
    <row r="287" spans="1:5" ht="15">
      <c r="A287" s="14">
        <v>49857</v>
      </c>
      <c r="B287" s="4">
        <f>28.9343 * CHOOSE(CONTROL!$C$10, $C$13, 100%, $E$13) + CHOOSE(CONTROL!$C$29, 0.0274, 0)</f>
        <v>28.9617</v>
      </c>
      <c r="C287" s="4">
        <f>28.7781 * CHOOSE(CONTROL!$C$10, $C$13, 100%, $E$13) + CHOOSE(CONTROL!$C$29, 0.0274, 0)</f>
        <v>28.805499999999999</v>
      </c>
      <c r="D287" s="4">
        <f>40.0609 * CHOOSE(CONTROL!$C$10, $C$13, 100%, $E$13) + CHOOSE(CONTROL!$C$29, 0.0021, 0)</f>
        <v>40.062999999999995</v>
      </c>
      <c r="E287" s="4">
        <f>183.890864245683 * CHOOSE(CONTROL!$C$10, $C$13, 100%, $E$13) + CHOOSE(CONTROL!$C$29, 0.0021, 0)</f>
        <v>183.892964245683</v>
      </c>
    </row>
    <row r="288" spans="1:5" ht="15">
      <c r="A288" s="14">
        <v>49888</v>
      </c>
      <c r="B288" s="4">
        <f>29.6123 * CHOOSE(CONTROL!$C$10, $C$13, 100%, $E$13) + CHOOSE(CONTROL!$C$29, 0.0274, 0)</f>
        <v>29.639700000000001</v>
      </c>
      <c r="C288" s="4">
        <f>29.456 * CHOOSE(CONTROL!$C$10, $C$13, 100%, $E$13) + CHOOSE(CONTROL!$C$29, 0.0274, 0)</f>
        <v>29.4834</v>
      </c>
      <c r="D288" s="4">
        <f>39.6528 * CHOOSE(CONTROL!$C$10, $C$13, 100%, $E$13) + CHOOSE(CONTROL!$C$29, 0.0021, 0)</f>
        <v>39.654899999999998</v>
      </c>
      <c r="E288" s="4">
        <f>188.293596518826 * CHOOSE(CONTROL!$C$10, $C$13, 100%, $E$13) + CHOOSE(CONTROL!$C$29, 0.0021, 0)</f>
        <v>188.29569651882602</v>
      </c>
    </row>
    <row r="289" spans="1:5" ht="15">
      <c r="A289" s="14">
        <v>49919</v>
      </c>
      <c r="B289" s="4">
        <f>28.4568 * CHOOSE(CONTROL!$C$10, $C$13, 100%, $E$13) + CHOOSE(CONTROL!$C$29, 0.0274, 0)</f>
        <v>28.484200000000001</v>
      </c>
      <c r="C289" s="4">
        <f>28.3006 * CHOOSE(CONTROL!$C$10, $C$13, 100%, $E$13) + CHOOSE(CONTROL!$C$29, 0.0274, 0)</f>
        <v>28.327999999999999</v>
      </c>
      <c r="D289" s="4">
        <f>39.46 * CHOOSE(CONTROL!$C$10, $C$13, 100%, $E$13) + CHOOSE(CONTROL!$C$29, 0.0021, 0)</f>
        <v>39.4621</v>
      </c>
      <c r="E289" s="4">
        <f>180.789936531709 * CHOOSE(CONTROL!$C$10, $C$13, 100%, $E$13) + CHOOSE(CONTROL!$C$29, 0.0021, 0)</f>
        <v>180.79203653170902</v>
      </c>
    </row>
    <row r="290" spans="1:5" ht="15">
      <c r="A290" s="14">
        <v>49949</v>
      </c>
      <c r="B290" s="4">
        <f>27.5318 * CHOOSE(CONTROL!$C$10, $C$13, 100%, $E$13) + CHOOSE(CONTROL!$C$29, 0.0274, 0)</f>
        <v>27.559200000000001</v>
      </c>
      <c r="C290" s="4">
        <f>27.3756 * CHOOSE(CONTROL!$C$10, $C$13, 100%, $E$13) + CHOOSE(CONTROL!$C$29, 0.0274, 0)</f>
        <v>27.402999999999999</v>
      </c>
      <c r="D290" s="4">
        <f>38.9438 * CHOOSE(CONTROL!$C$10, $C$13, 100%, $E$13) + CHOOSE(CONTROL!$C$29, 0.0021, 0)</f>
        <v>38.945900000000002</v>
      </c>
      <c r="E290" s="4">
        <f>174.78310800401 * CHOOSE(CONTROL!$C$10, $C$13, 100%, $E$13) + CHOOSE(CONTROL!$C$29, 0.0021, 0)</f>
        <v>174.78520800401</v>
      </c>
    </row>
    <row r="291" spans="1:5" ht="15">
      <c r="A291" s="14">
        <v>49980</v>
      </c>
      <c r="B291" s="4">
        <f>26.9361 * CHOOSE(CONTROL!$C$10, $C$13, 100%, $E$13) + CHOOSE(CONTROL!$C$29, 0.0274, 0)</f>
        <v>26.9635</v>
      </c>
      <c r="C291" s="4">
        <f>26.7798 * CHOOSE(CONTROL!$C$10, $C$13, 100%, $E$13) + CHOOSE(CONTROL!$C$29, 0.0274, 0)</f>
        <v>26.807200000000002</v>
      </c>
      <c r="D291" s="4">
        <f>38.7663 * CHOOSE(CONTROL!$C$10, $C$13, 100%, $E$13) + CHOOSE(CONTROL!$C$29, 0.0021, 0)</f>
        <v>38.7684</v>
      </c>
      <c r="E291" s="4">
        <f>170.914261870302 * CHOOSE(CONTROL!$C$10, $C$13, 100%, $E$13) + CHOOSE(CONTROL!$C$29, 0.0021, 0)</f>
        <v>170.91636187030201</v>
      </c>
    </row>
    <row r="292" spans="1:5" ht="15">
      <c r="A292" s="14">
        <v>50010</v>
      </c>
      <c r="B292" s="4">
        <f>26.5239 * CHOOSE(CONTROL!$C$10, $C$13, 100%, $E$13) + CHOOSE(CONTROL!$C$29, 0.0274, 0)</f>
        <v>26.551300000000001</v>
      </c>
      <c r="C292" s="4">
        <f>26.3676 * CHOOSE(CONTROL!$C$10, $C$13, 100%, $E$13) + CHOOSE(CONTROL!$C$29, 0.0274, 0)</f>
        <v>26.395</v>
      </c>
      <c r="D292" s="4">
        <f>37.4597 * CHOOSE(CONTROL!$C$10, $C$13, 100%, $E$13) + CHOOSE(CONTROL!$C$29, 0.0021, 0)</f>
        <v>37.461799999999997</v>
      </c>
      <c r="E292" s="4">
        <f>168.237517664371 * CHOOSE(CONTROL!$C$10, $C$13, 100%, $E$13) + CHOOSE(CONTROL!$C$29, 0.0021, 0)</f>
        <v>168.23961766437102</v>
      </c>
    </row>
    <row r="293" spans="1:5" ht="15">
      <c r="A293" s="14">
        <v>50041</v>
      </c>
      <c r="B293" s="4">
        <f>25.4435 * CHOOSE(CONTROL!$C$10, $C$13, 100%, $E$13) + CHOOSE(CONTROL!$C$29, 0.0274, 0)</f>
        <v>25.4709</v>
      </c>
      <c r="C293" s="4">
        <f>25.2873 * CHOOSE(CONTROL!$C$10, $C$13, 100%, $E$13) + CHOOSE(CONTROL!$C$29, 0.0274, 0)</f>
        <v>25.314699999999998</v>
      </c>
      <c r="D293" s="4">
        <f>35.9554 * CHOOSE(CONTROL!$C$10, $C$13, 100%, $E$13) + CHOOSE(CONTROL!$C$29, 0.0021, 0)</f>
        <v>35.957499999999996</v>
      </c>
      <c r="E293" s="4">
        <f>161.229741435618 * CHOOSE(CONTROL!$C$10, $C$13, 100%, $E$13) + CHOOSE(CONTROL!$C$29, 0.0021, 0)</f>
        <v>161.23184143561801</v>
      </c>
    </row>
    <row r="294" spans="1:5" ht="15">
      <c r="A294" s="14">
        <v>50072</v>
      </c>
      <c r="B294" s="4">
        <f>26.033 * CHOOSE(CONTROL!$C$10, $C$13, 100%, $E$13) + CHOOSE(CONTROL!$C$29, 0.0274, 0)</f>
        <v>26.060400000000001</v>
      </c>
      <c r="C294" s="4">
        <f>25.8768 * CHOOSE(CONTROL!$C$10, $C$13, 100%, $E$13) + CHOOSE(CONTROL!$C$29, 0.0274, 0)</f>
        <v>25.904199999999999</v>
      </c>
      <c r="D294" s="4">
        <f>37.154 * CHOOSE(CONTROL!$C$10, $C$13, 100%, $E$13) + CHOOSE(CONTROL!$C$29, 0.0021, 0)</f>
        <v>37.156100000000002</v>
      </c>
      <c r="E294" s="4">
        <f>165.05797088911 * CHOOSE(CONTROL!$C$10, $C$13, 100%, $E$13) + CHOOSE(CONTROL!$C$29, 0.0021, 0)</f>
        <v>165.06007088911002</v>
      </c>
    </row>
    <row r="295" spans="1:5" ht="15">
      <c r="A295" s="14">
        <v>50100</v>
      </c>
      <c r="B295" s="4">
        <f>27.581 * CHOOSE(CONTROL!$C$10, $C$13, 100%, $E$13) + CHOOSE(CONTROL!$C$29, 0.0274, 0)</f>
        <v>27.6084</v>
      </c>
      <c r="C295" s="4">
        <f>27.4248 * CHOOSE(CONTROL!$C$10, $C$13, 100%, $E$13) + CHOOSE(CONTROL!$C$29, 0.0274, 0)</f>
        <v>27.452200000000001</v>
      </c>
      <c r="D295" s="4">
        <f>39.0303 * CHOOSE(CONTROL!$C$10, $C$13, 100%, $E$13) + CHOOSE(CONTROL!$C$29, 0.0021, 0)</f>
        <v>39.032399999999996</v>
      </c>
      <c r="E295" s="4">
        <f>175.111104878448 * CHOOSE(CONTROL!$C$10, $C$13, 100%, $E$13) + CHOOSE(CONTROL!$C$29, 0.0021, 0)</f>
        <v>175.11320487844802</v>
      </c>
    </row>
    <row r="296" spans="1:5" ht="15">
      <c r="A296" s="14">
        <v>50131</v>
      </c>
      <c r="B296" s="4">
        <f>28.6809 * CHOOSE(CONTROL!$C$10, $C$13, 100%, $E$13) + CHOOSE(CONTROL!$C$29, 0.0274, 0)</f>
        <v>28.708300000000001</v>
      </c>
      <c r="C296" s="4">
        <f>28.5246 * CHOOSE(CONTROL!$C$10, $C$13, 100%, $E$13) + CHOOSE(CONTROL!$C$29, 0.0274, 0)</f>
        <v>28.552</v>
      </c>
      <c r="D296" s="4">
        <f>40.1111 * CHOOSE(CONTROL!$C$10, $C$13, 100%, $E$13) + CHOOSE(CONTROL!$C$29, 0.0021, 0)</f>
        <v>40.113199999999999</v>
      </c>
      <c r="E296" s="4">
        <f>182.253990553498 * CHOOSE(CONTROL!$C$10, $C$13, 100%, $E$13) + CHOOSE(CONTROL!$C$29, 0.0021, 0)</f>
        <v>182.25609055349801</v>
      </c>
    </row>
    <row r="297" spans="1:5" ht="15">
      <c r="A297" s="14">
        <v>50161</v>
      </c>
      <c r="B297" s="4">
        <f>29.3529 * CHOOSE(CONTROL!$C$10, $C$13, 100%, $E$13) + CHOOSE(CONTROL!$C$29, 0.0274, 0)</f>
        <v>29.380300000000002</v>
      </c>
      <c r="C297" s="4">
        <f>29.1966 * CHOOSE(CONTROL!$C$10, $C$13, 100%, $E$13) + CHOOSE(CONTROL!$C$29, 0.0274, 0)</f>
        <v>29.224</v>
      </c>
      <c r="D297" s="4">
        <f>39.684 * CHOOSE(CONTROL!$C$10, $C$13, 100%, $E$13) + CHOOSE(CONTROL!$C$29, 0.0021, 0)</f>
        <v>39.686099999999996</v>
      </c>
      <c r="E297" s="4">
        <f>186.618122509877 * CHOOSE(CONTROL!$C$10, $C$13, 100%, $E$13) + CHOOSE(CONTROL!$C$29, 0.0021, 0)</f>
        <v>186.62022250987701</v>
      </c>
    </row>
    <row r="298" spans="1:5" ht="15">
      <c r="A298" s="14">
        <v>50192</v>
      </c>
      <c r="B298" s="4">
        <f>29.4438 * CHOOSE(CONTROL!$C$10, $C$13, 100%, $E$13) + CHOOSE(CONTROL!$C$29, 0.0274, 0)</f>
        <v>29.4712</v>
      </c>
      <c r="C298" s="4">
        <f>29.2876 * CHOOSE(CONTROL!$C$10, $C$13, 100%, $E$13) + CHOOSE(CONTROL!$C$29, 0.0274, 0)</f>
        <v>29.315000000000001</v>
      </c>
      <c r="D298" s="4">
        <f>40.0318 * CHOOSE(CONTROL!$C$10, $C$13, 100%, $E$13) + CHOOSE(CONTROL!$C$29, 0.0021, 0)</f>
        <v>40.033899999999996</v>
      </c>
      <c r="E298" s="4">
        <f>187.208607675094 * CHOOSE(CONTROL!$C$10, $C$13, 100%, $E$13) + CHOOSE(CONTROL!$C$29, 0.0021, 0)</f>
        <v>187.210707675094</v>
      </c>
    </row>
    <row r="299" spans="1:5" ht="15">
      <c r="A299" s="14">
        <v>50222</v>
      </c>
      <c r="B299" s="4">
        <f>29.4346 * CHOOSE(CONTROL!$C$10, $C$13, 100%, $E$13) + CHOOSE(CONTROL!$C$29, 0.0274, 0)</f>
        <v>29.462</v>
      </c>
      <c r="C299" s="4">
        <f>29.2784 * CHOOSE(CONTROL!$C$10, $C$13, 100%, $E$13) + CHOOSE(CONTROL!$C$29, 0.0274, 0)</f>
        <v>29.305800000000001</v>
      </c>
      <c r="D299" s="4">
        <f>40.6595 * CHOOSE(CONTROL!$C$10, $C$13, 100%, $E$13) + CHOOSE(CONTROL!$C$29, 0.0021, 0)</f>
        <v>40.6616</v>
      </c>
      <c r="E299" s="4">
        <f>187.149062952551 * CHOOSE(CONTROL!$C$10, $C$13, 100%, $E$13) + CHOOSE(CONTROL!$C$29, 0.0021, 0)</f>
        <v>187.151162952551</v>
      </c>
    </row>
    <row r="300" spans="1:5" ht="15">
      <c r="A300" s="14">
        <v>50253</v>
      </c>
      <c r="B300" s="4">
        <f>30.1246 * CHOOSE(CONTROL!$C$10, $C$13, 100%, $E$13) + CHOOSE(CONTROL!$C$29, 0.0274, 0)</f>
        <v>30.152000000000001</v>
      </c>
      <c r="C300" s="4">
        <f>29.9683 * CHOOSE(CONTROL!$C$10, $C$13, 100%, $E$13) + CHOOSE(CONTROL!$C$29, 0.0274, 0)</f>
        <v>29.995699999999999</v>
      </c>
      <c r="D300" s="4">
        <f>40.245 * CHOOSE(CONTROL!$C$10, $C$13, 100%, $E$13) + CHOOSE(CONTROL!$C$29, 0.0021, 0)</f>
        <v>40.247099999999996</v>
      </c>
      <c r="E300" s="4">
        <f>191.62980332391 * CHOOSE(CONTROL!$C$10, $C$13, 100%, $E$13) + CHOOSE(CONTROL!$C$29, 0.0021, 0)</f>
        <v>191.63190332391002</v>
      </c>
    </row>
    <row r="301" spans="1:5" ht="15">
      <c r="A301" s="14">
        <v>50284</v>
      </c>
      <c r="B301" s="4">
        <f>28.9487 * CHOOSE(CONTROL!$C$10, $C$13, 100%, $E$13) + CHOOSE(CONTROL!$C$29, 0.0274, 0)</f>
        <v>28.976099999999999</v>
      </c>
      <c r="C301" s="4">
        <f>28.7924 * CHOOSE(CONTROL!$C$10, $C$13, 100%, $E$13) + CHOOSE(CONTROL!$C$29, 0.0274, 0)</f>
        <v>28.819800000000001</v>
      </c>
      <c r="D301" s="4">
        <f>40.0491 * CHOOSE(CONTROL!$C$10, $C$13, 100%, $E$13) + CHOOSE(CONTROL!$C$29, 0.0021, 0)</f>
        <v>40.051200000000001</v>
      </c>
      <c r="E301" s="4">
        <f>183.993192657774 * CHOOSE(CONTROL!$C$10, $C$13, 100%, $E$13) + CHOOSE(CONTROL!$C$29, 0.0021, 0)</f>
        <v>183.995292657774</v>
      </c>
    </row>
    <row r="302" spans="1:5" ht="15">
      <c r="A302" s="14">
        <v>50314</v>
      </c>
      <c r="B302" s="4">
        <f>28.0074 * CHOOSE(CONTROL!$C$10, $C$13, 100%, $E$13) + CHOOSE(CONTROL!$C$29, 0.0274, 0)</f>
        <v>28.034800000000001</v>
      </c>
      <c r="C302" s="4">
        <f>27.8511 * CHOOSE(CONTROL!$C$10, $C$13, 100%, $E$13) + CHOOSE(CONTROL!$C$29, 0.0274, 0)</f>
        <v>27.878499999999999</v>
      </c>
      <c r="D302" s="4">
        <f>39.5248 * CHOOSE(CONTROL!$C$10, $C$13, 100%, $E$13) + CHOOSE(CONTROL!$C$29, 0.0021, 0)</f>
        <v>39.526899999999998</v>
      </c>
      <c r="E302" s="4">
        <f>177.879934476696 * CHOOSE(CONTROL!$C$10, $C$13, 100%, $E$13) + CHOOSE(CONTROL!$C$29, 0.0021, 0)</f>
        <v>177.88203447669602</v>
      </c>
    </row>
    <row r="303" spans="1:5" ht="15">
      <c r="A303" s="14">
        <v>50345</v>
      </c>
      <c r="B303" s="4">
        <f>27.4011 * CHOOSE(CONTROL!$C$10, $C$13, 100%, $E$13) + CHOOSE(CONTROL!$C$29, 0.0274, 0)</f>
        <v>27.4285</v>
      </c>
      <c r="C303" s="4">
        <f>27.2448 * CHOOSE(CONTROL!$C$10, $C$13, 100%, $E$13) + CHOOSE(CONTROL!$C$29, 0.0274, 0)</f>
        <v>27.272200000000002</v>
      </c>
      <c r="D303" s="4">
        <f>39.3445 * CHOOSE(CONTROL!$C$10, $C$13, 100%, $E$13) + CHOOSE(CONTROL!$C$29, 0.0021, 0)</f>
        <v>39.346599999999995</v>
      </c>
      <c r="E303" s="4">
        <f>173.942539698542 * CHOOSE(CONTROL!$C$10, $C$13, 100%, $E$13) + CHOOSE(CONTROL!$C$29, 0.0021, 0)</f>
        <v>173.94463969854201</v>
      </c>
    </row>
    <row r="304" spans="1:5" ht="15">
      <c r="A304" s="14">
        <v>50375</v>
      </c>
      <c r="B304" s="4">
        <f>26.9816 * CHOOSE(CONTROL!$C$10, $C$13, 100%, $E$13) + CHOOSE(CONTROL!$C$29, 0.0274, 0)</f>
        <v>27.009</v>
      </c>
      <c r="C304" s="4">
        <f>26.8254 * CHOOSE(CONTROL!$C$10, $C$13, 100%, $E$13) + CHOOSE(CONTROL!$C$29, 0.0274, 0)</f>
        <v>26.852799999999998</v>
      </c>
      <c r="D304" s="4">
        <f>38.0174 * CHOOSE(CONTROL!$C$10, $C$13, 100%, $E$13) + CHOOSE(CONTROL!$C$29, 0.0021, 0)</f>
        <v>38.019500000000001</v>
      </c>
      <c r="E304" s="4">
        <f>171.218368642201 * CHOOSE(CONTROL!$C$10, $C$13, 100%, $E$13) + CHOOSE(CONTROL!$C$29, 0.0021, 0)</f>
        <v>171.22046864220101</v>
      </c>
    </row>
    <row r="305" spans="1:5" ht="15">
      <c r="A305" s="13">
        <v>50436</v>
      </c>
      <c r="B305" s="4">
        <f>25.8822 * CHOOSE(CONTROL!$C$10, $C$13, 100%, $E$13) + CHOOSE(CONTROL!$C$29, 0.0274, 0)</f>
        <v>25.909600000000001</v>
      </c>
      <c r="C305" s="4">
        <f>25.7259 * CHOOSE(CONTROL!$C$10, $C$13, 100%, $E$13) + CHOOSE(CONTROL!$C$29, 0.0274, 0)</f>
        <v>25.753299999999999</v>
      </c>
      <c r="D305" s="4">
        <f>36.4894 * CHOOSE(CONTROL!$C$10, $C$13, 100%, $E$13) + CHOOSE(CONTROL!$C$29, 0.0021, 0)</f>
        <v>36.491500000000002</v>
      </c>
      <c r="E305" s="4">
        <f>164.086427857801 * CHOOSE(CONTROL!$C$10, $C$13, 100%, $E$13) + CHOOSE(CONTROL!$C$29, 0.0021, 0)</f>
        <v>164.08852785780101</v>
      </c>
    </row>
    <row r="306" spans="1:5" ht="15">
      <c r="A306" s="13">
        <v>50464</v>
      </c>
      <c r="B306" s="4">
        <f>26.4821 * CHOOSE(CONTROL!$C$10, $C$13, 100%, $E$13) + CHOOSE(CONTROL!$C$29, 0.0274, 0)</f>
        <v>26.509499999999999</v>
      </c>
      <c r="C306" s="4">
        <f>26.3258 * CHOOSE(CONTROL!$C$10, $C$13, 100%, $E$13) + CHOOSE(CONTROL!$C$29, 0.0274, 0)</f>
        <v>26.353200000000001</v>
      </c>
      <c r="D306" s="4">
        <f>37.7068 * CHOOSE(CONTROL!$C$10, $C$13, 100%, $E$13) + CHOOSE(CONTROL!$C$29, 0.0021, 0)</f>
        <v>37.7089</v>
      </c>
      <c r="E306" s="4">
        <f>167.982486304898 * CHOOSE(CONTROL!$C$10, $C$13, 100%, $E$13) + CHOOSE(CONTROL!$C$29, 0.0021, 0)</f>
        <v>167.98458630489802</v>
      </c>
    </row>
    <row r="307" spans="1:5" ht="15">
      <c r="A307" s="13">
        <v>50495</v>
      </c>
      <c r="B307" s="4">
        <f>28.0574 * CHOOSE(CONTROL!$C$10, $C$13, 100%, $E$13) + CHOOSE(CONTROL!$C$29, 0.0274, 0)</f>
        <v>28.084800000000001</v>
      </c>
      <c r="C307" s="4">
        <f>27.9012 * CHOOSE(CONTROL!$C$10, $C$13, 100%, $E$13) + CHOOSE(CONTROL!$C$29, 0.0274, 0)</f>
        <v>27.928599999999999</v>
      </c>
      <c r="D307" s="4">
        <f>39.6127 * CHOOSE(CONTROL!$C$10, $C$13, 100%, $E$13) + CHOOSE(CONTROL!$C$29, 0.0021, 0)</f>
        <v>39.614799999999995</v>
      </c>
      <c r="E307" s="4">
        <f>178.213742836095 * CHOOSE(CONTROL!$C$10, $C$13, 100%, $E$13) + CHOOSE(CONTROL!$C$29, 0.0021, 0)</f>
        <v>178.21584283609502</v>
      </c>
    </row>
    <row r="308" spans="1:5" ht="15">
      <c r="A308" s="13">
        <v>50525</v>
      </c>
      <c r="B308" s="4">
        <f>29.1767 * CHOOSE(CONTROL!$C$10, $C$13, 100%, $E$13) + CHOOSE(CONTROL!$C$29, 0.0274, 0)</f>
        <v>29.2041</v>
      </c>
      <c r="C308" s="4">
        <f>29.0205 * CHOOSE(CONTROL!$C$10, $C$13, 100%, $E$13) + CHOOSE(CONTROL!$C$29, 0.0274, 0)</f>
        <v>29.047899999999998</v>
      </c>
      <c r="D308" s="4">
        <f>40.7105 * CHOOSE(CONTROL!$C$10, $C$13, 100%, $E$13) + CHOOSE(CONTROL!$C$29, 0.0021, 0)</f>
        <v>40.712600000000002</v>
      </c>
      <c r="E308" s="4">
        <f>185.483186950931 * CHOOSE(CONTROL!$C$10, $C$13, 100%, $E$13) + CHOOSE(CONTROL!$C$29, 0.0021, 0)</f>
        <v>185.48528695093103</v>
      </c>
    </row>
    <row r="309" spans="1:5" ht="15">
      <c r="A309" s="13">
        <v>50556</v>
      </c>
      <c r="B309" s="4">
        <f>29.8606 * CHOOSE(CONTROL!$C$10, $C$13, 100%, $E$13) + CHOOSE(CONTROL!$C$29, 0.0274, 0)</f>
        <v>29.888000000000002</v>
      </c>
      <c r="C309" s="4">
        <f>29.7043 * CHOOSE(CONTROL!$C$10, $C$13, 100%, $E$13) + CHOOSE(CONTROL!$C$29, 0.0274, 0)</f>
        <v>29.7317</v>
      </c>
      <c r="D309" s="4">
        <f>40.2767 * CHOOSE(CONTROL!$C$10, $C$13, 100%, $E$13) + CHOOSE(CONTROL!$C$29, 0.0021, 0)</f>
        <v>40.278799999999997</v>
      </c>
      <c r="E309" s="4">
        <f>189.924643080836 * CHOOSE(CONTROL!$C$10, $C$13, 100%, $E$13) + CHOOSE(CONTROL!$C$29, 0.0021, 0)</f>
        <v>189.92674308083602</v>
      </c>
    </row>
    <row r="310" spans="1:5" ht="15">
      <c r="A310" s="13">
        <v>50586</v>
      </c>
      <c r="B310" s="4">
        <f>29.9531 * CHOOSE(CONTROL!$C$10, $C$13, 100%, $E$13) + CHOOSE(CONTROL!$C$29, 0.0274, 0)</f>
        <v>29.980499999999999</v>
      </c>
      <c r="C310" s="4">
        <f>29.7969 * CHOOSE(CONTROL!$C$10, $C$13, 100%, $E$13) + CHOOSE(CONTROL!$C$29, 0.0274, 0)</f>
        <v>29.824300000000001</v>
      </c>
      <c r="D310" s="4">
        <f>40.63 * CHOOSE(CONTROL!$C$10, $C$13, 100%, $E$13) + CHOOSE(CONTROL!$C$29, 0.0021, 0)</f>
        <v>40.632100000000001</v>
      </c>
      <c r="E310" s="4">
        <f>190.525590527634 * CHOOSE(CONTROL!$C$10, $C$13, 100%, $E$13) + CHOOSE(CONTROL!$C$29, 0.0021, 0)</f>
        <v>190.52769052763401</v>
      </c>
    </row>
    <row r="311" spans="1:5" ht="15">
      <c r="A311" s="13">
        <v>50617</v>
      </c>
      <c r="B311" s="4">
        <f>29.9438 * CHOOSE(CONTROL!$C$10, $C$13, 100%, $E$13) + CHOOSE(CONTROL!$C$29, 0.0274, 0)</f>
        <v>29.9712</v>
      </c>
      <c r="C311" s="4">
        <f>29.7875 * CHOOSE(CONTROL!$C$10, $C$13, 100%, $E$13) + CHOOSE(CONTROL!$C$29, 0.0274, 0)</f>
        <v>29.814900000000002</v>
      </c>
      <c r="D311" s="4">
        <f>41.2675 * CHOOSE(CONTROL!$C$10, $C$13, 100%, $E$13) + CHOOSE(CONTROL!$C$29, 0.0021, 0)</f>
        <v>41.269599999999997</v>
      </c>
      <c r="E311" s="4">
        <f>190.464990785099 * CHOOSE(CONTROL!$C$10, $C$13, 100%, $E$13) + CHOOSE(CONTROL!$C$29, 0.0021, 0)</f>
        <v>190.467090785099</v>
      </c>
    </row>
    <row r="312" spans="1:5" ht="15">
      <c r="A312" s="13">
        <v>50648</v>
      </c>
      <c r="B312" s="4">
        <f>30.6459 * CHOOSE(CONTROL!$C$10, $C$13, 100%, $E$13) + CHOOSE(CONTROL!$C$29, 0.0274, 0)</f>
        <v>30.673300000000001</v>
      </c>
      <c r="C312" s="4">
        <f>30.4897 * CHOOSE(CONTROL!$C$10, $C$13, 100%, $E$13) + CHOOSE(CONTROL!$C$29, 0.0274, 0)</f>
        <v>30.517099999999999</v>
      </c>
      <c r="D312" s="4">
        <f>40.8465 * CHOOSE(CONTROL!$C$10, $C$13, 100%, $E$13) + CHOOSE(CONTROL!$C$29, 0.0021, 0)</f>
        <v>40.848599999999998</v>
      </c>
      <c r="E312" s="4">
        <f>195.025121410801 * CHOOSE(CONTROL!$C$10, $C$13, 100%, $E$13) + CHOOSE(CONTROL!$C$29, 0.0021, 0)</f>
        <v>195.02722141080102</v>
      </c>
    </row>
    <row r="313" spans="1:5" ht="15">
      <c r="A313" s="13">
        <v>50678</v>
      </c>
      <c r="B313" s="4">
        <f>29.4493 * CHOOSE(CONTROL!$C$10, $C$13, 100%, $E$13) + CHOOSE(CONTROL!$C$29, 0.0274, 0)</f>
        <v>29.476700000000001</v>
      </c>
      <c r="C313" s="4">
        <f>29.293 * CHOOSE(CONTROL!$C$10, $C$13, 100%, $E$13) + CHOOSE(CONTROL!$C$29, 0.0274, 0)</f>
        <v>29.320399999999999</v>
      </c>
      <c r="D313" s="4">
        <f>40.6475 * CHOOSE(CONTROL!$C$10, $C$13, 100%, $E$13) + CHOOSE(CONTROL!$C$29, 0.0021, 0)</f>
        <v>40.6496</v>
      </c>
      <c r="E313" s="4">
        <f>187.253204430785 * CHOOSE(CONTROL!$C$10, $C$13, 100%, $E$13) + CHOOSE(CONTROL!$C$29, 0.0021, 0)</f>
        <v>187.255304430785</v>
      </c>
    </row>
    <row r="314" spans="1:5" ht="15">
      <c r="A314" s="13">
        <v>50709</v>
      </c>
      <c r="B314" s="4">
        <f>28.4913 * CHOOSE(CONTROL!$C$10, $C$13, 100%, $E$13) + CHOOSE(CONTROL!$C$29, 0.0274, 0)</f>
        <v>28.518699999999999</v>
      </c>
      <c r="C314" s="4">
        <f>28.3351 * CHOOSE(CONTROL!$C$10, $C$13, 100%, $E$13) + CHOOSE(CONTROL!$C$29, 0.0274, 0)</f>
        <v>28.362500000000001</v>
      </c>
      <c r="D314" s="4">
        <f>40.115 * CHOOSE(CONTROL!$C$10, $C$13, 100%, $E$13) + CHOOSE(CONTROL!$C$29, 0.0021, 0)</f>
        <v>40.117100000000001</v>
      </c>
      <c r="E314" s="4">
        <f>181.031630863937 * CHOOSE(CONTROL!$C$10, $C$13, 100%, $E$13) + CHOOSE(CONTROL!$C$29, 0.0021, 0)</f>
        <v>181.03373086393702</v>
      </c>
    </row>
    <row r="315" spans="1:5" ht="15">
      <c r="A315" s="13">
        <v>50739</v>
      </c>
      <c r="B315" s="4">
        <f>27.8743 * CHOOSE(CONTROL!$C$10, $C$13, 100%, $E$13) + CHOOSE(CONTROL!$C$29, 0.0274, 0)</f>
        <v>27.901700000000002</v>
      </c>
      <c r="C315" s="4">
        <f>27.7181 * CHOOSE(CONTROL!$C$10, $C$13, 100%, $E$13) + CHOOSE(CONTROL!$C$29, 0.0274, 0)</f>
        <v>27.7455</v>
      </c>
      <c r="D315" s="4">
        <f>39.9319 * CHOOSE(CONTROL!$C$10, $C$13, 100%, $E$13) + CHOOSE(CONTROL!$C$29, 0.0021, 0)</f>
        <v>39.933999999999997</v>
      </c>
      <c r="E315" s="4">
        <f>177.024472888861 * CHOOSE(CONTROL!$C$10, $C$13, 100%, $E$13) + CHOOSE(CONTROL!$C$29, 0.0021, 0)</f>
        <v>177.02657288886101</v>
      </c>
    </row>
    <row r="316" spans="1:5" ht="15">
      <c r="A316" s="13">
        <v>50770</v>
      </c>
      <c r="B316" s="4">
        <f>27.4474 * CHOOSE(CONTROL!$C$10, $C$13, 100%, $E$13) + CHOOSE(CONTROL!$C$29, 0.0274, 0)</f>
        <v>27.474799999999998</v>
      </c>
      <c r="C316" s="4">
        <f>27.2912 * CHOOSE(CONTROL!$C$10, $C$13, 100%, $E$13) + CHOOSE(CONTROL!$C$29, 0.0274, 0)</f>
        <v>27.3186</v>
      </c>
      <c r="D316" s="4">
        <f>38.5838 * CHOOSE(CONTROL!$C$10, $C$13, 100%, $E$13) + CHOOSE(CONTROL!$C$29, 0.0021, 0)</f>
        <v>38.585899999999995</v>
      </c>
      <c r="E316" s="4">
        <f>174.252034667919 * CHOOSE(CONTROL!$C$10, $C$13, 100%, $E$13) + CHOOSE(CONTROL!$C$29, 0.0021, 0)</f>
        <v>174.254134667919</v>
      </c>
    </row>
    <row r="317" spans="1:5" ht="15">
      <c r="A317" s="13">
        <v>50801</v>
      </c>
      <c r="B317" s="4">
        <f>26.3286 * CHOOSE(CONTROL!$C$10, $C$13, 100%, $E$13) + CHOOSE(CONTROL!$C$29, 0.0274, 0)</f>
        <v>26.356000000000002</v>
      </c>
      <c r="C317" s="4">
        <f>26.1723 * CHOOSE(CONTROL!$C$10, $C$13, 100%, $E$13) + CHOOSE(CONTROL!$C$29, 0.0274, 0)</f>
        <v>26.1997</v>
      </c>
      <c r="D317" s="4">
        <f>37.0318 * CHOOSE(CONTROL!$C$10, $C$13, 100%, $E$13) + CHOOSE(CONTROL!$C$29, 0.0021, 0)</f>
        <v>37.033899999999996</v>
      </c>
      <c r="E317" s="4">
        <f>166.993729366519 * CHOOSE(CONTROL!$C$10, $C$13, 100%, $E$13) + CHOOSE(CONTROL!$C$29, 0.0021, 0)</f>
        <v>166.99582936651902</v>
      </c>
    </row>
    <row r="318" spans="1:5" ht="15">
      <c r="A318" s="13">
        <v>50829</v>
      </c>
      <c r="B318" s="4">
        <f>26.9391 * CHOOSE(CONTROL!$C$10, $C$13, 100%, $E$13) + CHOOSE(CONTROL!$C$29, 0.0274, 0)</f>
        <v>26.9665</v>
      </c>
      <c r="C318" s="4">
        <f>26.7828 * CHOOSE(CONTROL!$C$10, $C$13, 100%, $E$13) + CHOOSE(CONTROL!$C$29, 0.0274, 0)</f>
        <v>26.810200000000002</v>
      </c>
      <c r="D318" s="4">
        <f>38.2684 * CHOOSE(CONTROL!$C$10, $C$13, 100%, $E$13) + CHOOSE(CONTROL!$C$29, 0.0021, 0)</f>
        <v>38.270499999999998</v>
      </c>
      <c r="E318" s="4">
        <f>170.958818608845 * CHOOSE(CONTROL!$C$10, $C$13, 100%, $E$13) + CHOOSE(CONTROL!$C$29, 0.0021, 0)</f>
        <v>170.96091860884502</v>
      </c>
    </row>
    <row r="319" spans="1:5" ht="15">
      <c r="A319" s="13">
        <v>50860</v>
      </c>
      <c r="B319" s="4">
        <f>28.5422 * CHOOSE(CONTROL!$C$10, $C$13, 100%, $E$13) + CHOOSE(CONTROL!$C$29, 0.0274, 0)</f>
        <v>28.569600000000001</v>
      </c>
      <c r="C319" s="4">
        <f>28.386 * CHOOSE(CONTROL!$C$10, $C$13, 100%, $E$13) + CHOOSE(CONTROL!$C$29, 0.0274, 0)</f>
        <v>28.413399999999999</v>
      </c>
      <c r="D319" s="4">
        <f>40.2042 * CHOOSE(CONTROL!$C$10, $C$13, 100%, $E$13) + CHOOSE(CONTROL!$C$29, 0.0021, 0)</f>
        <v>40.206299999999999</v>
      </c>
      <c r="E319" s="4">
        <f>181.371353676832 * CHOOSE(CONTROL!$C$10, $C$13, 100%, $E$13) + CHOOSE(CONTROL!$C$29, 0.0021, 0)</f>
        <v>181.37345367683201</v>
      </c>
    </row>
    <row r="320" spans="1:5" ht="15">
      <c r="A320" s="13">
        <v>50890</v>
      </c>
      <c r="B320" s="4">
        <f>29.6813 * CHOOSE(CONTROL!$C$10, $C$13, 100%, $E$13) + CHOOSE(CONTROL!$C$29, 0.0274, 0)</f>
        <v>29.7087</v>
      </c>
      <c r="C320" s="4">
        <f>29.5251 * CHOOSE(CONTROL!$C$10, $C$13, 100%, $E$13) + CHOOSE(CONTROL!$C$29, 0.0274, 0)</f>
        <v>29.552499999999998</v>
      </c>
      <c r="D320" s="4">
        <f>41.3193 * CHOOSE(CONTROL!$C$10, $C$13, 100%, $E$13) + CHOOSE(CONTROL!$C$29, 0.0021, 0)</f>
        <v>41.321399999999997</v>
      </c>
      <c r="E320" s="4">
        <f>188.769598607912 * CHOOSE(CONTROL!$C$10, $C$13, 100%, $E$13) + CHOOSE(CONTROL!$C$29, 0.0021, 0)</f>
        <v>188.77169860791201</v>
      </c>
    </row>
    <row r="321" spans="1:5" ht="15">
      <c r="A321" s="13">
        <v>50921</v>
      </c>
      <c r="B321" s="4">
        <f>30.3773 * CHOOSE(CONTROL!$C$10, $C$13, 100%, $E$13) + CHOOSE(CONTROL!$C$29, 0.0274, 0)</f>
        <v>30.404700000000002</v>
      </c>
      <c r="C321" s="4">
        <f>30.221 * CHOOSE(CONTROL!$C$10, $C$13, 100%, $E$13) + CHOOSE(CONTROL!$C$29, 0.0274, 0)</f>
        <v>30.2484</v>
      </c>
      <c r="D321" s="4">
        <f>40.8787 * CHOOSE(CONTROL!$C$10, $C$13, 100%, $E$13) + CHOOSE(CONTROL!$C$29, 0.0021, 0)</f>
        <v>40.880800000000001</v>
      </c>
      <c r="E321" s="4">
        <f>193.289748949617 * CHOOSE(CONTROL!$C$10, $C$13, 100%, $E$13) + CHOOSE(CONTROL!$C$29, 0.0021, 0)</f>
        <v>193.29184894961702</v>
      </c>
    </row>
    <row r="322" spans="1:5" ht="15">
      <c r="A322" s="13">
        <v>50951</v>
      </c>
      <c r="B322" s="4">
        <f>30.4714 * CHOOSE(CONTROL!$C$10, $C$13, 100%, $E$13) + CHOOSE(CONTROL!$C$29, 0.0274, 0)</f>
        <v>30.498799999999999</v>
      </c>
      <c r="C322" s="4">
        <f>30.3152 * CHOOSE(CONTROL!$C$10, $C$13, 100%, $E$13) + CHOOSE(CONTROL!$C$29, 0.0274, 0)</f>
        <v>30.342600000000001</v>
      </c>
      <c r="D322" s="4">
        <f>41.2375 * CHOOSE(CONTROL!$C$10, $C$13, 100%, $E$13) + CHOOSE(CONTROL!$C$29, 0.0021, 0)</f>
        <v>41.239599999999996</v>
      </c>
      <c r="E322" s="4">
        <f>193.901344049859 * CHOOSE(CONTROL!$C$10, $C$13, 100%, $E$13) + CHOOSE(CONTROL!$C$29, 0.0021, 0)</f>
        <v>193.90344404985902</v>
      </c>
    </row>
    <row r="323" spans="1:5" ht="15">
      <c r="A323" s="13">
        <v>50982</v>
      </c>
      <c r="B323" s="4">
        <f>30.4619 * CHOOSE(CONTROL!$C$10, $C$13, 100%, $E$13) + CHOOSE(CONTROL!$C$29, 0.0274, 0)</f>
        <v>30.4893</v>
      </c>
      <c r="C323" s="4">
        <f>30.3057 * CHOOSE(CONTROL!$C$10, $C$13, 100%, $E$13) + CHOOSE(CONTROL!$C$29, 0.0274, 0)</f>
        <v>30.333100000000002</v>
      </c>
      <c r="D323" s="4">
        <f>41.885 * CHOOSE(CONTROL!$C$10, $C$13, 100%, $E$13) + CHOOSE(CONTROL!$C$29, 0.0021, 0)</f>
        <v>41.887099999999997</v>
      </c>
      <c r="E323" s="4">
        <f>193.839670594372 * CHOOSE(CONTROL!$C$10, $C$13, 100%, $E$13) + CHOOSE(CONTROL!$C$29, 0.0021, 0)</f>
        <v>193.84177059437201</v>
      </c>
    </row>
    <row r="324" spans="1:5" ht="15">
      <c r="A324" s="13">
        <v>51013</v>
      </c>
      <c r="B324" s="4">
        <f>31.1765 * CHOOSE(CONTROL!$C$10, $C$13, 100%, $E$13) + CHOOSE(CONTROL!$C$29, 0.0274, 0)</f>
        <v>31.203900000000001</v>
      </c>
      <c r="C324" s="4">
        <f>31.0202 * CHOOSE(CONTROL!$C$10, $C$13, 100%, $E$13) + CHOOSE(CONTROL!$C$29, 0.0274, 0)</f>
        <v>31.047599999999999</v>
      </c>
      <c r="D324" s="4">
        <f>41.4574 * CHOOSE(CONTROL!$C$10, $C$13, 100%, $E$13) + CHOOSE(CONTROL!$C$29, 0.0021, 0)</f>
        <v>41.459499999999998</v>
      </c>
      <c r="E324" s="4">
        <f>198.480598119739 * CHOOSE(CONTROL!$C$10, $C$13, 100%, $E$13) + CHOOSE(CONTROL!$C$29, 0.0021, 0)</f>
        <v>198.48269811973901</v>
      </c>
    </row>
    <row r="325" spans="1:5" ht="15">
      <c r="A325" s="13">
        <v>51043</v>
      </c>
      <c r="B325" s="4">
        <f>29.9587 * CHOOSE(CONTROL!$C$10, $C$13, 100%, $E$13) + CHOOSE(CONTROL!$C$29, 0.0274, 0)</f>
        <v>29.9861</v>
      </c>
      <c r="C325" s="4">
        <f>29.8024 * CHOOSE(CONTROL!$C$10, $C$13, 100%, $E$13) + CHOOSE(CONTROL!$C$29, 0.0274, 0)</f>
        <v>29.829799999999999</v>
      </c>
      <c r="D325" s="4">
        <f>41.2554 * CHOOSE(CONTROL!$C$10, $C$13, 100%, $E$13) + CHOOSE(CONTROL!$C$29, 0.0021, 0)</f>
        <v>41.2575</v>
      </c>
      <c r="E325" s="4">
        <f>190.570977453583 * CHOOSE(CONTROL!$C$10, $C$13, 100%, $E$13) + CHOOSE(CONTROL!$C$29, 0.0021, 0)</f>
        <v>190.57307745358301</v>
      </c>
    </row>
    <row r="326" spans="1:5" ht="15">
      <c r="A326" s="13">
        <v>51074</v>
      </c>
      <c r="B326" s="4">
        <f>28.9838 * CHOOSE(CONTROL!$C$10, $C$13, 100%, $E$13) + CHOOSE(CONTROL!$C$29, 0.0274, 0)</f>
        <v>29.011199999999999</v>
      </c>
      <c r="C326" s="4">
        <f>28.8275 * CHOOSE(CONTROL!$C$10, $C$13, 100%, $E$13) + CHOOSE(CONTROL!$C$29, 0.0274, 0)</f>
        <v>28.854900000000001</v>
      </c>
      <c r="D326" s="4">
        <f>40.7144 * CHOOSE(CONTROL!$C$10, $C$13, 100%, $E$13) + CHOOSE(CONTROL!$C$29, 0.0021, 0)</f>
        <v>40.716499999999996</v>
      </c>
      <c r="E326" s="4">
        <f>184.239169356959 * CHOOSE(CONTROL!$C$10, $C$13, 100%, $E$13) + CHOOSE(CONTROL!$C$29, 0.0021, 0)</f>
        <v>184.24126935695901</v>
      </c>
    </row>
    <row r="327" spans="1:5" ht="15">
      <c r="A327" s="13">
        <v>51104</v>
      </c>
      <c r="B327" s="4">
        <f>28.3559 * CHOOSE(CONTROL!$C$10, $C$13, 100%, $E$13) + CHOOSE(CONTROL!$C$29, 0.0274, 0)</f>
        <v>28.383299999999998</v>
      </c>
      <c r="C327" s="4">
        <f>28.1996 * CHOOSE(CONTROL!$C$10, $C$13, 100%, $E$13) + CHOOSE(CONTROL!$C$29, 0.0274, 0)</f>
        <v>28.227</v>
      </c>
      <c r="D327" s="4">
        <f>40.5284 * CHOOSE(CONTROL!$C$10, $C$13, 100%, $E$13) + CHOOSE(CONTROL!$C$29, 0.0021, 0)</f>
        <v>40.530499999999996</v>
      </c>
      <c r="E327" s="4">
        <f>180.161012112908 * CHOOSE(CONTROL!$C$10, $C$13, 100%, $E$13) + CHOOSE(CONTROL!$C$29, 0.0021, 0)</f>
        <v>180.16311211290801</v>
      </c>
    </row>
    <row r="328" spans="1:5" ht="15">
      <c r="A328" s="13">
        <v>51135</v>
      </c>
      <c r="B328" s="4">
        <f>27.9215 * CHOOSE(CONTROL!$C$10, $C$13, 100%, $E$13) + CHOOSE(CONTROL!$C$29, 0.0274, 0)</f>
        <v>27.948900000000002</v>
      </c>
      <c r="C328" s="4">
        <f>27.7652 * CHOOSE(CONTROL!$C$10, $C$13, 100%, $E$13) + CHOOSE(CONTROL!$C$29, 0.0274, 0)</f>
        <v>27.7926</v>
      </c>
      <c r="D328" s="4">
        <f>39.1592 * CHOOSE(CONTROL!$C$10, $C$13, 100%, $E$13) + CHOOSE(CONTROL!$C$29, 0.0021, 0)</f>
        <v>39.161299999999997</v>
      </c>
      <c r="E328" s="4">
        <f>177.339451524396 * CHOOSE(CONTROL!$C$10, $C$13, 100%, $E$13) + CHOOSE(CONTROL!$C$29, 0.0021, 0)</f>
        <v>177.34155152439601</v>
      </c>
    </row>
    <row r="329" spans="1:5" ht="15">
      <c r="A329" s="13">
        <v>51166</v>
      </c>
      <c r="B329" s="4">
        <f>26.7829 * CHOOSE(CONTROL!$C$10, $C$13, 100%, $E$13) + CHOOSE(CONTROL!$C$29, 0.0274, 0)</f>
        <v>26.810300000000002</v>
      </c>
      <c r="C329" s="4">
        <f>26.6266 * CHOOSE(CONTROL!$C$10, $C$13, 100%, $E$13) + CHOOSE(CONTROL!$C$29, 0.0274, 0)</f>
        <v>26.654</v>
      </c>
      <c r="D329" s="4">
        <f>37.5828 * CHOOSE(CONTROL!$C$10, $C$13, 100%, $E$13) + CHOOSE(CONTROL!$C$29, 0.0021, 0)</f>
        <v>37.584899999999998</v>
      </c>
      <c r="E329" s="4">
        <f>169.952542765483 * CHOOSE(CONTROL!$C$10, $C$13, 100%, $E$13) + CHOOSE(CONTROL!$C$29, 0.0021, 0)</f>
        <v>169.95464276548302</v>
      </c>
    </row>
    <row r="330" spans="1:5" ht="15">
      <c r="A330" s="13">
        <v>51194</v>
      </c>
      <c r="B330" s="4">
        <f>27.4041 * CHOOSE(CONTROL!$C$10, $C$13, 100%, $E$13) + CHOOSE(CONTROL!$C$29, 0.0274, 0)</f>
        <v>27.4315</v>
      </c>
      <c r="C330" s="4">
        <f>27.2479 * CHOOSE(CONTROL!$C$10, $C$13, 100%, $E$13) + CHOOSE(CONTROL!$C$29, 0.0274, 0)</f>
        <v>27.275300000000001</v>
      </c>
      <c r="D330" s="4">
        <f>38.8388 * CHOOSE(CONTROL!$C$10, $C$13, 100%, $E$13) + CHOOSE(CONTROL!$C$29, 0.0021, 0)</f>
        <v>38.840899999999998</v>
      </c>
      <c r="E330" s="4">
        <f>173.987885898316 * CHOOSE(CONTROL!$C$10, $C$13, 100%, $E$13) + CHOOSE(CONTROL!$C$29, 0.0021, 0)</f>
        <v>173.98998589831601</v>
      </c>
    </row>
    <row r="331" spans="1:5" ht="15">
      <c r="A331" s="13">
        <v>51226</v>
      </c>
      <c r="B331" s="4">
        <f>29.0356 * CHOOSE(CONTROL!$C$10, $C$13, 100%, $E$13) + CHOOSE(CONTROL!$C$29, 0.0274, 0)</f>
        <v>29.062999999999999</v>
      </c>
      <c r="C331" s="4">
        <f>28.8794 * CHOOSE(CONTROL!$C$10, $C$13, 100%, $E$13) + CHOOSE(CONTROL!$C$29, 0.0274, 0)</f>
        <v>28.9068</v>
      </c>
      <c r="D331" s="4">
        <f>40.805 * CHOOSE(CONTROL!$C$10, $C$13, 100%, $E$13) + CHOOSE(CONTROL!$C$29, 0.0021, 0)</f>
        <v>40.807099999999998</v>
      </c>
      <c r="E331" s="4">
        <f>184.584911416292 * CHOOSE(CONTROL!$C$10, $C$13, 100%, $E$13) + CHOOSE(CONTROL!$C$29, 0.0021, 0)</f>
        <v>184.587011416292</v>
      </c>
    </row>
    <row r="332" spans="1:5" ht="15">
      <c r="A332" s="13">
        <v>51256</v>
      </c>
      <c r="B332" s="4">
        <f>30.1948 * CHOOSE(CONTROL!$C$10, $C$13, 100%, $E$13) + CHOOSE(CONTROL!$C$29, 0.0274, 0)</f>
        <v>30.222200000000001</v>
      </c>
      <c r="C332" s="4">
        <f>30.0386 * CHOOSE(CONTROL!$C$10, $C$13, 100%, $E$13) + CHOOSE(CONTROL!$C$29, 0.0274, 0)</f>
        <v>30.065999999999999</v>
      </c>
      <c r="D332" s="4">
        <f>41.9377 * CHOOSE(CONTROL!$C$10, $C$13, 100%, $E$13) + CHOOSE(CONTROL!$C$29, 0.0021, 0)</f>
        <v>41.939799999999998</v>
      </c>
      <c r="E332" s="4">
        <f>192.114239270749 * CHOOSE(CONTROL!$C$10, $C$13, 100%, $E$13) + CHOOSE(CONTROL!$C$29, 0.0021, 0)</f>
        <v>192.11633927074902</v>
      </c>
    </row>
    <row r="333" spans="1:5" ht="15">
      <c r="A333" s="13">
        <v>51287</v>
      </c>
      <c r="B333" s="4">
        <f>30.9031 * CHOOSE(CONTROL!$C$10, $C$13, 100%, $E$13) + CHOOSE(CONTROL!$C$29, 0.0274, 0)</f>
        <v>30.930499999999999</v>
      </c>
      <c r="C333" s="4">
        <f>30.7468 * CHOOSE(CONTROL!$C$10, $C$13, 100%, $E$13) + CHOOSE(CONTROL!$C$29, 0.0274, 0)</f>
        <v>30.7742</v>
      </c>
      <c r="D333" s="4">
        <f>41.4901 * CHOOSE(CONTROL!$C$10, $C$13, 100%, $E$13) + CHOOSE(CONTROL!$C$29, 0.0021, 0)</f>
        <v>41.492199999999997</v>
      </c>
      <c r="E333" s="4">
        <f>196.714478137017 * CHOOSE(CONTROL!$C$10, $C$13, 100%, $E$13) + CHOOSE(CONTROL!$C$29, 0.0021, 0)</f>
        <v>196.71657813701702</v>
      </c>
    </row>
    <row r="334" spans="1:5" ht="15">
      <c r="A334" s="13">
        <v>51317</v>
      </c>
      <c r="B334" s="4">
        <f>30.9989 * CHOOSE(CONTROL!$C$10, $C$13, 100%, $E$13) + CHOOSE(CONTROL!$C$29, 0.0274, 0)</f>
        <v>31.026299999999999</v>
      </c>
      <c r="C334" s="4">
        <f>30.8427 * CHOOSE(CONTROL!$C$10, $C$13, 100%, $E$13) + CHOOSE(CONTROL!$C$29, 0.0274, 0)</f>
        <v>30.870100000000001</v>
      </c>
      <c r="D334" s="4">
        <f>41.8546 * CHOOSE(CONTROL!$C$10, $C$13, 100%, $E$13) + CHOOSE(CONTROL!$C$29, 0.0021, 0)</f>
        <v>41.856699999999996</v>
      </c>
      <c r="E334" s="4">
        <f>197.336909547007 * CHOOSE(CONTROL!$C$10, $C$13, 100%, $E$13) + CHOOSE(CONTROL!$C$29, 0.0021, 0)</f>
        <v>197.33900954700701</v>
      </c>
    </row>
    <row r="335" spans="1:5" ht="15">
      <c r="A335" s="13">
        <v>51348</v>
      </c>
      <c r="B335" s="4">
        <f>30.9892 * CHOOSE(CONTROL!$C$10, $C$13, 100%, $E$13) + CHOOSE(CONTROL!$C$29, 0.0274, 0)</f>
        <v>31.0166</v>
      </c>
      <c r="C335" s="4">
        <f>30.833 * CHOOSE(CONTROL!$C$10, $C$13, 100%, $E$13) + CHOOSE(CONTROL!$C$29, 0.0274, 0)</f>
        <v>30.860399999999998</v>
      </c>
      <c r="D335" s="4">
        <f>42.5123 * CHOOSE(CONTROL!$C$10, $C$13, 100%, $E$13) + CHOOSE(CONTROL!$C$29, 0.0021, 0)</f>
        <v>42.514400000000002</v>
      </c>
      <c r="E335" s="4">
        <f>197.274143354403 * CHOOSE(CONTROL!$C$10, $C$13, 100%, $E$13) + CHOOSE(CONTROL!$C$29, 0.0021, 0)</f>
        <v>197.27624335440302</v>
      </c>
    </row>
    <row r="336" spans="1:5" ht="15">
      <c r="A336" s="13">
        <v>51379</v>
      </c>
      <c r="B336" s="4">
        <f>31.7164 * CHOOSE(CONTROL!$C$10, $C$13, 100%, $E$13) + CHOOSE(CONTROL!$C$29, 0.0274, 0)</f>
        <v>31.7438</v>
      </c>
      <c r="C336" s="4">
        <f>31.5602 * CHOOSE(CONTROL!$C$10, $C$13, 100%, $E$13) + CHOOSE(CONTROL!$C$29, 0.0274, 0)</f>
        <v>31.587599999999998</v>
      </c>
      <c r="D336" s="4">
        <f>42.0779 * CHOOSE(CONTROL!$C$10, $C$13, 100%, $E$13) + CHOOSE(CONTROL!$C$29, 0.0021, 0)</f>
        <v>42.08</v>
      </c>
      <c r="E336" s="4">
        <f>201.997299347855 * CHOOSE(CONTROL!$C$10, $C$13, 100%, $E$13) + CHOOSE(CONTROL!$C$29, 0.0021, 0)</f>
        <v>201.99939934785502</v>
      </c>
    </row>
    <row r="337" spans="1:5" ht="15">
      <c r="A337" s="13">
        <v>51409</v>
      </c>
      <c r="B337" s="4">
        <f>30.4771 * CHOOSE(CONTROL!$C$10, $C$13, 100%, $E$13) + CHOOSE(CONTROL!$C$29, 0.0274, 0)</f>
        <v>30.5045</v>
      </c>
      <c r="C337" s="4">
        <f>30.3208 * CHOOSE(CONTROL!$C$10, $C$13, 100%, $E$13) + CHOOSE(CONTROL!$C$29, 0.0274, 0)</f>
        <v>30.348199999999999</v>
      </c>
      <c r="D337" s="4">
        <f>41.8727 * CHOOSE(CONTROL!$C$10, $C$13, 100%, $E$13) + CHOOSE(CONTROL!$C$29, 0.0021, 0)</f>
        <v>41.8748</v>
      </c>
      <c r="E337" s="4">
        <f>193.947535146391 * CHOOSE(CONTROL!$C$10, $C$13, 100%, $E$13) + CHOOSE(CONTROL!$C$29, 0.0021, 0)</f>
        <v>193.94963514639102</v>
      </c>
    </row>
    <row r="338" spans="1:5" ht="15">
      <c r="A338" s="13">
        <v>51440</v>
      </c>
      <c r="B338" s="4">
        <f>29.485 * CHOOSE(CONTROL!$C$10, $C$13, 100%, $E$13) + CHOOSE(CONTROL!$C$29, 0.0274, 0)</f>
        <v>29.5124</v>
      </c>
      <c r="C338" s="4">
        <f>29.3287 * CHOOSE(CONTROL!$C$10, $C$13, 100%, $E$13) + CHOOSE(CONTROL!$C$29, 0.0274, 0)</f>
        <v>29.356100000000001</v>
      </c>
      <c r="D338" s="4">
        <f>41.3233 * CHOOSE(CONTROL!$C$10, $C$13, 100%, $E$13) + CHOOSE(CONTROL!$C$29, 0.0021, 0)</f>
        <v>41.325400000000002</v>
      </c>
      <c r="E338" s="4">
        <f>187.503539372379 * CHOOSE(CONTROL!$C$10, $C$13, 100%, $E$13) + CHOOSE(CONTROL!$C$29, 0.0021, 0)</f>
        <v>187.50563937237902</v>
      </c>
    </row>
    <row r="339" spans="1:5" ht="15">
      <c r="A339" s="13">
        <v>51470</v>
      </c>
      <c r="B339" s="4">
        <f>28.846 * CHOOSE(CONTROL!$C$10, $C$13, 100%, $E$13) + CHOOSE(CONTROL!$C$29, 0.0274, 0)</f>
        <v>28.8734</v>
      </c>
      <c r="C339" s="4">
        <f>28.6897 * CHOOSE(CONTROL!$C$10, $C$13, 100%, $E$13) + CHOOSE(CONTROL!$C$29, 0.0274, 0)</f>
        <v>28.717099999999999</v>
      </c>
      <c r="D339" s="4">
        <f>41.1343 * CHOOSE(CONTROL!$C$10, $C$13, 100%, $E$13) + CHOOSE(CONTROL!$C$29, 0.0021, 0)</f>
        <v>41.136400000000002</v>
      </c>
      <c r="E339" s="4">
        <f>183.353124886439 * CHOOSE(CONTROL!$C$10, $C$13, 100%, $E$13) + CHOOSE(CONTROL!$C$29, 0.0021, 0)</f>
        <v>183.355224886439</v>
      </c>
    </row>
    <row r="340" spans="1:5" ht="15">
      <c r="A340" s="13">
        <v>51501</v>
      </c>
      <c r="B340" s="4">
        <f>28.4039 * CHOOSE(CONTROL!$C$10, $C$13, 100%, $E$13) + CHOOSE(CONTROL!$C$29, 0.0274, 0)</f>
        <v>28.4313</v>
      </c>
      <c r="C340" s="4">
        <f>28.2476 * CHOOSE(CONTROL!$C$10, $C$13, 100%, $E$13) + CHOOSE(CONTROL!$C$29, 0.0274, 0)</f>
        <v>28.274999999999999</v>
      </c>
      <c r="D340" s="4">
        <f>39.7436 * CHOOSE(CONTROL!$C$10, $C$13, 100%, $E$13) + CHOOSE(CONTROL!$C$29, 0.0021, 0)</f>
        <v>39.745699999999999</v>
      </c>
      <c r="E340" s="4">
        <f>180.481571574805 * CHOOSE(CONTROL!$C$10, $C$13, 100%, $E$13) + CHOOSE(CONTROL!$C$29, 0.0021, 0)</f>
        <v>180.48367157480502</v>
      </c>
    </row>
    <row r="341" spans="1:5" ht="15">
      <c r="A341" s="13">
        <v>51532</v>
      </c>
      <c r="B341" s="4">
        <f>27.2452 * CHOOSE(CONTROL!$C$10, $C$13, 100%, $E$13) + CHOOSE(CONTROL!$C$29, 0.0274, 0)</f>
        <v>27.272600000000001</v>
      </c>
      <c r="C341" s="4">
        <f>27.0889 * CHOOSE(CONTROL!$C$10, $C$13, 100%, $E$13) + CHOOSE(CONTROL!$C$29, 0.0274, 0)</f>
        <v>27.116299999999999</v>
      </c>
      <c r="D341" s="4">
        <f>38.1424 * CHOOSE(CONTROL!$C$10, $C$13, 100%, $E$13) + CHOOSE(CONTROL!$C$29, 0.0021, 0)</f>
        <v>38.144500000000001</v>
      </c>
      <c r="E341" s="4">
        <f>172.96378074807 * CHOOSE(CONTROL!$C$10, $C$13, 100%, $E$13) + CHOOSE(CONTROL!$C$29, 0.0021, 0)</f>
        <v>172.96588074807002</v>
      </c>
    </row>
    <row r="342" spans="1:5" ht="15">
      <c r="A342" s="13">
        <v>51560</v>
      </c>
      <c r="B342" s="4">
        <f>27.8774 * CHOOSE(CONTROL!$C$10, $C$13, 100%, $E$13) + CHOOSE(CONTROL!$C$29, 0.0274, 0)</f>
        <v>27.904800000000002</v>
      </c>
      <c r="C342" s="4">
        <f>27.7212 * CHOOSE(CONTROL!$C$10, $C$13, 100%, $E$13) + CHOOSE(CONTROL!$C$29, 0.0274, 0)</f>
        <v>27.7486</v>
      </c>
      <c r="D342" s="4">
        <f>39.4182 * CHOOSE(CONTROL!$C$10, $C$13, 100%, $E$13) + CHOOSE(CONTROL!$C$29, 0.0021, 0)</f>
        <v>39.420299999999997</v>
      </c>
      <c r="E342" s="4">
        <f>177.070622537626 * CHOOSE(CONTROL!$C$10, $C$13, 100%, $E$13) + CHOOSE(CONTROL!$C$29, 0.0021, 0)</f>
        <v>177.07272253762602</v>
      </c>
    </row>
    <row r="343" spans="1:5" ht="15">
      <c r="A343" s="13">
        <v>51591</v>
      </c>
      <c r="B343" s="4">
        <f>29.5377 * CHOOSE(CONTROL!$C$10, $C$13, 100%, $E$13) + CHOOSE(CONTROL!$C$29, 0.0274, 0)</f>
        <v>29.565100000000001</v>
      </c>
      <c r="C343" s="4">
        <f>29.3815 * CHOOSE(CONTROL!$C$10, $C$13, 100%, $E$13) + CHOOSE(CONTROL!$C$29, 0.0274, 0)</f>
        <v>29.408899999999999</v>
      </c>
      <c r="D343" s="4">
        <f>41.4153 * CHOOSE(CONTROL!$C$10, $C$13, 100%, $E$13) + CHOOSE(CONTROL!$C$29, 0.0021, 0)</f>
        <v>41.417400000000001</v>
      </c>
      <c r="E343" s="4">
        <f>187.855407327826 * CHOOSE(CONTROL!$C$10, $C$13, 100%, $E$13) + CHOOSE(CONTROL!$C$29, 0.0021, 0)</f>
        <v>187.857507327826</v>
      </c>
    </row>
    <row r="344" spans="1:5" ht="15">
      <c r="A344" s="13">
        <v>51621</v>
      </c>
      <c r="B344" s="4">
        <f>30.7174 * CHOOSE(CONTROL!$C$10, $C$13, 100%, $E$13) + CHOOSE(CONTROL!$C$29, 0.0274, 0)</f>
        <v>30.744800000000001</v>
      </c>
      <c r="C344" s="4">
        <f>30.5612 * CHOOSE(CONTROL!$C$10, $C$13, 100%, $E$13) + CHOOSE(CONTROL!$C$29, 0.0274, 0)</f>
        <v>30.5886</v>
      </c>
      <c r="D344" s="4">
        <f>42.5658 * CHOOSE(CONTROL!$C$10, $C$13, 100%, $E$13) + CHOOSE(CONTROL!$C$29, 0.0021, 0)</f>
        <v>42.567900000000002</v>
      </c>
      <c r="E344" s="4">
        <f>195.518140647419 * CHOOSE(CONTROL!$C$10, $C$13, 100%, $E$13) + CHOOSE(CONTROL!$C$29, 0.0021, 0)</f>
        <v>195.520240647419</v>
      </c>
    </row>
    <row r="345" spans="1:5" ht="15">
      <c r="A345" s="13">
        <v>51652</v>
      </c>
      <c r="B345" s="4">
        <f>31.4382 * CHOOSE(CONTROL!$C$10, $C$13, 100%, $E$13) + CHOOSE(CONTROL!$C$29, 0.0274, 0)</f>
        <v>31.465599999999998</v>
      </c>
      <c r="C345" s="4">
        <f>31.2819 * CHOOSE(CONTROL!$C$10, $C$13, 100%, $E$13) + CHOOSE(CONTROL!$C$29, 0.0274, 0)</f>
        <v>31.3093</v>
      </c>
      <c r="D345" s="4">
        <f>42.1112 * CHOOSE(CONTROL!$C$10, $C$13, 100%, $E$13) + CHOOSE(CONTROL!$C$29, 0.0021, 0)</f>
        <v>42.113299999999995</v>
      </c>
      <c r="E345" s="4">
        <f>200.199887055603 * CHOOSE(CONTROL!$C$10, $C$13, 100%, $E$13) + CHOOSE(CONTROL!$C$29, 0.0021, 0)</f>
        <v>200.20198705560301</v>
      </c>
    </row>
    <row r="346" spans="1:5" ht="15">
      <c r="A346" s="13">
        <v>51682</v>
      </c>
      <c r="B346" s="4">
        <f>31.5357 * CHOOSE(CONTROL!$C$10, $C$13, 100%, $E$13) + CHOOSE(CONTROL!$C$29, 0.0274, 0)</f>
        <v>31.563099999999999</v>
      </c>
      <c r="C346" s="4">
        <f>31.3795 * CHOOSE(CONTROL!$C$10, $C$13, 100%, $E$13) + CHOOSE(CONTROL!$C$29, 0.0274, 0)</f>
        <v>31.4069</v>
      </c>
      <c r="D346" s="4">
        <f>42.4814 * CHOOSE(CONTROL!$C$10, $C$13, 100%, $E$13) + CHOOSE(CONTROL!$C$29, 0.0021, 0)</f>
        <v>42.483499999999999</v>
      </c>
      <c r="E346" s="4">
        <f>200.833346774277 * CHOOSE(CONTROL!$C$10, $C$13, 100%, $E$13) + CHOOSE(CONTROL!$C$29, 0.0021, 0)</f>
        <v>200.83544677427702</v>
      </c>
    </row>
    <row r="347" spans="1:5" ht="15">
      <c r="A347" s="13">
        <v>51713</v>
      </c>
      <c r="B347" s="4">
        <f>31.5259 * CHOOSE(CONTROL!$C$10, $C$13, 100%, $E$13) + CHOOSE(CONTROL!$C$29, 0.0274, 0)</f>
        <v>31.5533</v>
      </c>
      <c r="C347" s="4">
        <f>31.3696 * CHOOSE(CONTROL!$C$10, $C$13, 100%, $E$13) + CHOOSE(CONTROL!$C$29, 0.0274, 0)</f>
        <v>31.396999999999998</v>
      </c>
      <c r="D347" s="4">
        <f>43.1494 * CHOOSE(CONTROL!$C$10, $C$13, 100%, $E$13) + CHOOSE(CONTROL!$C$29, 0.0021, 0)</f>
        <v>43.151499999999999</v>
      </c>
      <c r="E347" s="4">
        <f>200.769468483318 * CHOOSE(CONTROL!$C$10, $C$13, 100%, $E$13) + CHOOSE(CONTROL!$C$29, 0.0021, 0)</f>
        <v>200.77156848331802</v>
      </c>
    </row>
    <row r="348" spans="1:5" ht="15">
      <c r="A348" s="13">
        <v>51744</v>
      </c>
      <c r="B348" s="4">
        <f>32.2659 * CHOOSE(CONTROL!$C$10, $C$13, 100%, $E$13) + CHOOSE(CONTROL!$C$29, 0.0274, 0)</f>
        <v>32.293300000000002</v>
      </c>
      <c r="C348" s="4">
        <f>32.1096 * CHOOSE(CONTROL!$C$10, $C$13, 100%, $E$13) + CHOOSE(CONTROL!$C$29, 0.0274, 0)</f>
        <v>32.137</v>
      </c>
      <c r="D348" s="4">
        <f>42.7082 * CHOOSE(CONTROL!$C$10, $C$13, 100%, $E$13) + CHOOSE(CONTROL!$C$29, 0.0021, 0)</f>
        <v>42.710299999999997</v>
      </c>
      <c r="E348" s="4">
        <f>205.576309877963 * CHOOSE(CONTROL!$C$10, $C$13, 100%, $E$13) + CHOOSE(CONTROL!$C$29, 0.0021, 0)</f>
        <v>205.57840987796303</v>
      </c>
    </row>
    <row r="349" spans="1:5" ht="15">
      <c r="A349" s="13">
        <v>51774</v>
      </c>
      <c r="B349" s="4">
        <f>31.0047 * CHOOSE(CONTROL!$C$10, $C$13, 100%, $E$13) + CHOOSE(CONTROL!$C$29, 0.0274, 0)</f>
        <v>31.0321</v>
      </c>
      <c r="C349" s="4">
        <f>30.8484 * CHOOSE(CONTROL!$C$10, $C$13, 100%, $E$13) + CHOOSE(CONTROL!$C$29, 0.0274, 0)</f>
        <v>30.875800000000002</v>
      </c>
      <c r="D349" s="4">
        <f>42.4998 * CHOOSE(CONTROL!$C$10, $C$13, 100%, $E$13) + CHOOSE(CONTROL!$C$29, 0.0021, 0)</f>
        <v>42.501899999999999</v>
      </c>
      <c r="E349" s="4">
        <f>197.383919062505 * CHOOSE(CONTROL!$C$10, $C$13, 100%, $E$13) + CHOOSE(CONTROL!$C$29, 0.0021, 0)</f>
        <v>197.386019062505</v>
      </c>
    </row>
    <row r="350" spans="1:5" ht="15">
      <c r="A350" s="13">
        <v>51805</v>
      </c>
      <c r="B350" s="4">
        <f>29.995 * CHOOSE(CONTROL!$C$10, $C$13, 100%, $E$13) + CHOOSE(CONTROL!$C$29, 0.0274, 0)</f>
        <v>30.022400000000001</v>
      </c>
      <c r="C350" s="4">
        <f>29.8388 * CHOOSE(CONTROL!$C$10, $C$13, 100%, $E$13) + CHOOSE(CONTROL!$C$29, 0.0274, 0)</f>
        <v>29.866199999999999</v>
      </c>
      <c r="D350" s="4">
        <f>41.9417 * CHOOSE(CONTROL!$C$10, $C$13, 100%, $E$13) + CHOOSE(CONTROL!$C$29, 0.0021, 0)</f>
        <v>41.943799999999996</v>
      </c>
      <c r="E350" s="4">
        <f>190.825747857408 * CHOOSE(CONTROL!$C$10, $C$13, 100%, $E$13) + CHOOSE(CONTROL!$C$29, 0.0021, 0)</f>
        <v>190.82784785740802</v>
      </c>
    </row>
    <row r="351" spans="1:5" ht="15">
      <c r="A351" s="13">
        <v>51835</v>
      </c>
      <c r="B351" s="4">
        <f>29.3447 * CHOOSE(CONTROL!$C$10, $C$13, 100%, $E$13) + CHOOSE(CONTROL!$C$29, 0.0274, 0)</f>
        <v>29.3721</v>
      </c>
      <c r="C351" s="4">
        <f>29.1885 * CHOOSE(CONTROL!$C$10, $C$13, 100%, $E$13) + CHOOSE(CONTROL!$C$29, 0.0274, 0)</f>
        <v>29.215900000000001</v>
      </c>
      <c r="D351" s="4">
        <f>41.7498 * CHOOSE(CONTROL!$C$10, $C$13, 100%, $E$13) + CHOOSE(CONTROL!$C$29, 0.0021, 0)</f>
        <v>41.751899999999999</v>
      </c>
      <c r="E351" s="4">
        <f>186.601795867761 * CHOOSE(CONTROL!$C$10, $C$13, 100%, $E$13) + CHOOSE(CONTROL!$C$29, 0.0021, 0)</f>
        <v>186.60389586776103</v>
      </c>
    </row>
    <row r="352" spans="1:5" ht="15">
      <c r="A352" s="13">
        <v>51866</v>
      </c>
      <c r="B352" s="4">
        <f>28.8948 * CHOOSE(CONTROL!$C$10, $C$13, 100%, $E$13) + CHOOSE(CONTROL!$C$29, 0.0274, 0)</f>
        <v>28.9222</v>
      </c>
      <c r="C352" s="4">
        <f>28.7386 * CHOOSE(CONTROL!$C$10, $C$13, 100%, $E$13) + CHOOSE(CONTROL!$C$29, 0.0274, 0)</f>
        <v>28.766000000000002</v>
      </c>
      <c r="D352" s="4">
        <f>40.3372 * CHOOSE(CONTROL!$C$10, $C$13, 100%, $E$13) + CHOOSE(CONTROL!$C$29, 0.0021, 0)</f>
        <v>40.339300000000001</v>
      </c>
      <c r="E352" s="4">
        <f>183.679364056399 * CHOOSE(CONTROL!$C$10, $C$13, 100%, $E$13) + CHOOSE(CONTROL!$C$29, 0.0021, 0)</f>
        <v>183.68146405639902</v>
      </c>
    </row>
    <row r="353" spans="1:5" ht="15">
      <c r="A353" s="13">
        <v>51897</v>
      </c>
      <c r="B353" s="4">
        <f>27.7156 * CHOOSE(CONTROL!$C$10, $C$13, 100%, $E$13) + CHOOSE(CONTROL!$C$29, 0.0274, 0)</f>
        <v>27.742999999999999</v>
      </c>
      <c r="C353" s="4">
        <f>27.5594 * CHOOSE(CONTROL!$C$10, $C$13, 100%, $E$13) + CHOOSE(CONTROL!$C$29, 0.0274, 0)</f>
        <v>27.5868</v>
      </c>
      <c r="D353" s="4">
        <f>38.7108 * CHOOSE(CONTROL!$C$10, $C$13, 100%, $E$13) + CHOOSE(CONTROL!$C$29, 0.0021, 0)</f>
        <v>38.712899999999998</v>
      </c>
      <c r="E353" s="4">
        <f>176.028372178863 * CHOOSE(CONTROL!$C$10, $C$13, 100%, $E$13) + CHOOSE(CONTROL!$C$29, 0.0021, 0)</f>
        <v>176.03047217886302</v>
      </c>
    </row>
    <row r="354" spans="1:5" ht="15">
      <c r="A354" s="13">
        <v>51925</v>
      </c>
      <c r="B354" s="4">
        <f>28.359 * CHOOSE(CONTROL!$C$10, $C$13, 100%, $E$13) + CHOOSE(CONTROL!$C$29, 0.0274, 0)</f>
        <v>28.386400000000002</v>
      </c>
      <c r="C354" s="4">
        <f>28.2028 * CHOOSE(CONTROL!$C$10, $C$13, 100%, $E$13) + CHOOSE(CONTROL!$C$29, 0.0274, 0)</f>
        <v>28.2302</v>
      </c>
      <c r="D354" s="4">
        <f>40.0067 * CHOOSE(CONTROL!$C$10, $C$13, 100%, $E$13) + CHOOSE(CONTROL!$C$29, 0.0021, 0)</f>
        <v>40.008800000000001</v>
      </c>
      <c r="E354" s="4">
        <f>180.207979446263 * CHOOSE(CONTROL!$C$10, $C$13, 100%, $E$13) + CHOOSE(CONTROL!$C$29, 0.0021, 0)</f>
        <v>180.21007944626302</v>
      </c>
    </row>
    <row r="355" spans="1:5" ht="15">
      <c r="A355" s="13">
        <v>51956</v>
      </c>
      <c r="B355" s="4">
        <f>30.0487 * CHOOSE(CONTROL!$C$10, $C$13, 100%, $E$13) + CHOOSE(CONTROL!$C$29, 0.0274, 0)</f>
        <v>30.0761</v>
      </c>
      <c r="C355" s="4">
        <f>29.8925 * CHOOSE(CONTROL!$C$10, $C$13, 100%, $E$13) + CHOOSE(CONTROL!$C$29, 0.0274, 0)</f>
        <v>29.919899999999998</v>
      </c>
      <c r="D355" s="4">
        <f>42.0352 * CHOOSE(CONTROL!$C$10, $C$13, 100%, $E$13) + CHOOSE(CONTROL!$C$29, 0.0021, 0)</f>
        <v>42.037300000000002</v>
      </c>
      <c r="E355" s="4">
        <f>191.183850248275 * CHOOSE(CONTROL!$C$10, $C$13, 100%, $E$13) + CHOOSE(CONTROL!$C$29, 0.0021, 0)</f>
        <v>191.18595024827502</v>
      </c>
    </row>
    <row r="356" spans="1:5" ht="15">
      <c r="A356" s="13">
        <v>51986</v>
      </c>
      <c r="B356" s="4">
        <f>31.2492 * CHOOSE(CONTROL!$C$10, $C$13, 100%, $E$13) + CHOOSE(CONTROL!$C$29, 0.0274, 0)</f>
        <v>31.276599999999998</v>
      </c>
      <c r="C356" s="4">
        <f>31.093 * CHOOSE(CONTROL!$C$10, $C$13, 100%, $E$13) + CHOOSE(CONTROL!$C$29, 0.0274, 0)</f>
        <v>31.1204</v>
      </c>
      <c r="D356" s="4">
        <f>43.2037 * CHOOSE(CONTROL!$C$10, $C$13, 100%, $E$13) + CHOOSE(CONTROL!$C$29, 0.0021, 0)</f>
        <v>43.205799999999996</v>
      </c>
      <c r="E356" s="4">
        <f>198.982352725815 * CHOOSE(CONTROL!$C$10, $C$13, 100%, $E$13) + CHOOSE(CONTROL!$C$29, 0.0021, 0)</f>
        <v>198.984452725815</v>
      </c>
    </row>
    <row r="357" spans="1:5" ht="15">
      <c r="A357" s="13">
        <v>52017</v>
      </c>
      <c r="B357" s="4">
        <f>31.9827 * CHOOSE(CONTROL!$C$10, $C$13, 100%, $E$13) + CHOOSE(CONTROL!$C$29, 0.0274, 0)</f>
        <v>32.010100000000001</v>
      </c>
      <c r="C357" s="4">
        <f>31.8265 * CHOOSE(CONTROL!$C$10, $C$13, 100%, $E$13) + CHOOSE(CONTROL!$C$29, 0.0274, 0)</f>
        <v>31.853899999999999</v>
      </c>
      <c r="D357" s="4">
        <f>42.742 * CHOOSE(CONTROL!$C$10, $C$13, 100%, $E$13) + CHOOSE(CONTROL!$C$29, 0.0021, 0)</f>
        <v>42.744099999999996</v>
      </c>
      <c r="E357" s="4">
        <f>203.747050835573 * CHOOSE(CONTROL!$C$10, $C$13, 100%, $E$13) + CHOOSE(CONTROL!$C$29, 0.0021, 0)</f>
        <v>203.749150835573</v>
      </c>
    </row>
    <row r="358" spans="1:5" ht="15">
      <c r="A358" s="13">
        <v>52047</v>
      </c>
      <c r="B358" s="4">
        <f>32.082 * CHOOSE(CONTROL!$C$10, $C$13, 100%, $E$13) + CHOOSE(CONTROL!$C$29, 0.0274, 0)</f>
        <v>32.109400000000001</v>
      </c>
      <c r="C358" s="4">
        <f>31.9257 * CHOOSE(CONTROL!$C$10, $C$13, 100%, $E$13) + CHOOSE(CONTROL!$C$29, 0.0274, 0)</f>
        <v>31.953099999999999</v>
      </c>
      <c r="D358" s="4">
        <f>43.118 * CHOOSE(CONTROL!$C$10, $C$13, 100%, $E$13) + CHOOSE(CONTROL!$C$29, 0.0021, 0)</f>
        <v>43.120100000000001</v>
      </c>
      <c r="E358" s="4">
        <f>204.391734263727 * CHOOSE(CONTROL!$C$10, $C$13, 100%, $E$13) + CHOOSE(CONTROL!$C$29, 0.0021, 0)</f>
        <v>204.393834263727</v>
      </c>
    </row>
    <row r="359" spans="1:5" ht="15">
      <c r="A359" s="13">
        <v>52078</v>
      </c>
      <c r="B359" s="4">
        <f>32.072 * CHOOSE(CONTROL!$C$10, $C$13, 100%, $E$13) + CHOOSE(CONTROL!$C$29, 0.0274, 0)</f>
        <v>32.099400000000003</v>
      </c>
      <c r="C359" s="4">
        <f>31.9157 * CHOOSE(CONTROL!$C$10, $C$13, 100%, $E$13) + CHOOSE(CONTROL!$C$29, 0.0274, 0)</f>
        <v>31.943100000000001</v>
      </c>
      <c r="D359" s="4">
        <f>43.7966 * CHOOSE(CONTROL!$C$10, $C$13, 100%, $E$13) + CHOOSE(CONTROL!$C$29, 0.0021, 0)</f>
        <v>43.798699999999997</v>
      </c>
      <c r="E359" s="4">
        <f>204.326724170131 * CHOOSE(CONTROL!$C$10, $C$13, 100%, $E$13) + CHOOSE(CONTROL!$C$29, 0.0021, 0)</f>
        <v>204.32882417013101</v>
      </c>
    </row>
    <row r="360" spans="1:5" ht="15">
      <c r="A360" s="13">
        <v>52109</v>
      </c>
      <c r="B360" s="4">
        <f>32.8251 * CHOOSE(CONTROL!$C$10, $C$13, 100%, $E$13) + CHOOSE(CONTROL!$C$29, 0.0274, 0)</f>
        <v>32.852499999999999</v>
      </c>
      <c r="C360" s="4">
        <f>32.6688 * CHOOSE(CONTROL!$C$10, $C$13, 100%, $E$13) + CHOOSE(CONTROL!$C$29, 0.0274, 0)</f>
        <v>32.696199999999997</v>
      </c>
      <c r="D360" s="4">
        <f>43.3485 * CHOOSE(CONTROL!$C$10, $C$13, 100%, $E$13) + CHOOSE(CONTROL!$C$29, 0.0021, 0)</f>
        <v>43.3506</v>
      </c>
      <c r="E360" s="4">
        <f>209.21873371318 * CHOOSE(CONTROL!$C$10, $C$13, 100%, $E$13) + CHOOSE(CONTROL!$C$29, 0.0021, 0)</f>
        <v>209.22083371318001</v>
      </c>
    </row>
    <row r="361" spans="1:5" ht="15">
      <c r="A361" s="13">
        <v>52139</v>
      </c>
      <c r="B361" s="4">
        <f>31.5416 * CHOOSE(CONTROL!$C$10, $C$13, 100%, $E$13) + CHOOSE(CONTROL!$C$29, 0.0274, 0)</f>
        <v>31.568999999999999</v>
      </c>
      <c r="C361" s="4">
        <f>31.3853 * CHOOSE(CONTROL!$C$10, $C$13, 100%, $E$13) + CHOOSE(CONTROL!$C$29, 0.0274, 0)</f>
        <v>31.412700000000001</v>
      </c>
      <c r="D361" s="4">
        <f>43.1367 * CHOOSE(CONTROL!$C$10, $C$13, 100%, $E$13) + CHOOSE(CONTROL!$C$29, 0.0021, 0)</f>
        <v>43.138799999999996</v>
      </c>
      <c r="E361" s="4">
        <f>200.881189209579 * CHOOSE(CONTROL!$C$10, $C$13, 100%, $E$13) + CHOOSE(CONTROL!$C$29, 0.0021, 0)</f>
        <v>200.883289209579</v>
      </c>
    </row>
    <row r="362" spans="1:5" ht="15">
      <c r="A362" s="13">
        <v>52170</v>
      </c>
      <c r="B362" s="4">
        <f>30.5141 * CHOOSE(CONTROL!$C$10, $C$13, 100%, $E$13) + CHOOSE(CONTROL!$C$29, 0.0274, 0)</f>
        <v>30.541499999999999</v>
      </c>
      <c r="C362" s="4">
        <f>30.3578 * CHOOSE(CONTROL!$C$10, $C$13, 100%, $E$13) + CHOOSE(CONTROL!$C$29, 0.0274, 0)</f>
        <v>30.385200000000001</v>
      </c>
      <c r="D362" s="4">
        <f>42.5699 * CHOOSE(CONTROL!$C$10, $C$13, 100%, $E$13) + CHOOSE(CONTROL!$C$29, 0.0021, 0)</f>
        <v>42.571999999999996</v>
      </c>
      <c r="E362" s="4">
        <f>194.206819600458 * CHOOSE(CONTROL!$C$10, $C$13, 100%, $E$13) + CHOOSE(CONTROL!$C$29, 0.0021, 0)</f>
        <v>194.20891960045802</v>
      </c>
    </row>
    <row r="363" spans="1:5" ht="15">
      <c r="A363" s="13">
        <v>52200</v>
      </c>
      <c r="B363" s="4">
        <f>29.8523 * CHOOSE(CONTROL!$C$10, $C$13, 100%, $E$13) + CHOOSE(CONTROL!$C$29, 0.0274, 0)</f>
        <v>29.8797</v>
      </c>
      <c r="C363" s="4">
        <f>29.6961 * CHOOSE(CONTROL!$C$10, $C$13, 100%, $E$13) + CHOOSE(CONTROL!$C$29, 0.0274, 0)</f>
        <v>29.723500000000001</v>
      </c>
      <c r="D363" s="4">
        <f>42.375 * CHOOSE(CONTROL!$C$10, $C$13, 100%, $E$13) + CHOOSE(CONTROL!$C$29, 0.0021, 0)</f>
        <v>42.377099999999999</v>
      </c>
      <c r="E363" s="4">
        <f>189.908027161466 * CHOOSE(CONTROL!$C$10, $C$13, 100%, $E$13) + CHOOSE(CONTROL!$C$29, 0.0021, 0)</f>
        <v>189.91012716146602</v>
      </c>
    </row>
    <row r="364" spans="1:5" ht="15">
      <c r="A364" s="13">
        <v>52231</v>
      </c>
      <c r="B364" s="4">
        <f>29.3944 * CHOOSE(CONTROL!$C$10, $C$13, 100%, $E$13) + CHOOSE(CONTROL!$C$29, 0.0274, 0)</f>
        <v>29.421800000000001</v>
      </c>
      <c r="C364" s="4">
        <f>29.2382 * CHOOSE(CONTROL!$C$10, $C$13, 100%, $E$13) + CHOOSE(CONTROL!$C$29, 0.0274, 0)</f>
        <v>29.265599999999999</v>
      </c>
      <c r="D364" s="4">
        <f>40.9401 * CHOOSE(CONTROL!$C$10, $C$13, 100%, $E$13) + CHOOSE(CONTROL!$C$29, 0.0021, 0)</f>
        <v>40.9422</v>
      </c>
      <c r="E364" s="4">
        <f>186.93381537948 * CHOOSE(CONTROL!$C$10, $C$13, 100%, $E$13) + CHOOSE(CONTROL!$C$29, 0.0021, 0)</f>
        <v>186.93591537948001</v>
      </c>
    </row>
    <row r="365" spans="1:5" ht="15">
      <c r="A365" s="13">
        <v>52262</v>
      </c>
      <c r="B365" s="4">
        <f>28.1944 * CHOOSE(CONTROL!$C$10, $C$13, 100%, $E$13) + CHOOSE(CONTROL!$C$29, 0.0274, 0)</f>
        <v>28.221800000000002</v>
      </c>
      <c r="C365" s="4">
        <f>28.0382 * CHOOSE(CONTROL!$C$10, $C$13, 100%, $E$13) + CHOOSE(CONTROL!$C$29, 0.0274, 0)</f>
        <v>28.0656</v>
      </c>
      <c r="D365" s="4">
        <f>39.2882 * CHOOSE(CONTROL!$C$10, $C$13, 100%, $E$13) + CHOOSE(CONTROL!$C$29, 0.0021, 0)</f>
        <v>39.290300000000002</v>
      </c>
      <c r="E365" s="4">
        <f>179.147262380167 * CHOOSE(CONTROL!$C$10, $C$13, 100%, $E$13) + CHOOSE(CONTROL!$C$29, 0.0021, 0)</f>
        <v>179.14936238016702</v>
      </c>
    </row>
    <row r="366" spans="1:5" ht="15">
      <c r="A366" s="13">
        <v>52290</v>
      </c>
      <c r="B366" s="4">
        <f>28.8492 * CHOOSE(CONTROL!$C$10, $C$13, 100%, $E$13) + CHOOSE(CONTROL!$C$29, 0.0274, 0)</f>
        <v>28.8766</v>
      </c>
      <c r="C366" s="4">
        <f>28.6929 * CHOOSE(CONTROL!$C$10, $C$13, 100%, $E$13) + CHOOSE(CONTROL!$C$29, 0.0274, 0)</f>
        <v>28.720300000000002</v>
      </c>
      <c r="D366" s="4">
        <f>40.6044 * CHOOSE(CONTROL!$C$10, $C$13, 100%, $E$13) + CHOOSE(CONTROL!$C$29, 0.0021, 0)</f>
        <v>40.606499999999997</v>
      </c>
      <c r="E366" s="4">
        <f>183.40092439221 * CHOOSE(CONTROL!$C$10, $C$13, 100%, $E$13) + CHOOSE(CONTROL!$C$29, 0.0021, 0)</f>
        <v>183.40302439221</v>
      </c>
    </row>
    <row r="367" spans="1:5" ht="15">
      <c r="A367" s="13">
        <v>52321</v>
      </c>
      <c r="B367" s="4">
        <f>30.5687 * CHOOSE(CONTROL!$C$10, $C$13, 100%, $E$13) + CHOOSE(CONTROL!$C$29, 0.0274, 0)</f>
        <v>30.5961</v>
      </c>
      <c r="C367" s="4">
        <f>30.4125 * CHOOSE(CONTROL!$C$10, $C$13, 100%, $E$13) + CHOOSE(CONTROL!$C$29, 0.0274, 0)</f>
        <v>30.439900000000002</v>
      </c>
      <c r="D367" s="4">
        <f>42.6648 * CHOOSE(CONTROL!$C$10, $C$13, 100%, $E$13) + CHOOSE(CONTROL!$C$29, 0.0021, 0)</f>
        <v>42.666899999999998</v>
      </c>
      <c r="E367" s="4">
        <f>194.571266889162 * CHOOSE(CONTROL!$C$10, $C$13, 100%, $E$13) + CHOOSE(CONTROL!$C$29, 0.0021, 0)</f>
        <v>194.573366889162</v>
      </c>
    </row>
    <row r="368" spans="1:5" ht="15">
      <c r="A368" s="13">
        <v>52351</v>
      </c>
      <c r="B368" s="4">
        <f>31.7905 * CHOOSE(CONTROL!$C$10, $C$13, 100%, $E$13) + CHOOSE(CONTROL!$C$29, 0.0274, 0)</f>
        <v>31.817900000000002</v>
      </c>
      <c r="C368" s="4">
        <f>31.6342 * CHOOSE(CONTROL!$C$10, $C$13, 100%, $E$13) + CHOOSE(CONTROL!$C$29, 0.0274, 0)</f>
        <v>31.6616</v>
      </c>
      <c r="D368" s="4">
        <f>43.8517 * CHOOSE(CONTROL!$C$10, $C$13, 100%, $E$13) + CHOOSE(CONTROL!$C$29, 0.0021, 0)</f>
        <v>43.8538</v>
      </c>
      <c r="E368" s="4">
        <f>202.507944097634 * CHOOSE(CONTROL!$C$10, $C$13, 100%, $E$13) + CHOOSE(CONTROL!$C$29, 0.0021, 0)</f>
        <v>202.51004409763402</v>
      </c>
    </row>
    <row r="369" spans="1:5" ht="15">
      <c r="A369" s="13">
        <v>52382</v>
      </c>
      <c r="B369" s="4">
        <f>32.5369 * CHOOSE(CONTROL!$C$10, $C$13, 100%, $E$13) + CHOOSE(CONTROL!$C$29, 0.0274, 0)</f>
        <v>32.564300000000003</v>
      </c>
      <c r="C369" s="4">
        <f>32.3807 * CHOOSE(CONTROL!$C$10, $C$13, 100%, $E$13) + CHOOSE(CONTROL!$C$29, 0.0274, 0)</f>
        <v>32.408099999999997</v>
      </c>
      <c r="D369" s="4">
        <f>43.3827 * CHOOSE(CONTROL!$C$10, $C$13, 100%, $E$13) + CHOOSE(CONTROL!$C$29, 0.0021, 0)</f>
        <v>43.384799999999998</v>
      </c>
      <c r="E369" s="4">
        <f>207.357063656404 * CHOOSE(CONTROL!$C$10, $C$13, 100%, $E$13) + CHOOSE(CONTROL!$C$29, 0.0021, 0)</f>
        <v>207.35916365640401</v>
      </c>
    </row>
    <row r="370" spans="1:5" ht="15">
      <c r="A370" s="13">
        <v>52412</v>
      </c>
      <c r="B370" s="4">
        <f>32.6379 * CHOOSE(CONTROL!$C$10, $C$13, 100%, $E$13) + CHOOSE(CONTROL!$C$29, 0.0274, 0)</f>
        <v>32.665300000000002</v>
      </c>
      <c r="C370" s="4">
        <f>32.4817 * CHOOSE(CONTROL!$C$10, $C$13, 100%, $E$13) + CHOOSE(CONTROL!$C$29, 0.0274, 0)</f>
        <v>32.509099999999997</v>
      </c>
      <c r="D370" s="4">
        <f>43.7647 * CHOOSE(CONTROL!$C$10, $C$13, 100%, $E$13) + CHOOSE(CONTROL!$C$29, 0.0021, 0)</f>
        <v>43.766799999999996</v>
      </c>
      <c r="E370" s="4">
        <f>208.013169656966 * CHOOSE(CONTROL!$C$10, $C$13, 100%, $E$13) + CHOOSE(CONTROL!$C$29, 0.0021, 0)</f>
        <v>208.01526965696601</v>
      </c>
    </row>
    <row r="371" spans="1:5" ht="15">
      <c r="A371" s="13">
        <v>52443</v>
      </c>
      <c r="B371" s="4">
        <f>32.6277 * CHOOSE(CONTROL!$C$10, $C$13, 100%, $E$13) + CHOOSE(CONTROL!$C$29, 0.0274, 0)</f>
        <v>32.655099999999997</v>
      </c>
      <c r="C371" s="4">
        <f>32.4715 * CHOOSE(CONTROL!$C$10, $C$13, 100%, $E$13) + CHOOSE(CONTROL!$C$29, 0.0274, 0)</f>
        <v>32.498899999999999</v>
      </c>
      <c r="D371" s="4">
        <f>44.4539 * CHOOSE(CONTROL!$C$10, $C$13, 100%, $E$13) + CHOOSE(CONTROL!$C$29, 0.0021, 0)</f>
        <v>44.455999999999996</v>
      </c>
      <c r="E371" s="4">
        <f>207.947007707329 * CHOOSE(CONTROL!$C$10, $C$13, 100%, $E$13) + CHOOSE(CONTROL!$C$29, 0.0021, 0)</f>
        <v>207.94910770732901</v>
      </c>
    </row>
    <row r="372" spans="1:5" ht="15">
      <c r="A372" s="13">
        <v>52474</v>
      </c>
      <c r="B372" s="4">
        <f>33.3941 * CHOOSE(CONTROL!$C$10, $C$13, 100%, $E$13) + CHOOSE(CONTROL!$C$29, 0.0274, 0)</f>
        <v>33.421500000000002</v>
      </c>
      <c r="C372" s="4">
        <f>33.2379 * CHOOSE(CONTROL!$C$10, $C$13, 100%, $E$13) + CHOOSE(CONTROL!$C$29, 0.0274, 0)</f>
        <v>33.265300000000003</v>
      </c>
      <c r="D372" s="4">
        <f>43.9987 * CHOOSE(CONTROL!$C$10, $C$13, 100%, $E$13) + CHOOSE(CONTROL!$C$29, 0.0021, 0)</f>
        <v>44.000799999999998</v>
      </c>
      <c r="E372" s="4">
        <f>212.925694417471 * CHOOSE(CONTROL!$C$10, $C$13, 100%, $E$13) + CHOOSE(CONTROL!$C$29, 0.0021, 0)</f>
        <v>212.92779441747101</v>
      </c>
    </row>
    <row r="373" spans="1:5" ht="15">
      <c r="A373" s="13">
        <v>52504</v>
      </c>
      <c r="B373" s="4">
        <f>32.0879 * CHOOSE(CONTROL!$C$10, $C$13, 100%, $E$13) + CHOOSE(CONTROL!$C$29, 0.0274, 0)</f>
        <v>32.115299999999998</v>
      </c>
      <c r="C373" s="4">
        <f>31.9317 * CHOOSE(CONTROL!$C$10, $C$13, 100%, $E$13) + CHOOSE(CONTROL!$C$29, 0.0274, 0)</f>
        <v>31.959099999999999</v>
      </c>
      <c r="D373" s="4">
        <f>43.7837 * CHOOSE(CONTROL!$C$10, $C$13, 100%, $E$13) + CHOOSE(CONTROL!$C$29, 0.0021, 0)</f>
        <v>43.785800000000002</v>
      </c>
      <c r="E373" s="4">
        <f>204.440424376598 * CHOOSE(CONTROL!$C$10, $C$13, 100%, $E$13) + CHOOSE(CONTROL!$C$29, 0.0021, 0)</f>
        <v>204.44252437659802</v>
      </c>
    </row>
    <row r="374" spans="1:5" ht="15">
      <c r="A374" s="13">
        <v>52535</v>
      </c>
      <c r="B374" s="4">
        <f>31.0423 * CHOOSE(CONTROL!$C$10, $C$13, 100%, $E$13) + CHOOSE(CONTROL!$C$29, 0.0274, 0)</f>
        <v>31.069700000000001</v>
      </c>
      <c r="C374" s="4">
        <f>30.8861 * CHOOSE(CONTROL!$C$10, $C$13, 100%, $E$13) + CHOOSE(CONTROL!$C$29, 0.0274, 0)</f>
        <v>30.913499999999999</v>
      </c>
      <c r="D374" s="4">
        <f>43.2079 * CHOOSE(CONTROL!$C$10, $C$13, 100%, $E$13) + CHOOSE(CONTROL!$C$29, 0.0021, 0)</f>
        <v>43.21</v>
      </c>
      <c r="E374" s="4">
        <f>197.647797547257 * CHOOSE(CONTROL!$C$10, $C$13, 100%, $E$13) + CHOOSE(CONTROL!$C$29, 0.0021, 0)</f>
        <v>197.64989754725701</v>
      </c>
    </row>
    <row r="375" spans="1:5" ht="15">
      <c r="A375" s="13">
        <v>52565</v>
      </c>
      <c r="B375" s="4">
        <f>30.3688 * CHOOSE(CONTROL!$C$10, $C$13, 100%, $E$13) + CHOOSE(CONTROL!$C$29, 0.0274, 0)</f>
        <v>30.3962</v>
      </c>
      <c r="C375" s="4">
        <f>30.2126 * CHOOSE(CONTROL!$C$10, $C$13, 100%, $E$13) + CHOOSE(CONTROL!$C$29, 0.0274, 0)</f>
        <v>30.24</v>
      </c>
      <c r="D375" s="4">
        <f>43.0099 * CHOOSE(CONTROL!$C$10, $C$13, 100%, $E$13) + CHOOSE(CONTROL!$C$29, 0.0021, 0)</f>
        <v>43.012</v>
      </c>
      <c r="E375" s="4">
        <f>193.272838627547 * CHOOSE(CONTROL!$C$10, $C$13, 100%, $E$13) + CHOOSE(CONTROL!$C$29, 0.0021, 0)</f>
        <v>193.27493862754702</v>
      </c>
    </row>
    <row r="376" spans="1:5" ht="15">
      <c r="A376" s="13">
        <v>52596</v>
      </c>
      <c r="B376" s="4">
        <f>29.9029 * CHOOSE(CONTROL!$C$10, $C$13, 100%, $E$13) + CHOOSE(CONTROL!$C$29, 0.0274, 0)</f>
        <v>29.930299999999999</v>
      </c>
      <c r="C376" s="4">
        <f>29.7466 * CHOOSE(CONTROL!$C$10, $C$13, 100%, $E$13) + CHOOSE(CONTROL!$C$29, 0.0274, 0)</f>
        <v>29.774000000000001</v>
      </c>
      <c r="D376" s="4">
        <f>41.5525 * CHOOSE(CONTROL!$C$10, $C$13, 100%, $E$13) + CHOOSE(CONTROL!$C$29, 0.0021, 0)</f>
        <v>41.554600000000001</v>
      </c>
      <c r="E376" s="4">
        <f>190.24592943168 * CHOOSE(CONTROL!$C$10, $C$13, 100%, $E$13) + CHOOSE(CONTROL!$C$29, 0.0021, 0)</f>
        <v>190.24802943168001</v>
      </c>
    </row>
    <row r="377" spans="1:5" ht="15">
      <c r="A377" s="13">
        <v>52627</v>
      </c>
      <c r="B377" s="4">
        <f>28.6816 * CHOOSE(CONTROL!$C$10, $C$13, 100%, $E$13) + CHOOSE(CONTROL!$C$29, 0.0274, 0)</f>
        <v>28.709</v>
      </c>
      <c r="C377" s="4">
        <f>28.5254 * CHOOSE(CONTROL!$C$10, $C$13, 100%, $E$13) + CHOOSE(CONTROL!$C$29, 0.0274, 0)</f>
        <v>28.552800000000001</v>
      </c>
      <c r="D377" s="4">
        <f>39.8746 * CHOOSE(CONTROL!$C$10, $C$13, 100%, $E$13) + CHOOSE(CONTROL!$C$29, 0.0021, 0)</f>
        <v>39.8767</v>
      </c>
      <c r="E377" s="4">
        <f>182.321413423616 * CHOOSE(CONTROL!$C$10, $C$13, 100%, $E$13) + CHOOSE(CONTROL!$C$29, 0.0021, 0)</f>
        <v>182.32351342361602</v>
      </c>
    </row>
    <row r="378" spans="1:5" ht="15">
      <c r="A378" s="13">
        <v>52655</v>
      </c>
      <c r="B378" s="4">
        <f>29.348 * CHOOSE(CONTROL!$C$10, $C$13, 100%, $E$13) + CHOOSE(CONTROL!$C$29, 0.0274, 0)</f>
        <v>29.375399999999999</v>
      </c>
      <c r="C378" s="4">
        <f>29.1918 * CHOOSE(CONTROL!$C$10, $C$13, 100%, $E$13) + CHOOSE(CONTROL!$C$29, 0.0274, 0)</f>
        <v>29.219200000000001</v>
      </c>
      <c r="D378" s="4">
        <f>41.2115 * CHOOSE(CONTROL!$C$10, $C$13, 100%, $E$13) + CHOOSE(CONTROL!$C$29, 0.0021, 0)</f>
        <v>41.2136</v>
      </c>
      <c r="E378" s="4">
        <f>186.650442290472 * CHOOSE(CONTROL!$C$10, $C$13, 100%, $E$13) + CHOOSE(CONTROL!$C$29, 0.0021, 0)</f>
        <v>186.65254229047201</v>
      </c>
    </row>
    <row r="379" spans="1:5" ht="15">
      <c r="A379" s="13">
        <v>52687</v>
      </c>
      <c r="B379" s="4">
        <f>31.0979 * CHOOSE(CONTROL!$C$10, $C$13, 100%, $E$13) + CHOOSE(CONTROL!$C$29, 0.0274, 0)</f>
        <v>31.125299999999999</v>
      </c>
      <c r="C379" s="4">
        <f>30.9417 * CHOOSE(CONTROL!$C$10, $C$13, 100%, $E$13) + CHOOSE(CONTROL!$C$29, 0.0274, 0)</f>
        <v>30.969100000000001</v>
      </c>
      <c r="D379" s="4">
        <f>43.3044 * CHOOSE(CONTROL!$C$10, $C$13, 100%, $E$13) + CHOOSE(CONTROL!$C$29, 0.0021, 0)</f>
        <v>43.3065</v>
      </c>
      <c r="E379" s="4">
        <f>198.018702153401 * CHOOSE(CONTROL!$C$10, $C$13, 100%, $E$13) + CHOOSE(CONTROL!$C$29, 0.0021, 0)</f>
        <v>198.02080215340101</v>
      </c>
    </row>
    <row r="380" spans="1:5" ht="15">
      <c r="A380" s="13">
        <v>52717</v>
      </c>
      <c r="B380" s="4">
        <f>32.3412 * CHOOSE(CONTROL!$C$10, $C$13, 100%, $E$13) + CHOOSE(CONTROL!$C$29, 0.0274, 0)</f>
        <v>32.368600000000001</v>
      </c>
      <c r="C380" s="4">
        <f>32.185 * CHOOSE(CONTROL!$C$10, $C$13, 100%, $E$13) + CHOOSE(CONTROL!$C$29, 0.0274, 0)</f>
        <v>32.212400000000002</v>
      </c>
      <c r="D380" s="4">
        <f>44.5099 * CHOOSE(CONTROL!$C$10, $C$13, 100%, $E$13) + CHOOSE(CONTROL!$C$29, 0.0021, 0)</f>
        <v>44.512</v>
      </c>
      <c r="E380" s="4">
        <f>206.096002287995 * CHOOSE(CONTROL!$C$10, $C$13, 100%, $E$13) + CHOOSE(CONTROL!$C$29, 0.0021, 0)</f>
        <v>206.098102287995</v>
      </c>
    </row>
    <row r="381" spans="1:5" ht="15">
      <c r="A381" s="13">
        <v>52748</v>
      </c>
      <c r="B381" s="4">
        <f>33.1009 * CHOOSE(CONTROL!$C$10, $C$13, 100%, $E$13) + CHOOSE(CONTROL!$C$29, 0.0274, 0)</f>
        <v>33.128300000000003</v>
      </c>
      <c r="C381" s="4">
        <f>32.9446 * CHOOSE(CONTROL!$C$10, $C$13, 100%, $E$13) + CHOOSE(CONTROL!$C$29, 0.0274, 0)</f>
        <v>32.972000000000001</v>
      </c>
      <c r="D381" s="4">
        <f>44.0336 * CHOOSE(CONTROL!$C$10, $C$13, 100%, $E$13) + CHOOSE(CONTROL!$C$29, 0.0021, 0)</f>
        <v>44.035699999999999</v>
      </c>
      <c r="E381" s="4">
        <f>211.031039084366 * CHOOSE(CONTROL!$C$10, $C$13, 100%, $E$13) + CHOOSE(CONTROL!$C$29, 0.0021, 0)</f>
        <v>211.03313908436601</v>
      </c>
    </row>
    <row r="382" spans="1:5" ht="15">
      <c r="A382" s="13">
        <v>52778</v>
      </c>
      <c r="B382" s="4">
        <f>33.2037 * CHOOSE(CONTROL!$C$10, $C$13, 100%, $E$13) + CHOOSE(CONTROL!$C$29, 0.0274, 0)</f>
        <v>33.231099999999998</v>
      </c>
      <c r="C382" s="4">
        <f>33.0474 * CHOOSE(CONTROL!$C$10, $C$13, 100%, $E$13) + CHOOSE(CONTROL!$C$29, 0.0274, 0)</f>
        <v>33.074800000000003</v>
      </c>
      <c r="D382" s="4">
        <f>44.4215 * CHOOSE(CONTROL!$C$10, $C$13, 100%, $E$13) + CHOOSE(CONTROL!$C$29, 0.0021, 0)</f>
        <v>44.4236</v>
      </c>
      <c r="E382" s="4">
        <f>211.698770043738 * CHOOSE(CONTROL!$C$10, $C$13, 100%, $E$13) + CHOOSE(CONTROL!$C$29, 0.0021, 0)</f>
        <v>211.70087004373801</v>
      </c>
    </row>
    <row r="383" spans="1:5" ht="15">
      <c r="A383" s="13">
        <v>52809</v>
      </c>
      <c r="B383" s="4">
        <f>33.1933 * CHOOSE(CONTROL!$C$10, $C$13, 100%, $E$13) + CHOOSE(CONTROL!$C$29, 0.0274, 0)</f>
        <v>33.220700000000001</v>
      </c>
      <c r="C383" s="4">
        <f>33.037 * CHOOSE(CONTROL!$C$10, $C$13, 100%, $E$13) + CHOOSE(CONTROL!$C$29, 0.0274, 0)</f>
        <v>33.064399999999999</v>
      </c>
      <c r="D383" s="4">
        <f>45.1216 * CHOOSE(CONTROL!$C$10, $C$13, 100%, $E$13) + CHOOSE(CONTROL!$C$29, 0.0021, 0)</f>
        <v>45.123699999999999</v>
      </c>
      <c r="E383" s="4">
        <f>211.631435829348 * CHOOSE(CONTROL!$C$10, $C$13, 100%, $E$13) + CHOOSE(CONTROL!$C$29, 0.0021, 0)</f>
        <v>211.63353582934801</v>
      </c>
    </row>
    <row r="384" spans="1:5" ht="15">
      <c r="A384" s="13">
        <v>52840</v>
      </c>
      <c r="B384" s="4">
        <f>33.9732 * CHOOSE(CONTROL!$C$10, $C$13, 100%, $E$13) + CHOOSE(CONTROL!$C$29, 0.0274, 0)</f>
        <v>34.000599999999999</v>
      </c>
      <c r="C384" s="4">
        <f>33.817 * CHOOSE(CONTROL!$C$10, $C$13, 100%, $E$13) + CHOOSE(CONTROL!$C$29, 0.0274, 0)</f>
        <v>33.8444</v>
      </c>
      <c r="D384" s="4">
        <f>44.6593 * CHOOSE(CONTROL!$C$10, $C$13, 100%, $E$13) + CHOOSE(CONTROL!$C$29, 0.0021, 0)</f>
        <v>44.6614</v>
      </c>
      <c r="E384" s="4">
        <f>216.698335462233 * CHOOSE(CONTROL!$C$10, $C$13, 100%, $E$13) + CHOOSE(CONTROL!$C$29, 0.0021, 0)</f>
        <v>216.700435462233</v>
      </c>
    </row>
    <row r="385" spans="1:5" ht="15">
      <c r="A385" s="13">
        <v>52870</v>
      </c>
      <c r="B385" s="4">
        <f>32.644 * CHOOSE(CONTROL!$C$10, $C$13, 100%, $E$13) + CHOOSE(CONTROL!$C$29, 0.0274, 0)</f>
        <v>32.671399999999998</v>
      </c>
      <c r="C385" s="4">
        <f>32.4877 * CHOOSE(CONTROL!$C$10, $C$13, 100%, $E$13) + CHOOSE(CONTROL!$C$29, 0.0274, 0)</f>
        <v>32.515099999999997</v>
      </c>
      <c r="D385" s="4">
        <f>44.4408 * CHOOSE(CONTROL!$C$10, $C$13, 100%, $E$13) + CHOOSE(CONTROL!$C$29, 0.0021, 0)</f>
        <v>44.442900000000002</v>
      </c>
      <c r="E385" s="4">
        <f>208.062722466651 * CHOOSE(CONTROL!$C$10, $C$13, 100%, $E$13) + CHOOSE(CONTROL!$C$29, 0.0021, 0)</f>
        <v>208.06482246665101</v>
      </c>
    </row>
    <row r="386" spans="1:5" ht="15">
      <c r="A386" s="13">
        <v>52901</v>
      </c>
      <c r="B386" s="4">
        <f>31.5799 * CHOOSE(CONTROL!$C$10, $C$13, 100%, $E$13) + CHOOSE(CONTROL!$C$29, 0.0274, 0)</f>
        <v>31.607299999999999</v>
      </c>
      <c r="C386" s="4">
        <f>31.4236 * CHOOSE(CONTROL!$C$10, $C$13, 100%, $E$13) + CHOOSE(CONTROL!$C$29, 0.0274, 0)</f>
        <v>31.451000000000001</v>
      </c>
      <c r="D386" s="4">
        <f>43.856 * CHOOSE(CONTROL!$C$10, $C$13, 100%, $E$13) + CHOOSE(CONTROL!$C$29, 0.0021, 0)</f>
        <v>43.8581</v>
      </c>
      <c r="E386" s="4">
        <f>201.14974312256 * CHOOSE(CONTROL!$C$10, $C$13, 100%, $E$13) + CHOOSE(CONTROL!$C$29, 0.0021, 0)</f>
        <v>201.15184312256002</v>
      </c>
    </row>
    <row r="387" spans="1:5" ht="15">
      <c r="A387" s="13">
        <v>52931</v>
      </c>
      <c r="B387" s="4">
        <f>30.8945 * CHOOSE(CONTROL!$C$10, $C$13, 100%, $E$13) + CHOOSE(CONTROL!$C$29, 0.0274, 0)</f>
        <v>30.921900000000001</v>
      </c>
      <c r="C387" s="4">
        <f>30.7383 * CHOOSE(CONTROL!$C$10, $C$13, 100%, $E$13) + CHOOSE(CONTROL!$C$29, 0.0274, 0)</f>
        <v>30.765699999999999</v>
      </c>
      <c r="D387" s="4">
        <f>43.6549 * CHOOSE(CONTROL!$C$10, $C$13, 100%, $E$13) + CHOOSE(CONTROL!$C$29, 0.0021, 0)</f>
        <v>43.656999999999996</v>
      </c>
      <c r="E387" s="4">
        <f>196.697268195988 * CHOOSE(CONTROL!$C$10, $C$13, 100%, $E$13) + CHOOSE(CONTROL!$C$29, 0.0021, 0)</f>
        <v>196.699368195988</v>
      </c>
    </row>
    <row r="388" spans="1:5" ht="15">
      <c r="A388" s="13">
        <v>52962</v>
      </c>
      <c r="B388" s="4">
        <f>30.4203 * CHOOSE(CONTROL!$C$10, $C$13, 100%, $E$13) + CHOOSE(CONTROL!$C$29, 0.0274, 0)</f>
        <v>30.447700000000001</v>
      </c>
      <c r="C388" s="4">
        <f>30.2641 * CHOOSE(CONTROL!$C$10, $C$13, 100%, $E$13) + CHOOSE(CONTROL!$C$29, 0.0274, 0)</f>
        <v>30.291499999999999</v>
      </c>
      <c r="D388" s="4">
        <f>42.1746 * CHOOSE(CONTROL!$C$10, $C$13, 100%, $E$13) + CHOOSE(CONTROL!$C$29, 0.0021, 0)</f>
        <v>42.176699999999997</v>
      </c>
      <c r="E388" s="4">
        <f>193.616727887622 * CHOOSE(CONTROL!$C$10, $C$13, 100%, $E$13) + CHOOSE(CONTROL!$C$29, 0.0021, 0)</f>
        <v>193.61882788762202</v>
      </c>
    </row>
    <row r="389" spans="1:5" ht="15">
      <c r="A389" s="13">
        <v>52993</v>
      </c>
      <c r="B389" s="4">
        <f>29.1775 * CHOOSE(CONTROL!$C$10, $C$13, 100%, $E$13) + CHOOSE(CONTROL!$C$29, 0.0274, 0)</f>
        <v>29.204899999999999</v>
      </c>
      <c r="C389" s="4">
        <f>29.0212 * CHOOSE(CONTROL!$C$10, $C$13, 100%, $E$13) + CHOOSE(CONTROL!$C$29, 0.0274, 0)</f>
        <v>29.0486</v>
      </c>
      <c r="D389" s="4">
        <f>40.4703 * CHOOSE(CONTROL!$C$10, $C$13, 100%, $E$13) + CHOOSE(CONTROL!$C$29, 0.0021, 0)</f>
        <v>40.4724</v>
      </c>
      <c r="E389" s="4">
        <f>185.551804426931 * CHOOSE(CONTROL!$C$10, $C$13, 100%, $E$13) + CHOOSE(CONTROL!$C$29, 0.0021, 0)</f>
        <v>185.55390442693101</v>
      </c>
    </row>
    <row r="390" spans="1:5" ht="15">
      <c r="A390" s="13">
        <v>53021</v>
      </c>
      <c r="B390" s="4">
        <f>29.8556 * CHOOSE(CONTROL!$C$10, $C$13, 100%, $E$13) + CHOOSE(CONTROL!$C$29, 0.0274, 0)</f>
        <v>29.882999999999999</v>
      </c>
      <c r="C390" s="4">
        <f>29.6994 * CHOOSE(CONTROL!$C$10, $C$13, 100%, $E$13) + CHOOSE(CONTROL!$C$29, 0.0274, 0)</f>
        <v>29.726800000000001</v>
      </c>
      <c r="D390" s="4">
        <f>41.8282 * CHOOSE(CONTROL!$C$10, $C$13, 100%, $E$13) + CHOOSE(CONTROL!$C$29, 0.0021, 0)</f>
        <v>41.830300000000001</v>
      </c>
      <c r="E390" s="4">
        <f>189.957535506884 * CHOOSE(CONTROL!$C$10, $C$13, 100%, $E$13) + CHOOSE(CONTROL!$C$29, 0.0021, 0)</f>
        <v>189.95963550688401</v>
      </c>
    </row>
    <row r="391" spans="1:5" ht="15">
      <c r="A391" s="13">
        <v>53052</v>
      </c>
      <c r="B391" s="4">
        <f>31.6364 * CHOOSE(CONTROL!$C$10, $C$13, 100%, $E$13) + CHOOSE(CONTROL!$C$29, 0.0274, 0)</f>
        <v>31.663799999999998</v>
      </c>
      <c r="C391" s="4">
        <f>31.4802 * CHOOSE(CONTROL!$C$10, $C$13, 100%, $E$13) + CHOOSE(CONTROL!$C$29, 0.0274, 0)</f>
        <v>31.5076</v>
      </c>
      <c r="D391" s="4">
        <f>43.954 * CHOOSE(CONTROL!$C$10, $C$13, 100%, $E$13) + CHOOSE(CONTROL!$C$29, 0.0021, 0)</f>
        <v>43.956099999999999</v>
      </c>
      <c r="E391" s="4">
        <f>201.52721945761 * CHOOSE(CONTROL!$C$10, $C$13, 100%, $E$13) + CHOOSE(CONTROL!$C$29, 0.0021, 0)</f>
        <v>201.52931945761</v>
      </c>
    </row>
    <row r="392" spans="1:5" ht="15">
      <c r="A392" s="13">
        <v>53082</v>
      </c>
      <c r="B392" s="4">
        <f>32.9017 * CHOOSE(CONTROL!$C$10, $C$13, 100%, $E$13) + CHOOSE(CONTROL!$C$29, 0.0274, 0)</f>
        <v>32.929099999999998</v>
      </c>
      <c r="C392" s="4">
        <f>32.7455 * CHOOSE(CONTROL!$C$10, $C$13, 100%, $E$13) + CHOOSE(CONTROL!$C$29, 0.0274, 0)</f>
        <v>32.7729</v>
      </c>
      <c r="D392" s="4">
        <f>45.1785 * CHOOSE(CONTROL!$C$10, $C$13, 100%, $E$13) + CHOOSE(CONTROL!$C$29, 0.0021, 0)</f>
        <v>45.180599999999998</v>
      </c>
      <c r="E392" s="4">
        <f>209.747634090912 * CHOOSE(CONTROL!$C$10, $C$13, 100%, $E$13) + CHOOSE(CONTROL!$C$29, 0.0021, 0)</f>
        <v>209.749734090912</v>
      </c>
    </row>
    <row r="393" spans="1:5" ht="15">
      <c r="A393" s="13">
        <v>53113</v>
      </c>
      <c r="B393" s="4">
        <f>33.6748 * CHOOSE(CONTROL!$C$10, $C$13, 100%, $E$13) + CHOOSE(CONTROL!$C$29, 0.0274, 0)</f>
        <v>33.702199999999998</v>
      </c>
      <c r="C393" s="4">
        <f>33.5186 * CHOOSE(CONTROL!$C$10, $C$13, 100%, $E$13) + CHOOSE(CONTROL!$C$29, 0.0274, 0)</f>
        <v>33.545999999999999</v>
      </c>
      <c r="D393" s="4">
        <f>44.6946 * CHOOSE(CONTROL!$C$10, $C$13, 100%, $E$13) + CHOOSE(CONTROL!$C$29, 0.0021, 0)</f>
        <v>44.6967</v>
      </c>
      <c r="E393" s="4">
        <f>214.770110416018 * CHOOSE(CONTROL!$C$10, $C$13, 100%, $E$13) + CHOOSE(CONTROL!$C$29, 0.0021, 0)</f>
        <v>214.77221041601803</v>
      </c>
    </row>
    <row r="394" spans="1:5" ht="15">
      <c r="A394" s="13">
        <v>53143</v>
      </c>
      <c r="B394" s="4">
        <f>33.7794 * CHOOSE(CONTROL!$C$10, $C$13, 100%, $E$13) + CHOOSE(CONTROL!$C$29, 0.0274, 0)</f>
        <v>33.806800000000003</v>
      </c>
      <c r="C394" s="4">
        <f>33.6232 * CHOOSE(CONTROL!$C$10, $C$13, 100%, $E$13) + CHOOSE(CONTROL!$C$29, 0.0274, 0)</f>
        <v>33.650599999999997</v>
      </c>
      <c r="D394" s="4">
        <f>45.0887 * CHOOSE(CONTROL!$C$10, $C$13, 100%, $E$13) + CHOOSE(CONTROL!$C$29, 0.0021, 0)</f>
        <v>45.090800000000002</v>
      </c>
      <c r="E394" s="4">
        <f>215.44967230651 * CHOOSE(CONTROL!$C$10, $C$13, 100%, $E$13) + CHOOSE(CONTROL!$C$29, 0.0021, 0)</f>
        <v>215.45177230651001</v>
      </c>
    </row>
    <row r="395" spans="1:5" ht="15">
      <c r="A395" s="13">
        <v>53174</v>
      </c>
      <c r="B395" s="4">
        <f>33.7689 * CHOOSE(CONTROL!$C$10, $C$13, 100%, $E$13) + CHOOSE(CONTROL!$C$29, 0.0274, 0)</f>
        <v>33.796300000000002</v>
      </c>
      <c r="C395" s="4">
        <f>33.6126 * CHOOSE(CONTROL!$C$10, $C$13, 100%, $E$13) + CHOOSE(CONTROL!$C$29, 0.0274, 0)</f>
        <v>33.64</v>
      </c>
      <c r="D395" s="4">
        <f>45.7997 * CHOOSE(CONTROL!$C$10, $C$13, 100%, $E$13) + CHOOSE(CONTROL!$C$29, 0.0021, 0)</f>
        <v>45.8018</v>
      </c>
      <c r="E395" s="4">
        <f>215.381145057048 * CHOOSE(CONTROL!$C$10, $C$13, 100%, $E$13) + CHOOSE(CONTROL!$C$29, 0.0021, 0)</f>
        <v>215.38324505704801</v>
      </c>
    </row>
    <row r="396" spans="1:5" ht="15">
      <c r="A396" s="13">
        <v>53205</v>
      </c>
      <c r="B396" s="4">
        <f>34.5626 * CHOOSE(CONTROL!$C$10, $C$13, 100%, $E$13) + CHOOSE(CONTROL!$C$29, 0.0274, 0)</f>
        <v>34.590000000000003</v>
      </c>
      <c r="C396" s="4">
        <f>34.4063 * CHOOSE(CONTROL!$C$10, $C$13, 100%, $E$13) + CHOOSE(CONTROL!$C$29, 0.0274, 0)</f>
        <v>34.433700000000002</v>
      </c>
      <c r="D396" s="4">
        <f>45.3302 * CHOOSE(CONTROL!$C$10, $C$13, 100%, $E$13) + CHOOSE(CONTROL!$C$29, 0.0021, 0)</f>
        <v>45.332299999999996</v>
      </c>
      <c r="E396" s="4">
        <f>220.537820579015 * CHOOSE(CONTROL!$C$10, $C$13, 100%, $E$13) + CHOOSE(CONTROL!$C$29, 0.0021, 0)</f>
        <v>220.53992057901502</v>
      </c>
    </row>
    <row r="397" spans="1:5" ht="15">
      <c r="A397" s="13">
        <v>53235</v>
      </c>
      <c r="B397" s="4">
        <f>33.2098 * CHOOSE(CONTROL!$C$10, $C$13, 100%, $E$13) + CHOOSE(CONTROL!$C$29, 0.0274, 0)</f>
        <v>33.237200000000001</v>
      </c>
      <c r="C397" s="4">
        <f>33.0536 * CHOOSE(CONTROL!$C$10, $C$13, 100%, $E$13) + CHOOSE(CONTROL!$C$29, 0.0274, 0)</f>
        <v>33.081000000000003</v>
      </c>
      <c r="D397" s="4">
        <f>45.1083 * CHOOSE(CONTROL!$C$10, $C$13, 100%, $E$13) + CHOOSE(CONTROL!$C$29, 0.0021, 0)</f>
        <v>45.110399999999998</v>
      </c>
      <c r="E397" s="4">
        <f>211.749200835596 * CHOOSE(CONTROL!$C$10, $C$13, 100%, $E$13) + CHOOSE(CONTROL!$C$29, 0.0021, 0)</f>
        <v>211.75130083559603</v>
      </c>
    </row>
    <row r="398" spans="1:5" ht="15">
      <c r="A398" s="13">
        <v>53266</v>
      </c>
      <c r="B398" s="4">
        <f>32.1269 * CHOOSE(CONTROL!$C$10, $C$13, 100%, $E$13) + CHOOSE(CONTROL!$C$29, 0.0274, 0)</f>
        <v>32.154299999999999</v>
      </c>
      <c r="C398" s="4">
        <f>31.9707 * CHOOSE(CONTROL!$C$10, $C$13, 100%, $E$13) + CHOOSE(CONTROL!$C$29, 0.0274, 0)</f>
        <v>31.998100000000001</v>
      </c>
      <c r="D398" s="4">
        <f>44.5142 * CHOOSE(CONTROL!$C$10, $C$13, 100%, $E$13) + CHOOSE(CONTROL!$C$29, 0.0021, 0)</f>
        <v>44.516300000000001</v>
      </c>
      <c r="E398" s="4">
        <f>204.713736557563 * CHOOSE(CONTROL!$C$10, $C$13, 100%, $E$13) + CHOOSE(CONTROL!$C$29, 0.0021, 0)</f>
        <v>204.71583655756302</v>
      </c>
    </row>
    <row r="399" spans="1:5" ht="15">
      <c r="A399" s="13">
        <v>53296</v>
      </c>
      <c r="B399" s="4">
        <f>31.4294 * CHOOSE(CONTROL!$C$10, $C$13, 100%, $E$13) + CHOOSE(CONTROL!$C$29, 0.0274, 0)</f>
        <v>31.456800000000001</v>
      </c>
      <c r="C399" s="4">
        <f>31.2732 * CHOOSE(CONTROL!$C$10, $C$13, 100%, $E$13) + CHOOSE(CONTROL!$C$29, 0.0274, 0)</f>
        <v>31.300599999999999</v>
      </c>
      <c r="D399" s="4">
        <f>44.31 * CHOOSE(CONTROL!$C$10, $C$13, 100%, $E$13) + CHOOSE(CONTROL!$C$29, 0.0021, 0)</f>
        <v>44.312100000000001</v>
      </c>
      <c r="E399" s="4">
        <f>200.182372186931 * CHOOSE(CONTROL!$C$10, $C$13, 100%, $E$13) + CHOOSE(CONTROL!$C$29, 0.0021, 0)</f>
        <v>200.184472186931</v>
      </c>
    </row>
    <row r="400" spans="1:5" ht="15">
      <c r="A400" s="13">
        <v>53327</v>
      </c>
      <c r="B400" s="4">
        <f>30.9469 * CHOOSE(CONTROL!$C$10, $C$13, 100%, $E$13) + CHOOSE(CONTROL!$C$29, 0.0274, 0)</f>
        <v>30.974299999999999</v>
      </c>
      <c r="C400" s="4">
        <f>30.7906 * CHOOSE(CONTROL!$C$10, $C$13, 100%, $E$13) + CHOOSE(CONTROL!$C$29, 0.0274, 0)</f>
        <v>30.818000000000001</v>
      </c>
      <c r="D400" s="4">
        <f>42.8064 * CHOOSE(CONTROL!$C$10, $C$13, 100%, $E$13) + CHOOSE(CONTROL!$C$29, 0.0021, 0)</f>
        <v>42.808499999999995</v>
      </c>
      <c r="E400" s="4">
        <f>197.047250524074 * CHOOSE(CONTROL!$C$10, $C$13, 100%, $E$13) + CHOOSE(CONTROL!$C$29, 0.0021, 0)</f>
        <v>197.04935052407401</v>
      </c>
    </row>
    <row r="401" spans="1:5" ht="15">
      <c r="A401" s="13">
        <v>53358</v>
      </c>
      <c r="B401" s="4">
        <f>29.6821 * CHOOSE(CONTROL!$C$10, $C$13, 100%, $E$13) + CHOOSE(CONTROL!$C$29, 0.0274, 0)</f>
        <v>29.709499999999998</v>
      </c>
      <c r="C401" s="4">
        <f>29.5259 * CHOOSE(CONTROL!$C$10, $C$13, 100%, $E$13) + CHOOSE(CONTROL!$C$29, 0.0274, 0)</f>
        <v>29.5533</v>
      </c>
      <c r="D401" s="4">
        <f>41.0753 * CHOOSE(CONTROL!$C$10, $C$13, 100%, $E$13) + CHOOSE(CONTROL!$C$29, 0.0021, 0)</f>
        <v>41.077399999999997</v>
      </c>
      <c r="E401" s="4">
        <f>188.839431855954 * CHOOSE(CONTROL!$C$10, $C$13, 100%, $E$13) + CHOOSE(CONTROL!$C$29, 0.0021, 0)</f>
        <v>188.841531855954</v>
      </c>
    </row>
    <row r="402" spans="1:5" ht="15">
      <c r="A402" s="13">
        <v>53386</v>
      </c>
      <c r="B402" s="4">
        <f>30.3722 * CHOOSE(CONTROL!$C$10, $C$13, 100%, $E$13) + CHOOSE(CONTROL!$C$29, 0.0274, 0)</f>
        <v>30.3996</v>
      </c>
      <c r="C402" s="4">
        <f>30.216 * CHOOSE(CONTROL!$C$10, $C$13, 100%, $E$13) + CHOOSE(CONTROL!$C$29, 0.0274, 0)</f>
        <v>30.243400000000001</v>
      </c>
      <c r="D402" s="4">
        <f>42.4546 * CHOOSE(CONTROL!$C$10, $C$13, 100%, $E$13) + CHOOSE(CONTROL!$C$29, 0.0021, 0)</f>
        <v>42.456699999999998</v>
      </c>
      <c r="E402" s="4">
        <f>193.323224167314 * CHOOSE(CONTROL!$C$10, $C$13, 100%, $E$13) + CHOOSE(CONTROL!$C$29, 0.0021, 0)</f>
        <v>193.32532416731402</v>
      </c>
    </row>
    <row r="403" spans="1:5" ht="15">
      <c r="A403" s="13">
        <v>53417</v>
      </c>
      <c r="B403" s="4">
        <f>32.1845 * CHOOSE(CONTROL!$C$10, $C$13, 100%, $E$13) + CHOOSE(CONTROL!$C$29, 0.0274, 0)</f>
        <v>32.2119</v>
      </c>
      <c r="C403" s="4">
        <f>32.0283 * CHOOSE(CONTROL!$C$10, $C$13, 100%, $E$13) + CHOOSE(CONTROL!$C$29, 0.0274, 0)</f>
        <v>32.055700000000002</v>
      </c>
      <c r="D403" s="4">
        <f>44.6138 * CHOOSE(CONTROL!$C$10, $C$13, 100%, $E$13) + CHOOSE(CONTROL!$C$29, 0.0021, 0)</f>
        <v>44.615899999999996</v>
      </c>
      <c r="E403" s="4">
        <f>205.097901060141 * CHOOSE(CONTROL!$C$10, $C$13, 100%, $E$13) + CHOOSE(CONTROL!$C$29, 0.0021, 0)</f>
        <v>205.10000106014101</v>
      </c>
    </row>
    <row r="404" spans="1:5" ht="15">
      <c r="A404" s="13">
        <v>53447</v>
      </c>
      <c r="B404" s="4">
        <f>33.4722 * CHOOSE(CONTROL!$C$10, $C$13, 100%, $E$13) + CHOOSE(CONTROL!$C$29, 0.0274, 0)</f>
        <v>33.499600000000001</v>
      </c>
      <c r="C404" s="4">
        <f>33.3159 * CHOOSE(CONTROL!$C$10, $C$13, 100%, $E$13) + CHOOSE(CONTROL!$C$29, 0.0274, 0)</f>
        <v>33.343299999999999</v>
      </c>
      <c r="D404" s="4">
        <f>45.8575 * CHOOSE(CONTROL!$C$10, $C$13, 100%, $E$13) + CHOOSE(CONTROL!$C$29, 0.0021, 0)</f>
        <v>45.8596</v>
      </c>
      <c r="E404" s="4">
        <f>213.463965910696 * CHOOSE(CONTROL!$C$10, $C$13, 100%, $E$13) + CHOOSE(CONTROL!$C$29, 0.0021, 0)</f>
        <v>213.46606591069602</v>
      </c>
    </row>
    <row r="405" spans="1:5" ht="15">
      <c r="A405" s="13">
        <v>53478</v>
      </c>
      <c r="B405" s="4">
        <f>34.2589 * CHOOSE(CONTROL!$C$10, $C$13, 100%, $E$13) + CHOOSE(CONTROL!$C$29, 0.0274, 0)</f>
        <v>34.286299999999997</v>
      </c>
      <c r="C405" s="4">
        <f>34.1026 * CHOOSE(CONTROL!$C$10, $C$13, 100%, $E$13) + CHOOSE(CONTROL!$C$29, 0.0274, 0)</f>
        <v>34.130000000000003</v>
      </c>
      <c r="D405" s="4">
        <f>45.3661 * CHOOSE(CONTROL!$C$10, $C$13, 100%, $E$13) + CHOOSE(CONTROL!$C$29, 0.0021, 0)</f>
        <v>45.368200000000002</v>
      </c>
      <c r="E405" s="4">
        <f>218.575431027794 * CHOOSE(CONTROL!$C$10, $C$13, 100%, $E$13) + CHOOSE(CONTROL!$C$29, 0.0021, 0)</f>
        <v>218.57753102779401</v>
      </c>
    </row>
    <row r="406" spans="1:5" ht="15">
      <c r="A406" s="13">
        <v>53508</v>
      </c>
      <c r="B406" s="4">
        <f>34.3653 * CHOOSE(CONTROL!$C$10, $C$13, 100%, $E$13) + CHOOSE(CONTROL!$C$29, 0.0274, 0)</f>
        <v>34.392699999999998</v>
      </c>
      <c r="C406" s="4">
        <f>34.2091 * CHOOSE(CONTROL!$C$10, $C$13, 100%, $E$13) + CHOOSE(CONTROL!$C$29, 0.0274, 0)</f>
        <v>34.236499999999999</v>
      </c>
      <c r="D406" s="4">
        <f>45.7663 * CHOOSE(CONTROL!$C$10, $C$13, 100%, $E$13) + CHOOSE(CONTROL!$C$29, 0.0021, 0)</f>
        <v>45.7684</v>
      </c>
      <c r="E406" s="4">
        <f>219.267033471153 * CHOOSE(CONTROL!$C$10, $C$13, 100%, $E$13) + CHOOSE(CONTROL!$C$29, 0.0021, 0)</f>
        <v>219.26913347115303</v>
      </c>
    </row>
    <row r="407" spans="1:5" ht="15">
      <c r="A407" s="13">
        <v>53539</v>
      </c>
      <c r="B407" s="4">
        <f>34.3546 * CHOOSE(CONTROL!$C$10, $C$13, 100%, $E$13) + CHOOSE(CONTROL!$C$29, 0.0274, 0)</f>
        <v>34.381999999999998</v>
      </c>
      <c r="C407" s="4">
        <f>34.1983 * CHOOSE(CONTROL!$C$10, $C$13, 100%, $E$13) + CHOOSE(CONTROL!$C$29, 0.0274, 0)</f>
        <v>34.225700000000003</v>
      </c>
      <c r="D407" s="4">
        <f>46.4886 * CHOOSE(CONTROL!$C$10, $C$13, 100%, $E$13) + CHOOSE(CONTROL!$C$29, 0.0021, 0)</f>
        <v>46.490699999999997</v>
      </c>
      <c r="E407" s="4">
        <f>219.197292048293 * CHOOSE(CONTROL!$C$10, $C$13, 100%, $E$13) + CHOOSE(CONTROL!$C$29, 0.0021, 0)</f>
        <v>219.19939204829302</v>
      </c>
    </row>
    <row r="408" spans="1:5" ht="15">
      <c r="A408" s="13">
        <v>53570</v>
      </c>
      <c r="B408" s="4">
        <f>35.1623 * CHOOSE(CONTROL!$C$10, $C$13, 100%, $E$13) + CHOOSE(CONTROL!$C$29, 0.0274, 0)</f>
        <v>35.189700000000002</v>
      </c>
      <c r="C408" s="4">
        <f>35.0061 * CHOOSE(CONTROL!$C$10, $C$13, 100%, $E$13) + CHOOSE(CONTROL!$C$29, 0.0274, 0)</f>
        <v>35.033500000000004</v>
      </c>
      <c r="D408" s="4">
        <f>46.0116 * CHOOSE(CONTROL!$C$10, $C$13, 100%, $E$13) + CHOOSE(CONTROL!$C$29, 0.0021, 0)</f>
        <v>46.0137</v>
      </c>
      <c r="E408" s="4">
        <f>224.445334118492 * CHOOSE(CONTROL!$C$10, $C$13, 100%, $E$13) + CHOOSE(CONTROL!$C$29, 0.0021, 0)</f>
        <v>224.44743411849203</v>
      </c>
    </row>
    <row r="409" spans="1:5" ht="15">
      <c r="A409" s="13">
        <v>53600</v>
      </c>
      <c r="B409" s="4">
        <f>33.7857 * CHOOSE(CONTROL!$C$10, $C$13, 100%, $E$13) + CHOOSE(CONTROL!$C$29, 0.0274, 0)</f>
        <v>33.813099999999999</v>
      </c>
      <c r="C409" s="4">
        <f>33.6294 * CHOOSE(CONTROL!$C$10, $C$13, 100%, $E$13) + CHOOSE(CONTROL!$C$29, 0.0274, 0)</f>
        <v>33.656799999999997</v>
      </c>
      <c r="D409" s="4">
        <f>45.7862 * CHOOSE(CONTROL!$C$10, $C$13, 100%, $E$13) + CHOOSE(CONTROL!$C$29, 0.0021, 0)</f>
        <v>45.7883</v>
      </c>
      <c r="E409" s="4">
        <f>215.500996636725 * CHOOSE(CONTROL!$C$10, $C$13, 100%, $E$13) + CHOOSE(CONTROL!$C$29, 0.0021, 0)</f>
        <v>215.50309663672502</v>
      </c>
    </row>
    <row r="410" spans="1:5" ht="15">
      <c r="A410" s="13">
        <v>53631</v>
      </c>
      <c r="B410" s="4">
        <f>32.6836 * CHOOSE(CONTROL!$C$10, $C$13, 100%, $E$13) + CHOOSE(CONTROL!$C$29, 0.0274, 0)</f>
        <v>32.710999999999999</v>
      </c>
      <c r="C410" s="4">
        <f>32.5274 * CHOOSE(CONTROL!$C$10, $C$13, 100%, $E$13) + CHOOSE(CONTROL!$C$29, 0.0274, 0)</f>
        <v>32.5548</v>
      </c>
      <c r="D410" s="4">
        <f>45.1828 * CHOOSE(CONTROL!$C$10, $C$13, 100%, $E$13) + CHOOSE(CONTROL!$C$29, 0.0021, 0)</f>
        <v>45.184899999999999</v>
      </c>
      <c r="E410" s="4">
        <f>208.340877223121 * CHOOSE(CONTROL!$C$10, $C$13, 100%, $E$13) + CHOOSE(CONTROL!$C$29, 0.0021, 0)</f>
        <v>208.34297722312101</v>
      </c>
    </row>
    <row r="411" spans="1:5" ht="15">
      <c r="A411" s="13">
        <v>53661</v>
      </c>
      <c r="B411" s="4">
        <f>31.9738 * CHOOSE(CONTROL!$C$10, $C$13, 100%, $E$13) + CHOOSE(CONTROL!$C$29, 0.0274, 0)</f>
        <v>32.001199999999997</v>
      </c>
      <c r="C411" s="4">
        <f>31.8176 * CHOOSE(CONTROL!$C$10, $C$13, 100%, $E$13) + CHOOSE(CONTROL!$C$29, 0.0274, 0)</f>
        <v>31.844999999999999</v>
      </c>
      <c r="D411" s="4">
        <f>44.9754 * CHOOSE(CONTROL!$C$10, $C$13, 100%, $E$13) + CHOOSE(CONTROL!$C$29, 0.0021, 0)</f>
        <v>44.977499999999999</v>
      </c>
      <c r="E411" s="4">
        <f>203.729225636518 * CHOOSE(CONTROL!$C$10, $C$13, 100%, $E$13) + CHOOSE(CONTROL!$C$29, 0.0021, 0)</f>
        <v>203.73132563651802</v>
      </c>
    </row>
    <row r="412" spans="1:5" ht="15">
      <c r="A412" s="13">
        <v>53692</v>
      </c>
      <c r="B412" s="4">
        <f>31.4828 * CHOOSE(CONTROL!$C$10, $C$13, 100%, $E$13) + CHOOSE(CONTROL!$C$29, 0.0274, 0)</f>
        <v>31.510200000000001</v>
      </c>
      <c r="C412" s="4">
        <f>31.3265 * CHOOSE(CONTROL!$C$10, $C$13, 100%, $E$13) + CHOOSE(CONTROL!$C$29, 0.0274, 0)</f>
        <v>31.353899999999999</v>
      </c>
      <c r="D412" s="4">
        <f>43.4481 * CHOOSE(CONTROL!$C$10, $C$13, 100%, $E$13) + CHOOSE(CONTROL!$C$29, 0.0021, 0)</f>
        <v>43.450199999999995</v>
      </c>
      <c r="E412" s="4">
        <f>200.538555540683 * CHOOSE(CONTROL!$C$10, $C$13, 100%, $E$13) + CHOOSE(CONTROL!$C$29, 0.0021, 0)</f>
        <v>200.54065554068302</v>
      </c>
    </row>
    <row r="413" spans="1:5" ht="15">
      <c r="A413" s="13">
        <v>53723</v>
      </c>
      <c r="B413" s="4">
        <f>30.1956 * CHOOSE(CONTROL!$C$10, $C$13, 100%, $E$13) + CHOOSE(CONTROL!$C$29, 0.0274, 0)</f>
        <v>30.222999999999999</v>
      </c>
      <c r="C413" s="4">
        <f>30.0394 * CHOOSE(CONTROL!$C$10, $C$13, 100%, $E$13) + CHOOSE(CONTROL!$C$29, 0.0274, 0)</f>
        <v>30.066800000000001</v>
      </c>
      <c r="D413" s="4">
        <f>41.6898 * CHOOSE(CONTROL!$C$10, $C$13, 100%, $E$13) + CHOOSE(CONTROL!$C$29, 0.0021, 0)</f>
        <v>41.691899999999997</v>
      </c>
      <c r="E413" s="4">
        <f>192.185309832017 * CHOOSE(CONTROL!$C$10, $C$13, 100%, $E$13) + CHOOSE(CONTROL!$C$29, 0.0021, 0)</f>
        <v>192.18740983201701</v>
      </c>
    </row>
    <row r="414" spans="1:5" ht="15">
      <c r="A414" s="13">
        <v>53751</v>
      </c>
      <c r="B414" s="4">
        <f>30.8979 * CHOOSE(CONTROL!$C$10, $C$13, 100%, $E$13) + CHOOSE(CONTROL!$C$29, 0.0274, 0)</f>
        <v>30.9253</v>
      </c>
      <c r="C414" s="4">
        <f>30.7417 * CHOOSE(CONTROL!$C$10, $C$13, 100%, $E$13) + CHOOSE(CONTROL!$C$29, 0.0274, 0)</f>
        <v>30.769100000000002</v>
      </c>
      <c r="D414" s="4">
        <f>43.0908 * CHOOSE(CONTROL!$C$10, $C$13, 100%, $E$13) + CHOOSE(CONTROL!$C$29, 0.0021, 0)</f>
        <v>43.0929</v>
      </c>
      <c r="E414" s="4">
        <f>196.748546472331 * CHOOSE(CONTROL!$C$10, $C$13, 100%, $E$13) + CHOOSE(CONTROL!$C$29, 0.0021, 0)</f>
        <v>196.750646472331</v>
      </c>
    </row>
    <row r="415" spans="1:5" ht="15">
      <c r="A415" s="13">
        <v>53782</v>
      </c>
      <c r="B415" s="4">
        <f>32.7422 * CHOOSE(CONTROL!$C$10, $C$13, 100%, $E$13) + CHOOSE(CONTROL!$C$29, 0.0274, 0)</f>
        <v>32.769599999999997</v>
      </c>
      <c r="C415" s="4">
        <f>32.586 * CHOOSE(CONTROL!$C$10, $C$13, 100%, $E$13) + CHOOSE(CONTROL!$C$29, 0.0274, 0)</f>
        <v>32.613399999999999</v>
      </c>
      <c r="D415" s="4">
        <f>45.284 * CHOOSE(CONTROL!$C$10, $C$13, 100%, $E$13) + CHOOSE(CONTROL!$C$29, 0.0021, 0)</f>
        <v>45.286099999999998</v>
      </c>
      <c r="E415" s="4">
        <f>208.731848394918 * CHOOSE(CONTROL!$C$10, $C$13, 100%, $E$13) + CHOOSE(CONTROL!$C$29, 0.0021, 0)</f>
        <v>208.733948394918</v>
      </c>
    </row>
    <row r="416" spans="1:5" ht="15">
      <c r="A416" s="13">
        <v>53812</v>
      </c>
      <c r="B416" s="4">
        <f>34.0526 * CHOOSE(CONTROL!$C$10, $C$13, 100%, $E$13) + CHOOSE(CONTROL!$C$29, 0.0274, 0)</f>
        <v>34.08</v>
      </c>
      <c r="C416" s="4">
        <f>33.8964 * CHOOSE(CONTROL!$C$10, $C$13, 100%, $E$13) + CHOOSE(CONTROL!$C$29, 0.0274, 0)</f>
        <v>33.9238</v>
      </c>
      <c r="D416" s="4">
        <f>46.5473 * CHOOSE(CONTROL!$C$10, $C$13, 100%, $E$13) + CHOOSE(CONTROL!$C$29, 0.0021, 0)</f>
        <v>46.549399999999999</v>
      </c>
      <c r="E416" s="4">
        <f>217.246144109412 * CHOOSE(CONTROL!$C$10, $C$13, 100%, $E$13) + CHOOSE(CONTROL!$C$29, 0.0021, 0)</f>
        <v>217.24824410941201</v>
      </c>
    </row>
    <row r="417" spans="1:5" ht="15">
      <c r="A417" s="13">
        <v>53843</v>
      </c>
      <c r="B417" s="4">
        <f>34.8533 * CHOOSE(CONTROL!$C$10, $C$13, 100%, $E$13) + CHOOSE(CONTROL!$C$29, 0.0274, 0)</f>
        <v>34.880699999999997</v>
      </c>
      <c r="C417" s="4">
        <f>34.697 * CHOOSE(CONTROL!$C$10, $C$13, 100%, $E$13) + CHOOSE(CONTROL!$C$29, 0.0274, 0)</f>
        <v>34.724400000000003</v>
      </c>
      <c r="D417" s="4">
        <f>46.0481 * CHOOSE(CONTROL!$C$10, $C$13, 100%, $E$13) + CHOOSE(CONTROL!$C$29, 0.0021, 0)</f>
        <v>46.050199999999997</v>
      </c>
      <c r="E417" s="4">
        <f>222.448174731779 * CHOOSE(CONTROL!$C$10, $C$13, 100%, $E$13) + CHOOSE(CONTROL!$C$29, 0.0021, 0)</f>
        <v>222.45027473177902</v>
      </c>
    </row>
    <row r="418" spans="1:5" ht="15">
      <c r="A418" s="13">
        <v>53873</v>
      </c>
      <c r="B418" s="4">
        <f>34.9616 * CHOOSE(CONTROL!$C$10, $C$13, 100%, $E$13) + CHOOSE(CONTROL!$C$29, 0.0274, 0)</f>
        <v>34.988999999999997</v>
      </c>
      <c r="C418" s="4">
        <f>34.8053 * CHOOSE(CONTROL!$C$10, $C$13, 100%, $E$13) + CHOOSE(CONTROL!$C$29, 0.0274, 0)</f>
        <v>34.832700000000003</v>
      </c>
      <c r="D418" s="4">
        <f>46.4546 * CHOOSE(CONTROL!$C$10, $C$13, 100%, $E$13) + CHOOSE(CONTROL!$C$29, 0.0021, 0)</f>
        <v>46.456699999999998</v>
      </c>
      <c r="E418" s="4">
        <f>223.152031063856 * CHOOSE(CONTROL!$C$10, $C$13, 100%, $E$13) + CHOOSE(CONTROL!$C$29, 0.0021, 0)</f>
        <v>223.154131063856</v>
      </c>
    </row>
    <row r="419" spans="1:5" ht="15">
      <c r="A419" s="13">
        <v>53904</v>
      </c>
      <c r="B419" s="4">
        <f>34.9507 * CHOOSE(CONTROL!$C$10, $C$13, 100%, $E$13) + CHOOSE(CONTROL!$C$29, 0.0274, 0)</f>
        <v>34.978099999999998</v>
      </c>
      <c r="C419" s="4">
        <f>34.7944 * CHOOSE(CONTROL!$C$10, $C$13, 100%, $E$13) + CHOOSE(CONTROL!$C$29, 0.0274, 0)</f>
        <v>34.821800000000003</v>
      </c>
      <c r="D419" s="4">
        <f>47.1882 * CHOOSE(CONTROL!$C$10, $C$13, 100%, $E$13) + CHOOSE(CONTROL!$C$29, 0.0021, 0)</f>
        <v>47.190300000000001</v>
      </c>
      <c r="E419" s="4">
        <f>223.081053954739 * CHOOSE(CONTROL!$C$10, $C$13, 100%, $E$13) + CHOOSE(CONTROL!$C$29, 0.0021, 0)</f>
        <v>223.083153954739</v>
      </c>
    </row>
    <row r="420" spans="1:5" ht="15">
      <c r="A420" s="13">
        <v>53935</v>
      </c>
      <c r="B420" s="4">
        <f>35.7727 * CHOOSE(CONTROL!$C$10, $C$13, 100%, $E$13) + CHOOSE(CONTROL!$C$29, 0.0274, 0)</f>
        <v>35.8001</v>
      </c>
      <c r="C420" s="4">
        <f>35.6164 * CHOOSE(CONTROL!$C$10, $C$13, 100%, $E$13) + CHOOSE(CONTROL!$C$29, 0.0274, 0)</f>
        <v>35.643799999999999</v>
      </c>
      <c r="D420" s="4">
        <f>46.7038 * CHOOSE(CONTROL!$C$10, $C$13, 100%, $E$13) + CHOOSE(CONTROL!$C$29, 0.0021, 0)</f>
        <v>46.7059</v>
      </c>
      <c r="E420" s="4">
        <f>228.422081415793 * CHOOSE(CONTROL!$C$10, $C$13, 100%, $E$13) + CHOOSE(CONTROL!$C$29, 0.0021, 0)</f>
        <v>228.42418141579302</v>
      </c>
    </row>
    <row r="421" spans="1:5" ht="15">
      <c r="A421" s="13">
        <v>53965</v>
      </c>
      <c r="B421" s="4">
        <f>34.3717 * CHOOSE(CONTROL!$C$10, $C$13, 100%, $E$13) + CHOOSE(CONTROL!$C$29, 0.0274, 0)</f>
        <v>34.399099999999997</v>
      </c>
      <c r="C421" s="4">
        <f>34.2155 * CHOOSE(CONTROL!$C$10, $C$13, 100%, $E$13) + CHOOSE(CONTROL!$C$29, 0.0274, 0)</f>
        <v>34.242899999999999</v>
      </c>
      <c r="D421" s="4">
        <f>46.4749 * CHOOSE(CONTROL!$C$10, $C$13, 100%, $E$13) + CHOOSE(CONTROL!$C$29, 0.0021, 0)</f>
        <v>46.476999999999997</v>
      </c>
      <c r="E421" s="4">
        <f>219.319267171538 * CHOOSE(CONTROL!$C$10, $C$13, 100%, $E$13) + CHOOSE(CONTROL!$C$29, 0.0021, 0)</f>
        <v>219.32136717153801</v>
      </c>
    </row>
    <row r="422" spans="1:5" ht="15">
      <c r="A422" s="13">
        <v>53996</v>
      </c>
      <c r="B422" s="4">
        <f>33.2502 * CHOOSE(CONTROL!$C$10, $C$13, 100%, $E$13) + CHOOSE(CONTROL!$C$29, 0.0274, 0)</f>
        <v>33.2776</v>
      </c>
      <c r="C422" s="4">
        <f>33.094 * CHOOSE(CONTROL!$C$10, $C$13, 100%, $E$13) + CHOOSE(CONTROL!$C$29, 0.0274, 0)</f>
        <v>33.121400000000001</v>
      </c>
      <c r="D422" s="4">
        <f>45.862 * CHOOSE(CONTROL!$C$10, $C$13, 100%, $E$13) + CHOOSE(CONTROL!$C$29, 0.0021, 0)</f>
        <v>45.864100000000001</v>
      </c>
      <c r="E422" s="4">
        <f>212.032283968859 * CHOOSE(CONTROL!$C$10, $C$13, 100%, $E$13) + CHOOSE(CONTROL!$C$29, 0.0021, 0)</f>
        <v>212.034383968859</v>
      </c>
    </row>
    <row r="423" spans="1:5" ht="15">
      <c r="A423" s="13">
        <v>54026</v>
      </c>
      <c r="B423" s="4">
        <f>32.5279 * CHOOSE(CONTROL!$C$10, $C$13, 100%, $E$13) + CHOOSE(CONTROL!$C$29, 0.0274, 0)</f>
        <v>32.555300000000003</v>
      </c>
      <c r="C423" s="4">
        <f>32.3716 * CHOOSE(CONTROL!$C$10, $C$13, 100%, $E$13) + CHOOSE(CONTROL!$C$29, 0.0274, 0)</f>
        <v>32.399000000000001</v>
      </c>
      <c r="D423" s="4">
        <f>45.6513 * CHOOSE(CONTROL!$C$10, $C$13, 100%, $E$13) + CHOOSE(CONTROL!$C$29, 0.0021, 0)</f>
        <v>45.653399999999998</v>
      </c>
      <c r="E423" s="4">
        <f>207.338922628497 * CHOOSE(CONTROL!$C$10, $C$13, 100%, $E$13) + CHOOSE(CONTROL!$C$29, 0.0021, 0)</f>
        <v>207.341022628497</v>
      </c>
    </row>
    <row r="424" spans="1:5" ht="15">
      <c r="A424" s="13">
        <v>54057</v>
      </c>
      <c r="B424" s="4">
        <f>32.0281 * CHOOSE(CONTROL!$C$10, $C$13, 100%, $E$13) + CHOOSE(CONTROL!$C$29, 0.0274, 0)</f>
        <v>32.055500000000002</v>
      </c>
      <c r="C424" s="4">
        <f>31.8719 * CHOOSE(CONTROL!$C$10, $C$13, 100%, $E$13) + CHOOSE(CONTROL!$C$29, 0.0274, 0)</f>
        <v>31.8993</v>
      </c>
      <c r="D424" s="4">
        <f>44.1 * CHOOSE(CONTROL!$C$10, $C$13, 100%, $E$13) + CHOOSE(CONTROL!$C$29, 0.0021, 0)</f>
        <v>44.1021</v>
      </c>
      <c r="E424" s="4">
        <f>204.091719886394 * CHOOSE(CONTROL!$C$10, $C$13, 100%, $E$13) + CHOOSE(CONTROL!$C$29, 0.0021, 0)</f>
        <v>204.09381988639402</v>
      </c>
    </row>
    <row r="425" spans="1:5" ht="15">
      <c r="A425" s="13">
        <v>54088</v>
      </c>
      <c r="B425" s="4">
        <f>30.7182 * CHOOSE(CONTROL!$C$10, $C$13, 100%, $E$13) + CHOOSE(CONTROL!$C$29, 0.0274, 0)</f>
        <v>30.7456</v>
      </c>
      <c r="C425" s="4">
        <f>30.562 * CHOOSE(CONTROL!$C$10, $C$13, 100%, $E$13) + CHOOSE(CONTROL!$C$29, 0.0274, 0)</f>
        <v>30.589400000000001</v>
      </c>
      <c r="D425" s="4">
        <f>42.314 * CHOOSE(CONTROL!$C$10, $C$13, 100%, $E$13) + CHOOSE(CONTROL!$C$29, 0.0021, 0)</f>
        <v>42.316099999999999</v>
      </c>
      <c r="E425" s="4">
        <f>195.590470444766 * CHOOSE(CONTROL!$C$10, $C$13, 100%, $E$13) + CHOOSE(CONTROL!$C$29, 0.0021, 0)</f>
        <v>195.59257044476601</v>
      </c>
    </row>
    <row r="426" spans="1:5" ht="15">
      <c r="A426" s="13">
        <v>54116</v>
      </c>
      <c r="B426" s="4">
        <f>31.433 * CHOOSE(CONTROL!$C$10, $C$13, 100%, $E$13) + CHOOSE(CONTROL!$C$29, 0.0274, 0)</f>
        <v>31.4604</v>
      </c>
      <c r="C426" s="4">
        <f>31.2767 * CHOOSE(CONTROL!$C$10, $C$13, 100%, $E$13) + CHOOSE(CONTROL!$C$29, 0.0274, 0)</f>
        <v>31.304100000000002</v>
      </c>
      <c r="D426" s="4">
        <f>43.737 * CHOOSE(CONTROL!$C$10, $C$13, 100%, $E$13) + CHOOSE(CONTROL!$C$29, 0.0021, 0)</f>
        <v>43.739100000000001</v>
      </c>
      <c r="E426" s="4">
        <f>200.234559017456 * CHOOSE(CONTROL!$C$10, $C$13, 100%, $E$13) + CHOOSE(CONTROL!$C$29, 0.0021, 0)</f>
        <v>200.23665901745602</v>
      </c>
    </row>
    <row r="427" spans="1:5" ht="15">
      <c r="A427" s="13">
        <v>54148</v>
      </c>
      <c r="B427" s="4">
        <f>33.3098 * CHOOSE(CONTROL!$C$10, $C$13, 100%, $E$13) + CHOOSE(CONTROL!$C$29, 0.0274, 0)</f>
        <v>33.337200000000003</v>
      </c>
      <c r="C427" s="4">
        <f>33.1536 * CHOOSE(CONTROL!$C$10, $C$13, 100%, $E$13) + CHOOSE(CONTROL!$C$29, 0.0274, 0)</f>
        <v>33.180999999999997</v>
      </c>
      <c r="D427" s="4">
        <f>45.9647 * CHOOSE(CONTROL!$C$10, $C$13, 100%, $E$13) + CHOOSE(CONTROL!$C$29, 0.0021, 0)</f>
        <v>45.966799999999999</v>
      </c>
      <c r="E427" s="4">
        <f>212.430182411196 * CHOOSE(CONTROL!$C$10, $C$13, 100%, $E$13) + CHOOSE(CONTROL!$C$29, 0.0021, 0)</f>
        <v>212.43228241119601</v>
      </c>
    </row>
    <row r="428" spans="1:5" ht="15">
      <c r="A428" s="13">
        <v>54178</v>
      </c>
      <c r="B428" s="4">
        <f>34.6434 * CHOOSE(CONTROL!$C$10, $C$13, 100%, $E$13) + CHOOSE(CONTROL!$C$29, 0.0274, 0)</f>
        <v>34.6708</v>
      </c>
      <c r="C428" s="4">
        <f>34.4871 * CHOOSE(CONTROL!$C$10, $C$13, 100%, $E$13) + CHOOSE(CONTROL!$C$29, 0.0274, 0)</f>
        <v>34.514499999999998</v>
      </c>
      <c r="D428" s="4">
        <f>47.2479 * CHOOSE(CONTROL!$C$10, $C$13, 100%, $E$13) + CHOOSE(CONTROL!$C$29, 0.0021, 0)</f>
        <v>47.25</v>
      </c>
      <c r="E428" s="4">
        <f>221.095335360499 * CHOOSE(CONTROL!$C$10, $C$13, 100%, $E$13) + CHOOSE(CONTROL!$C$29, 0.0021, 0)</f>
        <v>221.09743536049902</v>
      </c>
    </row>
    <row r="429" spans="1:5" ht="15">
      <c r="A429" s="13">
        <v>54209</v>
      </c>
      <c r="B429" s="4">
        <f>35.4582 * CHOOSE(CONTROL!$C$10, $C$13, 100%, $E$13) + CHOOSE(CONTROL!$C$29, 0.0274, 0)</f>
        <v>35.485599999999998</v>
      </c>
      <c r="C429" s="4">
        <f>35.3019 * CHOOSE(CONTROL!$C$10, $C$13, 100%, $E$13) + CHOOSE(CONTROL!$C$29, 0.0274, 0)</f>
        <v>35.329300000000003</v>
      </c>
      <c r="D429" s="4">
        <f>46.7408 * CHOOSE(CONTROL!$C$10, $C$13, 100%, $E$13) + CHOOSE(CONTROL!$C$29, 0.0021, 0)</f>
        <v>46.742899999999999</v>
      </c>
      <c r="E429" s="4">
        <f>226.389536137792 * CHOOSE(CONTROL!$C$10, $C$13, 100%, $E$13) + CHOOSE(CONTROL!$C$29, 0.0021, 0)</f>
        <v>226.39163613779201</v>
      </c>
    </row>
    <row r="430" spans="1:5" ht="15">
      <c r="A430" s="13">
        <v>54239</v>
      </c>
      <c r="B430" s="4">
        <f>35.5684 * CHOOSE(CONTROL!$C$10, $C$13, 100%, $E$13) + CHOOSE(CONTROL!$C$29, 0.0274, 0)</f>
        <v>35.595799999999997</v>
      </c>
      <c r="C430" s="4">
        <f>35.4122 * CHOOSE(CONTROL!$C$10, $C$13, 100%, $E$13) + CHOOSE(CONTROL!$C$29, 0.0274, 0)</f>
        <v>35.439599999999999</v>
      </c>
      <c r="D430" s="4">
        <f>47.1538 * CHOOSE(CONTROL!$C$10, $C$13, 100%, $E$13) + CHOOSE(CONTROL!$C$29, 0.0021, 0)</f>
        <v>47.155899999999995</v>
      </c>
      <c r="E430" s="4">
        <f>227.105863474344 * CHOOSE(CONTROL!$C$10, $C$13, 100%, $E$13) + CHOOSE(CONTROL!$C$29, 0.0021, 0)</f>
        <v>227.10796347434402</v>
      </c>
    </row>
    <row r="431" spans="1:5" ht="15">
      <c r="A431" s="13">
        <v>54270</v>
      </c>
      <c r="B431" s="4">
        <f>35.5573 * CHOOSE(CONTROL!$C$10, $C$13, 100%, $E$13) + CHOOSE(CONTROL!$C$29, 0.0274, 0)</f>
        <v>35.584699999999998</v>
      </c>
      <c r="C431" s="4">
        <f>35.401 * CHOOSE(CONTROL!$C$10, $C$13, 100%, $E$13) + CHOOSE(CONTROL!$C$29, 0.0274, 0)</f>
        <v>35.428400000000003</v>
      </c>
      <c r="D431" s="4">
        <f>47.8989 * CHOOSE(CONTROL!$C$10, $C$13, 100%, $E$13) + CHOOSE(CONTROL!$C$29, 0.0021, 0)</f>
        <v>47.900999999999996</v>
      </c>
      <c r="E431" s="4">
        <f>227.033628784944 * CHOOSE(CONTROL!$C$10, $C$13, 100%, $E$13) + CHOOSE(CONTROL!$C$29, 0.0021, 0)</f>
        <v>227.03572878494401</v>
      </c>
    </row>
    <row r="432" spans="1:5" ht="15">
      <c r="A432" s="13">
        <v>54301</v>
      </c>
      <c r="B432" s="4">
        <f>36.3938 * CHOOSE(CONTROL!$C$10, $C$13, 100%, $E$13) + CHOOSE(CONTROL!$C$29, 0.0274, 0)</f>
        <v>36.421199999999999</v>
      </c>
      <c r="C432" s="4">
        <f>36.2376 * CHOOSE(CONTROL!$C$10, $C$13, 100%, $E$13) + CHOOSE(CONTROL!$C$29, 0.0274, 0)</f>
        <v>36.265000000000001</v>
      </c>
      <c r="D432" s="4">
        <f>47.4068 * CHOOSE(CONTROL!$C$10, $C$13, 100%, $E$13) + CHOOSE(CONTROL!$C$29, 0.0021, 0)</f>
        <v>47.408899999999996</v>
      </c>
      <c r="E432" s="4">
        <f>232.469289162312 * CHOOSE(CONTROL!$C$10, $C$13, 100%, $E$13) + CHOOSE(CONTROL!$C$29, 0.0021, 0)</f>
        <v>232.47138916231202</v>
      </c>
    </row>
    <row r="433" spans="1:5" ht="15">
      <c r="A433" s="13">
        <v>54331</v>
      </c>
      <c r="B433" s="4">
        <f>34.9681 * CHOOSE(CONTROL!$C$10, $C$13, 100%, $E$13) + CHOOSE(CONTROL!$C$29, 0.0274, 0)</f>
        <v>34.9955</v>
      </c>
      <c r="C433" s="4">
        <f>34.8118 * CHOOSE(CONTROL!$C$10, $C$13, 100%, $E$13) + CHOOSE(CONTROL!$C$29, 0.0274, 0)</f>
        <v>34.839199999999998</v>
      </c>
      <c r="D433" s="4">
        <f>47.1743 * CHOOSE(CONTROL!$C$10, $C$13, 100%, $E$13) + CHOOSE(CONTROL!$C$29, 0.0021, 0)</f>
        <v>47.176400000000001</v>
      </c>
      <c r="E433" s="4">
        <f>223.205190246731 * CHOOSE(CONTROL!$C$10, $C$13, 100%, $E$13) + CHOOSE(CONTROL!$C$29, 0.0021, 0)</f>
        <v>223.20729024673102</v>
      </c>
    </row>
    <row r="434" spans="1:5" ht="15">
      <c r="A434" s="13">
        <v>54362</v>
      </c>
      <c r="B434" s="4">
        <f>33.8268 * CHOOSE(CONTROL!$C$10, $C$13, 100%, $E$13) + CHOOSE(CONTROL!$C$29, 0.0274, 0)</f>
        <v>33.854199999999999</v>
      </c>
      <c r="C434" s="4">
        <f>33.6705 * CHOOSE(CONTROL!$C$10, $C$13, 100%, $E$13) + CHOOSE(CONTROL!$C$29, 0.0274, 0)</f>
        <v>33.697899999999997</v>
      </c>
      <c r="D434" s="4">
        <f>46.5518 * CHOOSE(CONTROL!$C$10, $C$13, 100%, $E$13) + CHOOSE(CONTROL!$C$29, 0.0021, 0)</f>
        <v>46.553899999999999</v>
      </c>
      <c r="E434" s="4">
        <f>215.789095468307 * CHOOSE(CONTROL!$C$10, $C$13, 100%, $E$13) + CHOOSE(CONTROL!$C$29, 0.0021, 0)</f>
        <v>215.79119546830702</v>
      </c>
    </row>
    <row r="435" spans="1:5" ht="15">
      <c r="A435" s="13">
        <v>54392</v>
      </c>
      <c r="B435" s="4">
        <f>33.0917 * CHOOSE(CONTROL!$C$10, $C$13, 100%, $E$13) + CHOOSE(CONTROL!$C$29, 0.0274, 0)</f>
        <v>33.119100000000003</v>
      </c>
      <c r="C435" s="4">
        <f>32.9354 * CHOOSE(CONTROL!$C$10, $C$13, 100%, $E$13) + CHOOSE(CONTROL!$C$29, 0.0274, 0)</f>
        <v>32.962800000000001</v>
      </c>
      <c r="D435" s="4">
        <f>46.3378 * CHOOSE(CONTROL!$C$10, $C$13, 100%, $E$13) + CHOOSE(CONTROL!$C$29, 0.0021, 0)</f>
        <v>46.3399</v>
      </c>
      <c r="E435" s="4">
        <f>211.012576631716 * CHOOSE(CONTROL!$C$10, $C$13, 100%, $E$13) + CHOOSE(CONTROL!$C$29, 0.0021, 0)</f>
        <v>211.01467663171601</v>
      </c>
    </row>
    <row r="436" spans="1:5" ht="15">
      <c r="A436" s="13">
        <v>54423</v>
      </c>
      <c r="B436" s="4">
        <f>32.5831 * CHOOSE(CONTROL!$C$10, $C$13, 100%, $E$13) + CHOOSE(CONTROL!$C$29, 0.0274, 0)</f>
        <v>32.610500000000002</v>
      </c>
      <c r="C436" s="4">
        <f>32.4268 * CHOOSE(CONTROL!$C$10, $C$13, 100%, $E$13) + CHOOSE(CONTROL!$C$29, 0.0274, 0)</f>
        <v>32.4542</v>
      </c>
      <c r="D436" s="4">
        <f>44.7621 * CHOOSE(CONTROL!$C$10, $C$13, 100%, $E$13) + CHOOSE(CONTROL!$C$29, 0.0021, 0)</f>
        <v>44.764199999999995</v>
      </c>
      <c r="E436" s="4">
        <f>207.707839591656 * CHOOSE(CONTROL!$C$10, $C$13, 100%, $E$13) + CHOOSE(CONTROL!$C$29, 0.0021, 0)</f>
        <v>207.70993959165602</v>
      </c>
    </row>
    <row r="437" spans="1:5" ht="15">
      <c r="A437" s="13">
        <v>54454</v>
      </c>
      <c r="B437" s="4">
        <f>31.2501 * CHOOSE(CONTROL!$C$10, $C$13, 100%, $E$13) + CHOOSE(CONTROL!$C$29, 0.0274, 0)</f>
        <v>31.2775</v>
      </c>
      <c r="C437" s="4">
        <f>31.0938 * CHOOSE(CONTROL!$C$10, $C$13, 100%, $E$13) + CHOOSE(CONTROL!$C$29, 0.0274, 0)</f>
        <v>31.121200000000002</v>
      </c>
      <c r="D437" s="4">
        <f>42.948 * CHOOSE(CONTROL!$C$10, $C$13, 100%, $E$13) + CHOOSE(CONTROL!$C$29, 0.0021, 0)</f>
        <v>42.950099999999999</v>
      </c>
      <c r="E437" s="4">
        <f>199.055964070526 * CHOOSE(CONTROL!$C$10, $C$13, 100%, $E$13) + CHOOSE(CONTROL!$C$29, 0.0021, 0)</f>
        <v>199.058064070526</v>
      </c>
    </row>
    <row r="438" spans="1:5" ht="15">
      <c r="A438" s="13">
        <v>54482</v>
      </c>
      <c r="B438" s="4">
        <f>31.9774 * CHOOSE(CONTROL!$C$10, $C$13, 100%, $E$13) + CHOOSE(CONTROL!$C$29, 0.0274, 0)</f>
        <v>32.004799999999996</v>
      </c>
      <c r="C438" s="4">
        <f>31.8212 * CHOOSE(CONTROL!$C$10, $C$13, 100%, $E$13) + CHOOSE(CONTROL!$C$29, 0.0274, 0)</f>
        <v>31.848600000000001</v>
      </c>
      <c r="D438" s="4">
        <f>44.3934 * CHOOSE(CONTROL!$C$10, $C$13, 100%, $E$13) + CHOOSE(CONTROL!$C$29, 0.0021, 0)</f>
        <v>44.395499999999998</v>
      </c>
      <c r="E438" s="4">
        <f>203.782337119088 * CHOOSE(CONTROL!$C$10, $C$13, 100%, $E$13) + CHOOSE(CONTROL!$C$29, 0.0021, 0)</f>
        <v>203.78443711908801</v>
      </c>
    </row>
    <row r="439" spans="1:5" ht="15">
      <c r="A439" s="13">
        <v>54513</v>
      </c>
      <c r="B439" s="4">
        <f>33.8875 * CHOOSE(CONTROL!$C$10, $C$13, 100%, $E$13) + CHOOSE(CONTROL!$C$29, 0.0274, 0)</f>
        <v>33.914900000000003</v>
      </c>
      <c r="C439" s="4">
        <f>33.7312 * CHOOSE(CONTROL!$C$10, $C$13, 100%, $E$13) + CHOOSE(CONTROL!$C$29, 0.0274, 0)</f>
        <v>33.758600000000001</v>
      </c>
      <c r="D439" s="4">
        <f>46.6561 * CHOOSE(CONTROL!$C$10, $C$13, 100%, $E$13) + CHOOSE(CONTROL!$C$29, 0.0021, 0)</f>
        <v>46.658200000000001</v>
      </c>
      <c r="E439" s="4">
        <f>216.194043919331 * CHOOSE(CONTROL!$C$10, $C$13, 100%, $E$13) + CHOOSE(CONTROL!$C$29, 0.0021, 0)</f>
        <v>216.19614391933101</v>
      </c>
    </row>
    <row r="440" spans="1:5" ht="15">
      <c r="A440" s="13">
        <v>54543</v>
      </c>
      <c r="B440" s="4">
        <f>35.2446 * CHOOSE(CONTROL!$C$10, $C$13, 100%, $E$13) + CHOOSE(CONTROL!$C$29, 0.0274, 0)</f>
        <v>35.271999999999998</v>
      </c>
      <c r="C440" s="4">
        <f>35.0883 * CHOOSE(CONTROL!$C$10, $C$13, 100%, $E$13) + CHOOSE(CONTROL!$C$29, 0.0274, 0)</f>
        <v>35.115699999999997</v>
      </c>
      <c r="D440" s="4">
        <f>47.9595 * CHOOSE(CONTROL!$C$10, $C$13, 100%, $E$13) + CHOOSE(CONTROL!$C$29, 0.0021, 0)</f>
        <v>47.961599999999997</v>
      </c>
      <c r="E440" s="4">
        <f>225.012727008644 * CHOOSE(CONTROL!$C$10, $C$13, 100%, $E$13) + CHOOSE(CONTROL!$C$29, 0.0021, 0)</f>
        <v>225.014827008644</v>
      </c>
    </row>
    <row r="441" spans="1:5" ht="15">
      <c r="A441" s="13">
        <v>54574</v>
      </c>
      <c r="B441" s="4">
        <f>36.0737 * CHOOSE(CONTROL!$C$10, $C$13, 100%, $E$13) + CHOOSE(CONTROL!$C$29, 0.0274, 0)</f>
        <v>36.101100000000002</v>
      </c>
      <c r="C441" s="4">
        <f>35.9175 * CHOOSE(CONTROL!$C$10, $C$13, 100%, $E$13) + CHOOSE(CONTROL!$C$29, 0.0274, 0)</f>
        <v>35.944899999999997</v>
      </c>
      <c r="D441" s="4">
        <f>47.4444 * CHOOSE(CONTROL!$C$10, $C$13, 100%, $E$13) + CHOOSE(CONTROL!$C$29, 0.0021, 0)</f>
        <v>47.4465</v>
      </c>
      <c r="E441" s="4">
        <f>230.400731021879 * CHOOSE(CONTROL!$C$10, $C$13, 100%, $E$13) + CHOOSE(CONTROL!$C$29, 0.0021, 0)</f>
        <v>230.40283102187902</v>
      </c>
    </row>
    <row r="442" spans="1:5" ht="15">
      <c r="A442" s="13">
        <v>54604</v>
      </c>
      <c r="B442" s="4">
        <f>36.1859 * CHOOSE(CONTROL!$C$10, $C$13, 100%, $E$13) + CHOOSE(CONTROL!$C$29, 0.0274, 0)</f>
        <v>36.213299999999997</v>
      </c>
      <c r="C442" s="4">
        <f>36.0297 * CHOOSE(CONTROL!$C$10, $C$13, 100%, $E$13) + CHOOSE(CONTROL!$C$29, 0.0274, 0)</f>
        <v>36.057099999999998</v>
      </c>
      <c r="D442" s="4">
        <f>47.8639 * CHOOSE(CONTROL!$C$10, $C$13, 100%, $E$13) + CHOOSE(CONTROL!$C$29, 0.0021, 0)</f>
        <v>47.866</v>
      </c>
      <c r="E442" s="4">
        <f>231.129750325546 * CHOOSE(CONTROL!$C$10, $C$13, 100%, $E$13) + CHOOSE(CONTROL!$C$29, 0.0021, 0)</f>
        <v>231.13185032554603</v>
      </c>
    </row>
    <row r="443" spans="1:5" ht="15">
      <c r="A443" s="13">
        <v>54635</v>
      </c>
      <c r="B443" s="4">
        <f>36.1746 * CHOOSE(CONTROL!$C$10, $C$13, 100%, $E$13) + CHOOSE(CONTROL!$C$29, 0.0274, 0)</f>
        <v>36.201999999999998</v>
      </c>
      <c r="C443" s="4">
        <f>36.0184 * CHOOSE(CONTROL!$C$10, $C$13, 100%, $E$13) + CHOOSE(CONTROL!$C$29, 0.0274, 0)</f>
        <v>36.0458</v>
      </c>
      <c r="D443" s="4">
        <f>48.6207 * CHOOSE(CONTROL!$C$10, $C$13, 100%, $E$13) + CHOOSE(CONTROL!$C$29, 0.0021, 0)</f>
        <v>48.622799999999998</v>
      </c>
      <c r="E443" s="4">
        <f>231.056235773915 * CHOOSE(CONTROL!$C$10, $C$13, 100%, $E$13) + CHOOSE(CONTROL!$C$29, 0.0021, 0)</f>
        <v>231.05833577391502</v>
      </c>
    </row>
    <row r="444" spans="1:5" ht="15">
      <c r="A444" s="13">
        <v>54666</v>
      </c>
      <c r="B444" s="4">
        <f>37.0259 * CHOOSE(CONTROL!$C$10, $C$13, 100%, $E$13) + CHOOSE(CONTROL!$C$29, 0.0274, 0)</f>
        <v>37.0533</v>
      </c>
      <c r="C444" s="4">
        <f>36.8697 * CHOOSE(CONTROL!$C$10, $C$13, 100%, $E$13) + CHOOSE(CONTROL!$C$29, 0.0274, 0)</f>
        <v>36.897100000000002</v>
      </c>
      <c r="D444" s="4">
        <f>48.1209 * CHOOSE(CONTROL!$C$10, $C$13, 100%, $E$13) + CHOOSE(CONTROL!$C$29, 0.0021, 0)</f>
        <v>48.122999999999998</v>
      </c>
      <c r="E444" s="4">
        <f>236.588205784093 * CHOOSE(CONTROL!$C$10, $C$13, 100%, $E$13) + CHOOSE(CONTROL!$C$29, 0.0021, 0)</f>
        <v>236.590305784093</v>
      </c>
    </row>
    <row r="445" spans="1:5" ht="15">
      <c r="A445" s="13">
        <v>54696</v>
      </c>
      <c r="B445" s="4">
        <f>35.575 * CHOOSE(CONTROL!$C$10, $C$13, 100%, $E$13) + CHOOSE(CONTROL!$C$29, 0.0274, 0)</f>
        <v>35.602400000000003</v>
      </c>
      <c r="C445" s="4">
        <f>35.4188 * CHOOSE(CONTROL!$C$10, $C$13, 100%, $E$13) + CHOOSE(CONTROL!$C$29, 0.0274, 0)</f>
        <v>35.446199999999997</v>
      </c>
      <c r="D445" s="4">
        <f>47.8847 * CHOOSE(CONTROL!$C$10, $C$13, 100%, $E$13) + CHOOSE(CONTROL!$C$29, 0.0021, 0)</f>
        <v>47.886800000000001</v>
      </c>
      <c r="E445" s="4">
        <f>227.159964537511 * CHOOSE(CONTROL!$C$10, $C$13, 100%, $E$13) + CHOOSE(CONTROL!$C$29, 0.0021, 0)</f>
        <v>227.16206453751101</v>
      </c>
    </row>
    <row r="446" spans="1:5" ht="15">
      <c r="A446" s="13">
        <v>54727</v>
      </c>
      <c r="B446" s="4">
        <f>34.4135 * CHOOSE(CONTROL!$C$10, $C$13, 100%, $E$13) + CHOOSE(CONTROL!$C$29, 0.0274, 0)</f>
        <v>34.440899999999999</v>
      </c>
      <c r="C446" s="4">
        <f>34.2573 * CHOOSE(CONTROL!$C$10, $C$13, 100%, $E$13) + CHOOSE(CONTROL!$C$29, 0.0274, 0)</f>
        <v>34.284700000000001</v>
      </c>
      <c r="D446" s="4">
        <f>47.2524 * CHOOSE(CONTROL!$C$10, $C$13, 100%, $E$13) + CHOOSE(CONTROL!$C$29, 0.0021, 0)</f>
        <v>47.2545</v>
      </c>
      <c r="E446" s="4">
        <f>219.612470570138 * CHOOSE(CONTROL!$C$10, $C$13, 100%, $E$13) + CHOOSE(CONTROL!$C$29, 0.0021, 0)</f>
        <v>219.614570570138</v>
      </c>
    </row>
    <row r="447" spans="1:5" ht="15">
      <c r="A447" s="13">
        <v>54757</v>
      </c>
      <c r="B447" s="4">
        <f>33.6654 * CHOOSE(CONTROL!$C$10, $C$13, 100%, $E$13) + CHOOSE(CONTROL!$C$29, 0.0274, 0)</f>
        <v>33.692799999999998</v>
      </c>
      <c r="C447" s="4">
        <f>33.5092 * CHOOSE(CONTROL!$C$10, $C$13, 100%, $E$13) + CHOOSE(CONTROL!$C$29, 0.0274, 0)</f>
        <v>33.5366</v>
      </c>
      <c r="D447" s="4">
        <f>47.035 * CHOOSE(CONTROL!$C$10, $C$13, 100%, $E$13) + CHOOSE(CONTROL!$C$29, 0.0021, 0)</f>
        <v>47.037099999999995</v>
      </c>
      <c r="E447" s="4">
        <f>214.751320843587 * CHOOSE(CONTROL!$C$10, $C$13, 100%, $E$13) + CHOOSE(CONTROL!$C$29, 0.0021, 0)</f>
        <v>214.75342084358701</v>
      </c>
    </row>
    <row r="448" spans="1:5" ht="15">
      <c r="A448" s="13">
        <v>54788</v>
      </c>
      <c r="B448" s="4">
        <f>33.1479 * CHOOSE(CONTROL!$C$10, $C$13, 100%, $E$13) + CHOOSE(CONTROL!$C$29, 0.0274, 0)</f>
        <v>33.1753</v>
      </c>
      <c r="C448" s="4">
        <f>32.9916 * CHOOSE(CONTROL!$C$10, $C$13, 100%, $E$13) + CHOOSE(CONTROL!$C$29, 0.0274, 0)</f>
        <v>33.018999999999998</v>
      </c>
      <c r="D448" s="4">
        <f>45.4346 * CHOOSE(CONTROL!$C$10, $C$13, 100%, $E$13) + CHOOSE(CONTROL!$C$29, 0.0021, 0)</f>
        <v>45.436700000000002</v>
      </c>
      <c r="E448" s="4">
        <f>211.388030106502 * CHOOSE(CONTROL!$C$10, $C$13, 100%, $E$13) + CHOOSE(CONTROL!$C$29, 0.0021, 0)</f>
        <v>211.390130106502</v>
      </c>
    </row>
    <row r="449" spans="1:5" ht="15">
      <c r="A449" s="13">
        <v>54819</v>
      </c>
      <c r="B449" s="4">
        <f>31.7913 * CHOOSE(CONTROL!$C$10, $C$13, 100%, $E$13) + CHOOSE(CONTROL!$C$29, 0.0274, 0)</f>
        <v>31.8187</v>
      </c>
      <c r="C449" s="4">
        <f>31.6351 * CHOOSE(CONTROL!$C$10, $C$13, 100%, $E$13) + CHOOSE(CONTROL!$C$29, 0.0274, 0)</f>
        <v>31.662500000000001</v>
      </c>
      <c r="D449" s="4">
        <f>43.592 * CHOOSE(CONTROL!$C$10, $C$13, 100%, $E$13) + CHOOSE(CONTROL!$C$29, 0.0021, 0)</f>
        <v>43.594099999999997</v>
      </c>
      <c r="E449" s="4">
        <f>202.582859696305 * CHOOSE(CONTROL!$C$10, $C$13, 100%, $E$13) + CHOOSE(CONTROL!$C$29, 0.0021, 0)</f>
        <v>202.58495969630502</v>
      </c>
    </row>
    <row r="450" spans="1:5" ht="15">
      <c r="A450" s="13">
        <v>54847</v>
      </c>
      <c r="B450" s="4">
        <f>32.5315 * CHOOSE(CONTROL!$C$10, $C$13, 100%, $E$13) + CHOOSE(CONTROL!$C$29, 0.0274, 0)</f>
        <v>32.558900000000001</v>
      </c>
      <c r="C450" s="4">
        <f>32.3752 * CHOOSE(CONTROL!$C$10, $C$13, 100%, $E$13) + CHOOSE(CONTROL!$C$29, 0.0274, 0)</f>
        <v>32.4026</v>
      </c>
      <c r="D450" s="4">
        <f>45.0601 * CHOOSE(CONTROL!$C$10, $C$13, 100%, $E$13) + CHOOSE(CONTROL!$C$29, 0.0021, 0)</f>
        <v>45.062199999999997</v>
      </c>
      <c r="E450" s="4">
        <f>207.3929751462 * CHOOSE(CONTROL!$C$10, $C$13, 100%, $E$13) + CHOOSE(CONTROL!$C$29, 0.0021, 0)</f>
        <v>207.39507514620001</v>
      </c>
    </row>
    <row r="451" spans="1:5" ht="15">
      <c r="A451" s="13">
        <v>54878</v>
      </c>
      <c r="B451" s="4">
        <f>34.4753 * CHOOSE(CONTROL!$C$10, $C$13, 100%, $E$13) + CHOOSE(CONTROL!$C$29, 0.0274, 0)</f>
        <v>34.502699999999997</v>
      </c>
      <c r="C451" s="4">
        <f>34.319 * CHOOSE(CONTROL!$C$10, $C$13, 100%, $E$13) + CHOOSE(CONTROL!$C$29, 0.0274, 0)</f>
        <v>34.346400000000003</v>
      </c>
      <c r="D451" s="4">
        <f>47.3584 * CHOOSE(CONTROL!$C$10, $C$13, 100%, $E$13) + CHOOSE(CONTROL!$C$29, 0.0021, 0)</f>
        <v>47.360500000000002</v>
      </c>
      <c r="E451" s="4">
        <f>220.024593942683 * CHOOSE(CONTROL!$C$10, $C$13, 100%, $E$13) + CHOOSE(CONTROL!$C$29, 0.0021, 0)</f>
        <v>220.02669394268301</v>
      </c>
    </row>
    <row r="452" spans="1:5" ht="15">
      <c r="A452" s="13">
        <v>54908</v>
      </c>
      <c r="B452" s="4">
        <f>35.8564 * CHOOSE(CONTROL!$C$10, $C$13, 100%, $E$13) + CHOOSE(CONTROL!$C$29, 0.0274, 0)</f>
        <v>35.883800000000001</v>
      </c>
      <c r="C452" s="4">
        <f>35.7001 * CHOOSE(CONTROL!$C$10, $C$13, 100%, $E$13) + CHOOSE(CONTROL!$C$29, 0.0274, 0)</f>
        <v>35.727499999999999</v>
      </c>
      <c r="D452" s="4">
        <f>48.6822 * CHOOSE(CONTROL!$C$10, $C$13, 100%, $E$13) + CHOOSE(CONTROL!$C$29, 0.0021, 0)</f>
        <v>48.6843</v>
      </c>
      <c r="E452" s="4">
        <f>228.999527436038 * CHOOSE(CONTROL!$C$10, $C$13, 100%, $E$13) + CHOOSE(CONTROL!$C$29, 0.0021, 0)</f>
        <v>229.00162743603801</v>
      </c>
    </row>
    <row r="453" spans="1:5" ht="15">
      <c r="A453" s="13">
        <v>54939</v>
      </c>
      <c r="B453" s="4">
        <f>36.7002 * CHOOSE(CONTROL!$C$10, $C$13, 100%, $E$13) + CHOOSE(CONTROL!$C$29, 0.0274, 0)</f>
        <v>36.727600000000002</v>
      </c>
      <c r="C453" s="4">
        <f>36.5439 * CHOOSE(CONTROL!$C$10, $C$13, 100%, $E$13) + CHOOSE(CONTROL!$C$29, 0.0274, 0)</f>
        <v>36.571300000000001</v>
      </c>
      <c r="D453" s="4">
        <f>48.1591 * CHOOSE(CONTROL!$C$10, $C$13, 100%, $E$13) + CHOOSE(CONTROL!$C$29, 0.0021, 0)</f>
        <v>48.161200000000001</v>
      </c>
      <c r="E453" s="4">
        <f>234.482996701342 * CHOOSE(CONTROL!$C$10, $C$13, 100%, $E$13) + CHOOSE(CONTROL!$C$29, 0.0021, 0)</f>
        <v>234.485096701342</v>
      </c>
    </row>
    <row r="454" spans="1:5" ht="15">
      <c r="A454" s="13">
        <v>54969</v>
      </c>
      <c r="B454" s="4">
        <f>36.8144 * CHOOSE(CONTROL!$C$10, $C$13, 100%, $E$13) + CHOOSE(CONTROL!$C$29, 0.0274, 0)</f>
        <v>36.841799999999999</v>
      </c>
      <c r="C454" s="4">
        <f>36.6581 * CHOOSE(CONTROL!$C$10, $C$13, 100%, $E$13) + CHOOSE(CONTROL!$C$29, 0.0274, 0)</f>
        <v>36.685499999999998</v>
      </c>
      <c r="D454" s="4">
        <f>48.5852 * CHOOSE(CONTROL!$C$10, $C$13, 100%, $E$13) + CHOOSE(CONTROL!$C$29, 0.0021, 0)</f>
        <v>48.587299999999999</v>
      </c>
      <c r="E454" s="4">
        <f>235.224932849803 * CHOOSE(CONTROL!$C$10, $C$13, 100%, $E$13) + CHOOSE(CONTROL!$C$29, 0.0021, 0)</f>
        <v>235.22703284980301</v>
      </c>
    </row>
    <row r="455" spans="1:5" ht="15">
      <c r="A455" s="13">
        <v>55000</v>
      </c>
      <c r="B455" s="4">
        <f>36.8029 * CHOOSE(CONTROL!$C$10, $C$13, 100%, $E$13) + CHOOSE(CONTROL!$C$29, 0.0274, 0)</f>
        <v>36.830300000000001</v>
      </c>
      <c r="C455" s="4">
        <f>36.6466 * CHOOSE(CONTROL!$C$10, $C$13, 100%, $E$13) + CHOOSE(CONTROL!$C$29, 0.0274, 0)</f>
        <v>36.673999999999999</v>
      </c>
      <c r="D455" s="4">
        <f>49.3539 * CHOOSE(CONTROL!$C$10, $C$13, 100%, $E$13) + CHOOSE(CONTROL!$C$29, 0.0021, 0)</f>
        <v>49.356000000000002</v>
      </c>
      <c r="E455" s="4">
        <f>235.150115759201 * CHOOSE(CONTROL!$C$10, $C$13, 100%, $E$13) + CHOOSE(CONTROL!$C$29, 0.0021, 0)</f>
        <v>235.152215759201</v>
      </c>
    </row>
    <row r="456" spans="1:5" ht="15">
      <c r="A456" s="13">
        <v>55031</v>
      </c>
      <c r="B456" s="4">
        <f>37.6692 * CHOOSE(CONTROL!$C$10, $C$13, 100%, $E$13) + CHOOSE(CONTROL!$C$29, 0.0274, 0)</f>
        <v>37.696599999999997</v>
      </c>
      <c r="C456" s="4">
        <f>37.513 * CHOOSE(CONTROL!$C$10, $C$13, 100%, $E$13) + CHOOSE(CONTROL!$C$29, 0.0274, 0)</f>
        <v>37.540399999999998</v>
      </c>
      <c r="D456" s="4">
        <f>48.8462 * CHOOSE(CONTROL!$C$10, $C$13, 100%, $E$13) + CHOOSE(CONTROL!$C$29, 0.0021, 0)</f>
        <v>48.848300000000002</v>
      </c>
      <c r="E456" s="4">
        <f>240.780101826933 * CHOOSE(CONTROL!$C$10, $C$13, 100%, $E$13) + CHOOSE(CONTROL!$C$29, 0.0021, 0)</f>
        <v>240.782201826933</v>
      </c>
    </row>
    <row r="457" spans="1:5" ht="15">
      <c r="A457" s="13">
        <v>55061</v>
      </c>
      <c r="B457" s="4">
        <f>36.1927 * CHOOSE(CONTROL!$C$10, $C$13, 100%, $E$13) + CHOOSE(CONTROL!$C$29, 0.0274, 0)</f>
        <v>36.220100000000002</v>
      </c>
      <c r="C457" s="4">
        <f>36.0364 * CHOOSE(CONTROL!$C$10, $C$13, 100%, $E$13) + CHOOSE(CONTROL!$C$29, 0.0274, 0)</f>
        <v>36.063800000000001</v>
      </c>
      <c r="D457" s="4">
        <f>48.6064 * CHOOSE(CONTROL!$C$10, $C$13, 100%, $E$13) + CHOOSE(CONTROL!$C$29, 0.0021, 0)</f>
        <v>48.608499999999999</v>
      </c>
      <c r="E457" s="4">
        <f>231.184809957344 * CHOOSE(CONTROL!$C$10, $C$13, 100%, $E$13) + CHOOSE(CONTROL!$C$29, 0.0021, 0)</f>
        <v>231.186909957344</v>
      </c>
    </row>
    <row r="458" spans="1:5" ht="15">
      <c r="A458" s="13">
        <v>55092</v>
      </c>
      <c r="B458" s="4">
        <f>35.0107 * CHOOSE(CONTROL!$C$10, $C$13, 100%, $E$13) + CHOOSE(CONTROL!$C$29, 0.0274, 0)</f>
        <v>35.0381</v>
      </c>
      <c r="C458" s="4">
        <f>34.8544 * CHOOSE(CONTROL!$C$10, $C$13, 100%, $E$13) + CHOOSE(CONTROL!$C$29, 0.0274, 0)</f>
        <v>34.881799999999998</v>
      </c>
      <c r="D458" s="4">
        <f>47.9641 * CHOOSE(CONTROL!$C$10, $C$13, 100%, $E$13) + CHOOSE(CONTROL!$C$29, 0.0021, 0)</f>
        <v>47.966200000000001</v>
      </c>
      <c r="E458" s="4">
        <f>223.503588655633 * CHOOSE(CONTROL!$C$10, $C$13, 100%, $E$13) + CHOOSE(CONTROL!$C$29, 0.0021, 0)</f>
        <v>223.50568865563301</v>
      </c>
    </row>
    <row r="459" spans="1:5" ht="15">
      <c r="A459" s="13">
        <v>55122</v>
      </c>
      <c r="B459" s="4">
        <f>34.2493 * CHOOSE(CONTROL!$C$10, $C$13, 100%, $E$13) + CHOOSE(CONTROL!$C$29, 0.0274, 0)</f>
        <v>34.276699999999998</v>
      </c>
      <c r="C459" s="4">
        <f>34.0931 * CHOOSE(CONTROL!$C$10, $C$13, 100%, $E$13) + CHOOSE(CONTROL!$C$29, 0.0274, 0)</f>
        <v>34.1205</v>
      </c>
      <c r="D459" s="4">
        <f>47.7433 * CHOOSE(CONTROL!$C$10, $C$13, 100%, $E$13) + CHOOSE(CONTROL!$C$29, 0.0021, 0)</f>
        <v>47.745399999999997</v>
      </c>
      <c r="E459" s="4">
        <f>218.556308539636 * CHOOSE(CONTROL!$C$10, $C$13, 100%, $E$13) + CHOOSE(CONTROL!$C$29, 0.0021, 0)</f>
        <v>218.55840853963602</v>
      </c>
    </row>
    <row r="460" spans="1:5" ht="15">
      <c r="A460" s="13">
        <v>55153</v>
      </c>
      <c r="B460" s="4">
        <f>33.7226 * CHOOSE(CONTROL!$C$10, $C$13, 100%, $E$13) + CHOOSE(CONTROL!$C$29, 0.0274, 0)</f>
        <v>33.75</v>
      </c>
      <c r="C460" s="4">
        <f>33.5664 * CHOOSE(CONTROL!$C$10, $C$13, 100%, $E$13) + CHOOSE(CONTROL!$C$29, 0.0274, 0)</f>
        <v>33.593800000000002</v>
      </c>
      <c r="D460" s="4">
        <f>46.1177 * CHOOSE(CONTROL!$C$10, $C$13, 100%, $E$13) + CHOOSE(CONTROL!$C$29, 0.0021, 0)</f>
        <v>46.119799999999998</v>
      </c>
      <c r="E460" s="4">
        <f>215.133426644637 * CHOOSE(CONTROL!$C$10, $C$13, 100%, $E$13) + CHOOSE(CONTROL!$C$29, 0.0021, 0)</f>
        <v>215.13552664463703</v>
      </c>
    </row>
    <row r="461" spans="1:5" ht="15">
      <c r="A461" s="13">
        <v>55184</v>
      </c>
      <c r="B461" s="4">
        <f>32.3421 * CHOOSE(CONTROL!$C$10, $C$13, 100%, $E$13) + CHOOSE(CONTROL!$C$29, 0.0274, 0)</f>
        <v>32.369500000000002</v>
      </c>
      <c r="C461" s="4">
        <f>32.1858 * CHOOSE(CONTROL!$C$10, $C$13, 100%, $E$13) + CHOOSE(CONTROL!$C$29, 0.0274, 0)</f>
        <v>32.213200000000001</v>
      </c>
      <c r="D461" s="4">
        <f>44.2461 * CHOOSE(CONTROL!$C$10, $C$13, 100%, $E$13) + CHOOSE(CONTROL!$C$29, 0.0021, 0)</f>
        <v>44.248199999999997</v>
      </c>
      <c r="E461" s="4">
        <f>206.172245249545 * CHOOSE(CONTROL!$C$10, $C$13, 100%, $E$13) + CHOOSE(CONTROL!$C$29, 0.0021, 0)</f>
        <v>206.17434524954501</v>
      </c>
    </row>
    <row r="462" spans="1:5" ht="15">
      <c r="A462" s="13">
        <v>55212</v>
      </c>
      <c r="B462" s="4">
        <f>33.0954 * CHOOSE(CONTROL!$C$10, $C$13, 100%, $E$13) + CHOOSE(CONTROL!$C$29, 0.0274, 0)</f>
        <v>33.122799999999998</v>
      </c>
      <c r="C462" s="4">
        <f>32.9391 * CHOOSE(CONTROL!$C$10, $C$13, 100%, $E$13) + CHOOSE(CONTROL!$C$29, 0.0274, 0)</f>
        <v>32.966500000000003</v>
      </c>
      <c r="D462" s="4">
        <f>45.7373 * CHOOSE(CONTROL!$C$10, $C$13, 100%, $E$13) + CHOOSE(CONTROL!$C$29, 0.0021, 0)</f>
        <v>45.739399999999996</v>
      </c>
      <c r="E462" s="4">
        <f>211.067586857917 * CHOOSE(CONTROL!$C$10, $C$13, 100%, $E$13) + CHOOSE(CONTROL!$C$29, 0.0021, 0)</f>
        <v>211.06968685791702</v>
      </c>
    </row>
    <row r="463" spans="1:5" ht="15">
      <c r="A463" s="13">
        <v>55243</v>
      </c>
      <c r="B463" s="4">
        <f>35.0735 * CHOOSE(CONTROL!$C$10, $C$13, 100%, $E$13) + CHOOSE(CONTROL!$C$29, 0.0274, 0)</f>
        <v>35.100900000000003</v>
      </c>
      <c r="C463" s="4">
        <f>34.9173 * CHOOSE(CONTROL!$C$10, $C$13, 100%, $E$13) + CHOOSE(CONTROL!$C$29, 0.0274, 0)</f>
        <v>34.944699999999997</v>
      </c>
      <c r="D463" s="4">
        <f>48.0717 * CHOOSE(CONTROL!$C$10, $C$13, 100%, $E$13) + CHOOSE(CONTROL!$C$29, 0.0021, 0)</f>
        <v>48.073799999999999</v>
      </c>
      <c r="E463" s="4">
        <f>223.923014075754 * CHOOSE(CONTROL!$C$10, $C$13, 100%, $E$13) + CHOOSE(CONTROL!$C$29, 0.0021, 0)</f>
        <v>223.92511407575401</v>
      </c>
    </row>
    <row r="464" spans="1:5" ht="15">
      <c r="A464" s="13">
        <v>55273</v>
      </c>
      <c r="B464" s="4">
        <f>36.479 * CHOOSE(CONTROL!$C$10, $C$13, 100%, $E$13) + CHOOSE(CONTROL!$C$29, 0.0274, 0)</f>
        <v>36.506399999999999</v>
      </c>
      <c r="C464" s="4">
        <f>36.3228 * CHOOSE(CONTROL!$C$10, $C$13, 100%, $E$13) + CHOOSE(CONTROL!$C$29, 0.0274, 0)</f>
        <v>36.350200000000001</v>
      </c>
      <c r="D464" s="4">
        <f>49.4164 * CHOOSE(CONTROL!$C$10, $C$13, 100%, $E$13) + CHOOSE(CONTROL!$C$29, 0.0021, 0)</f>
        <v>49.418500000000002</v>
      </c>
      <c r="E464" s="4">
        <f>233.056966435121 * CHOOSE(CONTROL!$C$10, $C$13, 100%, $E$13) + CHOOSE(CONTROL!$C$29, 0.0021, 0)</f>
        <v>233.05906643512103</v>
      </c>
    </row>
    <row r="465" spans="1:5" ht="15">
      <c r="A465" s="13">
        <v>55304</v>
      </c>
      <c r="B465" s="4">
        <f>37.3377 * CHOOSE(CONTROL!$C$10, $C$13, 100%, $E$13) + CHOOSE(CONTROL!$C$29, 0.0274, 0)</f>
        <v>37.365099999999998</v>
      </c>
      <c r="C465" s="4">
        <f>37.1815 * CHOOSE(CONTROL!$C$10, $C$13, 100%, $E$13) + CHOOSE(CONTROL!$C$29, 0.0274, 0)</f>
        <v>37.2089</v>
      </c>
      <c r="D465" s="4">
        <f>48.8851 * CHOOSE(CONTROL!$C$10, $C$13, 100%, $E$13) + CHOOSE(CONTROL!$C$29, 0.0021, 0)</f>
        <v>48.8872</v>
      </c>
      <c r="E465" s="4">
        <f>238.637592416408 * CHOOSE(CONTROL!$C$10, $C$13, 100%, $E$13) + CHOOSE(CONTROL!$C$29, 0.0021, 0)</f>
        <v>238.63969241640802</v>
      </c>
    </row>
    <row r="466" spans="1:5" ht="15">
      <c r="A466" s="13">
        <v>55334</v>
      </c>
      <c r="B466" s="4">
        <f>37.4539 * CHOOSE(CONTROL!$C$10, $C$13, 100%, $E$13) + CHOOSE(CONTROL!$C$29, 0.0274, 0)</f>
        <v>37.481299999999997</v>
      </c>
      <c r="C466" s="4">
        <f>37.2977 * CHOOSE(CONTROL!$C$10, $C$13, 100%, $E$13) + CHOOSE(CONTROL!$C$29, 0.0274, 0)</f>
        <v>37.325099999999999</v>
      </c>
      <c r="D466" s="4">
        <f>49.3178 * CHOOSE(CONTROL!$C$10, $C$13, 100%, $E$13) + CHOOSE(CONTROL!$C$29, 0.0021, 0)</f>
        <v>49.319899999999997</v>
      </c>
      <c r="E466" s="4">
        <f>239.39267427175 * CHOOSE(CONTROL!$C$10, $C$13, 100%, $E$13) + CHOOSE(CONTROL!$C$29, 0.0021, 0)</f>
        <v>239.39477427175001</v>
      </c>
    </row>
    <row r="467" spans="1:5" ht="15">
      <c r="A467" s="13">
        <v>55365</v>
      </c>
      <c r="B467" s="4">
        <f>37.4422 * CHOOSE(CONTROL!$C$10, $C$13, 100%, $E$13) + CHOOSE(CONTROL!$C$29, 0.0274, 0)</f>
        <v>37.4696</v>
      </c>
      <c r="C467" s="4">
        <f>37.2859 * CHOOSE(CONTROL!$C$10, $C$13, 100%, $E$13) + CHOOSE(CONTROL!$C$29, 0.0274, 0)</f>
        <v>37.313299999999998</v>
      </c>
      <c r="D467" s="4">
        <f>50.0986 * CHOOSE(CONTROL!$C$10, $C$13, 100%, $E$13) + CHOOSE(CONTROL!$C$29, 0.0021, 0)</f>
        <v>50.100699999999996</v>
      </c>
      <c r="E467" s="4">
        <f>239.316531563648 * CHOOSE(CONTROL!$C$10, $C$13, 100%, $E$13) + CHOOSE(CONTROL!$C$29, 0.0021, 0)</f>
        <v>239.31863156364801</v>
      </c>
    </row>
    <row r="468" spans="1:5" ht="15">
      <c r="A468" s="13">
        <v>55396</v>
      </c>
      <c r="B468" s="4">
        <f>38.3239 * CHOOSE(CONTROL!$C$10, $C$13, 100%, $E$13) + CHOOSE(CONTROL!$C$29, 0.0274, 0)</f>
        <v>38.351300000000002</v>
      </c>
      <c r="C468" s="4">
        <f>38.1676 * CHOOSE(CONTROL!$C$10, $C$13, 100%, $E$13) + CHOOSE(CONTROL!$C$29, 0.0274, 0)</f>
        <v>38.195</v>
      </c>
      <c r="D468" s="4">
        <f>49.583 * CHOOSE(CONTROL!$C$10, $C$13, 100%, $E$13) + CHOOSE(CONTROL!$C$29, 0.0021, 0)</f>
        <v>49.585099999999997</v>
      </c>
      <c r="E468" s="4">
        <f>245.046270348301 * CHOOSE(CONTROL!$C$10, $C$13, 100%, $E$13) + CHOOSE(CONTROL!$C$29, 0.0021, 0)</f>
        <v>245.04837034830101</v>
      </c>
    </row>
    <row r="469" spans="1:5" ht="15">
      <c r="A469" s="13">
        <v>55426</v>
      </c>
      <c r="B469" s="4">
        <f>36.8212 * CHOOSE(CONTROL!$C$10, $C$13, 100%, $E$13) + CHOOSE(CONTROL!$C$29, 0.0274, 0)</f>
        <v>36.848599999999998</v>
      </c>
      <c r="C469" s="4">
        <f>36.665 * CHOOSE(CONTROL!$C$10, $C$13, 100%, $E$13) + CHOOSE(CONTROL!$C$29, 0.0274, 0)</f>
        <v>36.692399999999999</v>
      </c>
      <c r="D469" s="4">
        <f>49.3393 * CHOOSE(CONTROL!$C$10, $C$13, 100%, $E$13) + CHOOSE(CONTROL!$C$29, 0.0021, 0)</f>
        <v>49.3414</v>
      </c>
      <c r="E469" s="4">
        <f>235.280968034258 * CHOOSE(CONTROL!$C$10, $C$13, 100%, $E$13) + CHOOSE(CONTROL!$C$29, 0.0021, 0)</f>
        <v>235.28306803425801</v>
      </c>
    </row>
    <row r="470" spans="1:5" ht="15">
      <c r="A470" s="13">
        <v>55457</v>
      </c>
      <c r="B470" s="4">
        <f>35.6183 * CHOOSE(CONTROL!$C$10, $C$13, 100%, $E$13) + CHOOSE(CONTROL!$C$29, 0.0274, 0)</f>
        <v>35.645699999999998</v>
      </c>
      <c r="C470" s="4">
        <f>35.4621 * CHOOSE(CONTROL!$C$10, $C$13, 100%, $E$13) + CHOOSE(CONTROL!$C$29, 0.0274, 0)</f>
        <v>35.4895</v>
      </c>
      <c r="D470" s="4">
        <f>48.687 * CHOOSE(CONTROL!$C$10, $C$13, 100%, $E$13) + CHOOSE(CONTROL!$C$29, 0.0021, 0)</f>
        <v>48.689099999999996</v>
      </c>
      <c r="E470" s="4">
        <f>227.463650002483 * CHOOSE(CONTROL!$C$10, $C$13, 100%, $E$13) + CHOOSE(CONTROL!$C$29, 0.0021, 0)</f>
        <v>227.46575000248302</v>
      </c>
    </row>
    <row r="471" spans="1:5" ht="15">
      <c r="A471" s="13">
        <v>55487</v>
      </c>
      <c r="B471" s="4">
        <f>34.8436 * CHOOSE(CONTROL!$C$10, $C$13, 100%, $E$13) + CHOOSE(CONTROL!$C$29, 0.0274, 0)</f>
        <v>34.871000000000002</v>
      </c>
      <c r="C471" s="4">
        <f>34.6873 * CHOOSE(CONTROL!$C$10, $C$13, 100%, $E$13) + CHOOSE(CONTROL!$C$29, 0.0274, 0)</f>
        <v>34.714700000000001</v>
      </c>
      <c r="D471" s="4">
        <f>48.4627 * CHOOSE(CONTROL!$C$10, $C$13, 100%, $E$13) + CHOOSE(CONTROL!$C$29, 0.0021, 0)</f>
        <v>48.464799999999997</v>
      </c>
      <c r="E471" s="4">
        <f>222.428713429258 * CHOOSE(CONTROL!$C$10, $C$13, 100%, $E$13) + CHOOSE(CONTROL!$C$29, 0.0021, 0)</f>
        <v>222.43081342925802</v>
      </c>
    </row>
    <row r="472" spans="1:5" ht="15">
      <c r="A472" s="13">
        <v>55518</v>
      </c>
      <c r="B472" s="4">
        <f>34.3075 * CHOOSE(CONTROL!$C$10, $C$13, 100%, $E$13) + CHOOSE(CONTROL!$C$29, 0.0274, 0)</f>
        <v>34.334899999999998</v>
      </c>
      <c r="C472" s="4">
        <f>34.1513 * CHOOSE(CONTROL!$C$10, $C$13, 100%, $E$13) + CHOOSE(CONTROL!$C$29, 0.0274, 0)</f>
        <v>34.178699999999999</v>
      </c>
      <c r="D472" s="4">
        <f>46.8115 * CHOOSE(CONTROL!$C$10, $C$13, 100%, $E$13) + CHOOSE(CONTROL!$C$29, 0.0021, 0)</f>
        <v>46.813600000000001</v>
      </c>
      <c r="E472" s="4">
        <f>218.945184533605 * CHOOSE(CONTROL!$C$10, $C$13, 100%, $E$13) + CHOOSE(CONTROL!$C$29, 0.0021, 0)</f>
        <v>218.947284533605</v>
      </c>
    </row>
    <row r="473" spans="1:5" ht="15">
      <c r="A473" s="13">
        <v>55549</v>
      </c>
      <c r="B473" s="4">
        <f>32.9026 * CHOOSE(CONTROL!$C$10, $C$13, 100%, $E$13) + CHOOSE(CONTROL!$C$29, 0.0274, 0)</f>
        <v>32.93</v>
      </c>
      <c r="C473" s="4">
        <f>32.7464 * CHOOSE(CONTROL!$C$10, $C$13, 100%, $E$13) + CHOOSE(CONTROL!$C$29, 0.0274, 0)</f>
        <v>32.773800000000001</v>
      </c>
      <c r="D473" s="4">
        <f>44.9105 * CHOOSE(CONTROL!$C$10, $C$13, 100%, $E$13) + CHOOSE(CONTROL!$C$29, 0.0021, 0)</f>
        <v>44.912599999999998</v>
      </c>
      <c r="E473" s="4">
        <f>209.825227933702 * CHOOSE(CONTROL!$C$10, $C$13, 100%, $E$13) + CHOOSE(CONTROL!$C$29, 0.0021, 0)</f>
        <v>209.82732793370201</v>
      </c>
    </row>
    <row r="474" spans="1:5" ht="15">
      <c r="A474" s="13">
        <v>55577</v>
      </c>
      <c r="B474" s="4">
        <f>33.6692 * CHOOSE(CONTROL!$C$10, $C$13, 100%, $E$13) + CHOOSE(CONTROL!$C$29, 0.0274, 0)</f>
        <v>33.696599999999997</v>
      </c>
      <c r="C474" s="4">
        <f>33.513 * CHOOSE(CONTROL!$C$10, $C$13, 100%, $E$13) + CHOOSE(CONTROL!$C$29, 0.0274, 0)</f>
        <v>33.540399999999998</v>
      </c>
      <c r="D474" s="4">
        <f>46.4252 * CHOOSE(CONTROL!$C$10, $C$13, 100%, $E$13) + CHOOSE(CONTROL!$C$29, 0.0021, 0)</f>
        <v>46.427299999999995</v>
      </c>
      <c r="E474" s="4">
        <f>214.80730574707 * CHOOSE(CONTROL!$C$10, $C$13, 100%, $E$13) + CHOOSE(CONTROL!$C$29, 0.0021, 0)</f>
        <v>214.80940574707</v>
      </c>
    </row>
    <row r="475" spans="1:5" ht="15">
      <c r="A475" s="13">
        <v>55609</v>
      </c>
      <c r="B475" s="4">
        <f>35.6823 * CHOOSE(CONTROL!$C$10, $C$13, 100%, $E$13) + CHOOSE(CONTROL!$C$29, 0.0274, 0)</f>
        <v>35.709699999999998</v>
      </c>
      <c r="C475" s="4">
        <f>35.526 * CHOOSE(CONTROL!$C$10, $C$13, 100%, $E$13) + CHOOSE(CONTROL!$C$29, 0.0274, 0)</f>
        <v>35.553400000000003</v>
      </c>
      <c r="D475" s="4">
        <f>48.7963 * CHOOSE(CONTROL!$C$10, $C$13, 100%, $E$13) + CHOOSE(CONTROL!$C$29, 0.0021, 0)</f>
        <v>48.798400000000001</v>
      </c>
      <c r="E475" s="4">
        <f>227.890506848668 * CHOOSE(CONTROL!$C$10, $C$13, 100%, $E$13) + CHOOSE(CONTROL!$C$29, 0.0021, 0)</f>
        <v>227.89260684866801</v>
      </c>
    </row>
    <row r="476" spans="1:5" ht="15">
      <c r="A476" s="13">
        <v>55639</v>
      </c>
      <c r="B476" s="4">
        <f>37.1126 * CHOOSE(CONTROL!$C$10, $C$13, 100%, $E$13) + CHOOSE(CONTROL!$C$29, 0.0274, 0)</f>
        <v>37.14</v>
      </c>
      <c r="C476" s="4">
        <f>36.9564 * CHOOSE(CONTROL!$C$10, $C$13, 100%, $E$13) + CHOOSE(CONTROL!$C$29, 0.0274, 0)</f>
        <v>36.983800000000002</v>
      </c>
      <c r="D476" s="4">
        <f>50.1621 * CHOOSE(CONTROL!$C$10, $C$13, 100%, $E$13) + CHOOSE(CONTROL!$C$29, 0.0021, 0)</f>
        <v>50.164200000000001</v>
      </c>
      <c r="E476" s="4">
        <f>237.186295587933 * CHOOSE(CONTROL!$C$10, $C$13, 100%, $E$13) + CHOOSE(CONTROL!$C$29, 0.0021, 0)</f>
        <v>237.188395587933</v>
      </c>
    </row>
    <row r="477" spans="1:5" ht="15">
      <c r="A477" s="13">
        <v>55670</v>
      </c>
      <c r="B477" s="4">
        <f>37.9865 * CHOOSE(CONTROL!$C$10, $C$13, 100%, $E$13) + CHOOSE(CONTROL!$C$29, 0.0274, 0)</f>
        <v>38.0139</v>
      </c>
      <c r="C477" s="4">
        <f>37.8303 * CHOOSE(CONTROL!$C$10, $C$13, 100%, $E$13) + CHOOSE(CONTROL!$C$29, 0.0274, 0)</f>
        <v>37.857700000000001</v>
      </c>
      <c r="D477" s="4">
        <f>49.6224 * CHOOSE(CONTROL!$C$10, $C$13, 100%, $E$13) + CHOOSE(CONTROL!$C$29, 0.0021, 0)</f>
        <v>49.624499999999998</v>
      </c>
      <c r="E477" s="4">
        <f>242.865799718661 * CHOOSE(CONTROL!$C$10, $C$13, 100%, $E$13) + CHOOSE(CONTROL!$C$29, 0.0021, 0)</f>
        <v>242.86789971866102</v>
      </c>
    </row>
    <row r="478" spans="1:5" ht="15">
      <c r="A478" s="13">
        <v>55700</v>
      </c>
      <c r="B478" s="4">
        <f>38.1048 * CHOOSE(CONTROL!$C$10, $C$13, 100%, $E$13) + CHOOSE(CONTROL!$C$29, 0.0274, 0)</f>
        <v>38.132199999999997</v>
      </c>
      <c r="C478" s="4">
        <f>37.9485 * CHOOSE(CONTROL!$C$10, $C$13, 100%, $E$13) + CHOOSE(CONTROL!$C$29, 0.0274, 0)</f>
        <v>37.975900000000003</v>
      </c>
      <c r="D478" s="4">
        <f>50.0619 * CHOOSE(CONTROL!$C$10, $C$13, 100%, $E$13) + CHOOSE(CONTROL!$C$29, 0.0021, 0)</f>
        <v>50.064</v>
      </c>
      <c r="E478" s="4">
        <f>243.634260197975 * CHOOSE(CONTROL!$C$10, $C$13, 100%, $E$13) + CHOOSE(CONTROL!$C$29, 0.0021, 0)</f>
        <v>243.63636019797502</v>
      </c>
    </row>
    <row r="479" spans="1:5" ht="15">
      <c r="A479" s="13">
        <v>55731</v>
      </c>
      <c r="B479" s="4">
        <f>38.0928 * CHOOSE(CONTROL!$C$10, $C$13, 100%, $E$13) + CHOOSE(CONTROL!$C$29, 0.0274, 0)</f>
        <v>38.120199999999997</v>
      </c>
      <c r="C479" s="4">
        <f>37.9366 * CHOOSE(CONTROL!$C$10, $C$13, 100%, $E$13) + CHOOSE(CONTROL!$C$29, 0.0274, 0)</f>
        <v>37.963999999999999</v>
      </c>
      <c r="D479" s="4">
        <f>50.8551 * CHOOSE(CONTROL!$C$10, $C$13, 100%, $E$13) + CHOOSE(CONTROL!$C$29, 0.0021, 0)</f>
        <v>50.857199999999999</v>
      </c>
      <c r="E479" s="4">
        <f>243.556768384935 * CHOOSE(CONTROL!$C$10, $C$13, 100%, $E$13) + CHOOSE(CONTROL!$C$29, 0.0021, 0)</f>
        <v>243.55886838493501</v>
      </c>
    </row>
    <row r="480" spans="1:5" ht="15">
      <c r="A480" s="13">
        <v>55762</v>
      </c>
      <c r="B480" s="4">
        <f>38.9901 * CHOOSE(CONTROL!$C$10, $C$13, 100%, $E$13) + CHOOSE(CONTROL!$C$29, 0.0274, 0)</f>
        <v>39.017499999999998</v>
      </c>
      <c r="C480" s="4">
        <f>38.8338 * CHOOSE(CONTROL!$C$10, $C$13, 100%, $E$13) + CHOOSE(CONTROL!$C$29, 0.0274, 0)</f>
        <v>38.861199999999997</v>
      </c>
      <c r="D480" s="4">
        <f>50.3313 * CHOOSE(CONTROL!$C$10, $C$13, 100%, $E$13) + CHOOSE(CONTROL!$C$29, 0.0021, 0)</f>
        <v>50.333399999999997</v>
      </c>
      <c r="E480" s="4">
        <f>249.3880273162 * CHOOSE(CONTROL!$C$10, $C$13, 100%, $E$13) + CHOOSE(CONTROL!$C$29, 0.0021, 0)</f>
        <v>249.39012731620002</v>
      </c>
    </row>
    <row r="481" spans="1:5" ht="15">
      <c r="A481" s="13">
        <v>55792</v>
      </c>
      <c r="B481" s="4">
        <f>37.4609 * CHOOSE(CONTROL!$C$10, $C$13, 100%, $E$13) + CHOOSE(CONTROL!$C$29, 0.0274, 0)</f>
        <v>37.488300000000002</v>
      </c>
      <c r="C481" s="4">
        <f>37.3046 * CHOOSE(CONTROL!$C$10, $C$13, 100%, $E$13) + CHOOSE(CONTROL!$C$29, 0.0274, 0)</f>
        <v>37.332000000000001</v>
      </c>
      <c r="D481" s="4">
        <f>50.0838 * CHOOSE(CONTROL!$C$10, $C$13, 100%, $E$13) + CHOOSE(CONTROL!$C$29, 0.0021, 0)</f>
        <v>50.085899999999995</v>
      </c>
      <c r="E481" s="4">
        <f>239.449702293811 * CHOOSE(CONTROL!$C$10, $C$13, 100%, $E$13) + CHOOSE(CONTROL!$C$29, 0.0021, 0)</f>
        <v>239.451802293811</v>
      </c>
    </row>
    <row r="482" spans="1:5" ht="15">
      <c r="A482" s="13">
        <v>55823</v>
      </c>
      <c r="B482" s="4">
        <f>36.2367 * CHOOSE(CONTROL!$C$10, $C$13, 100%, $E$13) + CHOOSE(CONTROL!$C$29, 0.0274, 0)</f>
        <v>36.264099999999999</v>
      </c>
      <c r="C482" s="4">
        <f>36.0805 * CHOOSE(CONTROL!$C$10, $C$13, 100%, $E$13) + CHOOSE(CONTROL!$C$29, 0.0274, 0)</f>
        <v>36.107900000000001</v>
      </c>
      <c r="D482" s="4">
        <f>49.4212 * CHOOSE(CONTROL!$C$10, $C$13, 100%, $E$13) + CHOOSE(CONTROL!$C$29, 0.0021, 0)</f>
        <v>49.423299999999998</v>
      </c>
      <c r="E482" s="4">
        <f>231.493876155031 * CHOOSE(CONTROL!$C$10, $C$13, 100%, $E$13) + CHOOSE(CONTROL!$C$29, 0.0021, 0)</f>
        <v>231.495976155031</v>
      </c>
    </row>
    <row r="483" spans="1:5" ht="15">
      <c r="A483" s="13">
        <v>55853</v>
      </c>
      <c r="B483" s="4">
        <f>35.4483 * CHOOSE(CONTROL!$C$10, $C$13, 100%, $E$13) + CHOOSE(CONTROL!$C$29, 0.0274, 0)</f>
        <v>35.475700000000003</v>
      </c>
      <c r="C483" s="4">
        <f>35.292 * CHOOSE(CONTROL!$C$10, $C$13, 100%, $E$13) + CHOOSE(CONTROL!$C$29, 0.0274, 0)</f>
        <v>35.319400000000002</v>
      </c>
      <c r="D483" s="4">
        <f>49.1934 * CHOOSE(CONTROL!$C$10, $C$13, 100%, $E$13) + CHOOSE(CONTROL!$C$29, 0.0021, 0)</f>
        <v>49.195499999999996</v>
      </c>
      <c r="E483" s="4">
        <f>226.369730017756 * CHOOSE(CONTROL!$C$10, $C$13, 100%, $E$13) + CHOOSE(CONTROL!$C$29, 0.0021, 0)</f>
        <v>226.37183001775603</v>
      </c>
    </row>
    <row r="484" spans="1:5" ht="15">
      <c r="A484" s="13">
        <v>55884</v>
      </c>
      <c r="B484" s="4">
        <f>34.9028 * CHOOSE(CONTROL!$C$10, $C$13, 100%, $E$13) + CHOOSE(CONTROL!$C$29, 0.0274, 0)</f>
        <v>34.930199999999999</v>
      </c>
      <c r="C484" s="4">
        <f>34.7465 * CHOOSE(CONTROL!$C$10, $C$13, 100%, $E$13) + CHOOSE(CONTROL!$C$29, 0.0274, 0)</f>
        <v>34.773899999999998</v>
      </c>
      <c r="D484" s="4">
        <f>47.5163 * CHOOSE(CONTROL!$C$10, $C$13, 100%, $E$13) + CHOOSE(CONTROL!$C$29, 0.0021, 0)</f>
        <v>47.5184</v>
      </c>
      <c r="E484" s="4">
        <f>222.824479571173 * CHOOSE(CONTROL!$C$10, $C$13, 100%, $E$13) + CHOOSE(CONTROL!$C$29, 0.0021, 0)</f>
        <v>222.826579571173</v>
      </c>
    </row>
    <row r="485" spans="1:5" ht="15">
      <c r="A485" s="13">
        <v>55915</v>
      </c>
      <c r="B485" s="4">
        <f>33.473 * CHOOSE(CONTROL!$C$10, $C$13, 100%, $E$13) + CHOOSE(CONTROL!$C$29, 0.0274, 0)</f>
        <v>33.500399999999999</v>
      </c>
      <c r="C485" s="4">
        <f>33.3168 * CHOOSE(CONTROL!$C$10, $C$13, 100%, $E$13) + CHOOSE(CONTROL!$C$29, 0.0274, 0)</f>
        <v>33.344200000000001</v>
      </c>
      <c r="D485" s="4">
        <f>45.5854 * CHOOSE(CONTROL!$C$10, $C$13, 100%, $E$13) + CHOOSE(CONTROL!$C$29, 0.0021, 0)</f>
        <v>45.587499999999999</v>
      </c>
      <c r="E485" s="4">
        <f>213.542934569788 * CHOOSE(CONTROL!$C$10, $C$13, 100%, $E$13) + CHOOSE(CONTROL!$C$29, 0.0021, 0)</f>
        <v>213.54503456978802</v>
      </c>
    </row>
    <row r="486" spans="1:5" ht="15">
      <c r="A486" s="13">
        <v>55943</v>
      </c>
      <c r="B486" s="4">
        <f>34.2532 * CHOOSE(CONTROL!$C$10, $C$13, 100%, $E$13) + CHOOSE(CONTROL!$C$29, 0.0274, 0)</f>
        <v>34.2806</v>
      </c>
      <c r="C486" s="4">
        <f>34.0969 * CHOOSE(CONTROL!$C$10, $C$13, 100%, $E$13) + CHOOSE(CONTROL!$C$29, 0.0274, 0)</f>
        <v>34.124299999999998</v>
      </c>
      <c r="D486" s="4">
        <f>47.1239 * CHOOSE(CONTROL!$C$10, $C$13, 100%, $E$13) + CHOOSE(CONTROL!$C$29, 0.0021, 0)</f>
        <v>47.125999999999998</v>
      </c>
      <c r="E486" s="4">
        <f>218.613285389842 * CHOOSE(CONTROL!$C$10, $C$13, 100%, $E$13) + CHOOSE(CONTROL!$C$29, 0.0021, 0)</f>
        <v>218.615385389842</v>
      </c>
    </row>
    <row r="487" spans="1:5" ht="15">
      <c r="A487" s="13">
        <v>55974</v>
      </c>
      <c r="B487" s="4">
        <f>36.3018 * CHOOSE(CONTROL!$C$10, $C$13, 100%, $E$13) + CHOOSE(CONTROL!$C$29, 0.0274, 0)</f>
        <v>36.3292</v>
      </c>
      <c r="C487" s="4">
        <f>36.1456 * CHOOSE(CONTROL!$C$10, $C$13, 100%, $E$13) + CHOOSE(CONTROL!$C$29, 0.0274, 0)</f>
        <v>36.173000000000002</v>
      </c>
      <c r="D487" s="4">
        <f>49.5322 * CHOOSE(CONTROL!$C$10, $C$13, 100%, $E$13) + CHOOSE(CONTROL!$C$29, 0.0021, 0)</f>
        <v>49.534300000000002</v>
      </c>
      <c r="E487" s="4">
        <f>231.92829609811 * CHOOSE(CONTROL!$C$10, $C$13, 100%, $E$13) + CHOOSE(CONTROL!$C$29, 0.0021, 0)</f>
        <v>231.93039609811001</v>
      </c>
    </row>
    <row r="488" spans="1:5" ht="15">
      <c r="A488" s="13">
        <v>56004</v>
      </c>
      <c r="B488" s="4">
        <f>37.7574 * CHOOSE(CONTROL!$C$10, $C$13, 100%, $E$13) + CHOOSE(CONTROL!$C$29, 0.0274, 0)</f>
        <v>37.784799999999997</v>
      </c>
      <c r="C488" s="4">
        <f>37.6012 * CHOOSE(CONTROL!$C$10, $C$13, 100%, $E$13) + CHOOSE(CONTROL!$C$29, 0.0274, 0)</f>
        <v>37.628599999999999</v>
      </c>
      <c r="D488" s="4">
        <f>50.9195 * CHOOSE(CONTROL!$C$10, $C$13, 100%, $E$13) + CHOOSE(CONTROL!$C$29, 0.0021, 0)</f>
        <v>50.921599999999998</v>
      </c>
      <c r="E488" s="4">
        <f>241.388788652183 * CHOOSE(CONTROL!$C$10, $C$13, 100%, $E$13) + CHOOSE(CONTROL!$C$29, 0.0021, 0)</f>
        <v>241.39088865218301</v>
      </c>
    </row>
    <row r="489" spans="1:5" ht="15">
      <c r="A489" s="13">
        <v>56035</v>
      </c>
      <c r="B489" s="4">
        <f>38.6468 * CHOOSE(CONTROL!$C$10, $C$13, 100%, $E$13) + CHOOSE(CONTROL!$C$29, 0.0274, 0)</f>
        <v>38.674199999999999</v>
      </c>
      <c r="C489" s="4">
        <f>38.4905 * CHOOSE(CONTROL!$C$10, $C$13, 100%, $E$13) + CHOOSE(CONTROL!$C$29, 0.0274, 0)</f>
        <v>38.517899999999997</v>
      </c>
      <c r="D489" s="4">
        <f>50.3713 * CHOOSE(CONTROL!$C$10, $C$13, 100%, $E$13) + CHOOSE(CONTROL!$C$29, 0.0021, 0)</f>
        <v>50.373399999999997</v>
      </c>
      <c r="E489" s="4">
        <f>247.168922866359 * CHOOSE(CONTROL!$C$10, $C$13, 100%, $E$13) + CHOOSE(CONTROL!$C$29, 0.0021, 0)</f>
        <v>247.17102286635901</v>
      </c>
    </row>
    <row r="490" spans="1:5" ht="15">
      <c r="A490" s="13">
        <v>56065</v>
      </c>
      <c r="B490" s="4">
        <f>38.7671 * CHOOSE(CONTROL!$C$10, $C$13, 100%, $E$13) + CHOOSE(CONTROL!$C$29, 0.0274, 0)</f>
        <v>38.794499999999999</v>
      </c>
      <c r="C490" s="4">
        <f>38.6108 * CHOOSE(CONTROL!$C$10, $C$13, 100%, $E$13) + CHOOSE(CONTROL!$C$29, 0.0274, 0)</f>
        <v>38.638199999999998</v>
      </c>
      <c r="D490" s="4">
        <f>50.8178 * CHOOSE(CONTROL!$C$10, $C$13, 100%, $E$13) + CHOOSE(CONTROL!$C$29, 0.0021, 0)</f>
        <v>50.819899999999997</v>
      </c>
      <c r="E490" s="4">
        <f>247.950999013587 * CHOOSE(CONTROL!$C$10, $C$13, 100%, $E$13) + CHOOSE(CONTROL!$C$29, 0.0021, 0)</f>
        <v>247.95309901358701</v>
      </c>
    </row>
    <row r="491" spans="1:5" ht="15">
      <c r="A491" s="13">
        <v>56096</v>
      </c>
      <c r="B491" s="4">
        <f>38.755 * CHOOSE(CONTROL!$C$10, $C$13, 100%, $E$13) + CHOOSE(CONTROL!$C$29, 0.0274, 0)</f>
        <v>38.782400000000003</v>
      </c>
      <c r="C491" s="4">
        <f>38.5987 * CHOOSE(CONTROL!$C$10, $C$13, 100%, $E$13) + CHOOSE(CONTROL!$C$29, 0.0274, 0)</f>
        <v>38.626100000000001</v>
      </c>
      <c r="D491" s="4">
        <f>51.6234 * CHOOSE(CONTROL!$C$10, $C$13, 100%, $E$13) + CHOOSE(CONTROL!$C$29, 0.0021, 0)</f>
        <v>51.625499999999995</v>
      </c>
      <c r="E491" s="4">
        <f>247.872134192018 * CHOOSE(CONTROL!$C$10, $C$13, 100%, $E$13) + CHOOSE(CONTROL!$C$29, 0.0021, 0)</f>
        <v>247.87423419201801</v>
      </c>
    </row>
    <row r="492" spans="1:5" ht="15">
      <c r="A492" s="13">
        <v>56127</v>
      </c>
      <c r="B492" s="4">
        <f>39.6681 * CHOOSE(CONTROL!$C$10, $C$13, 100%, $E$13) + CHOOSE(CONTROL!$C$29, 0.0274, 0)</f>
        <v>39.695500000000003</v>
      </c>
      <c r="C492" s="4">
        <f>39.5118 * CHOOSE(CONTROL!$C$10, $C$13, 100%, $E$13) + CHOOSE(CONTROL!$C$29, 0.0274, 0)</f>
        <v>39.539200000000001</v>
      </c>
      <c r="D492" s="4">
        <f>51.0914 * CHOOSE(CONTROL!$C$10, $C$13, 100%, $E$13) + CHOOSE(CONTROL!$C$29, 0.0021, 0)</f>
        <v>51.093499999999999</v>
      </c>
      <c r="E492" s="4">
        <f>253.806712015101 * CHOOSE(CONTROL!$C$10, $C$13, 100%, $E$13) + CHOOSE(CONTROL!$C$29, 0.0021, 0)</f>
        <v>253.80881201510101</v>
      </c>
    </row>
    <row r="493" spans="1:5" ht="15">
      <c r="A493" s="13">
        <v>56157</v>
      </c>
      <c r="B493" s="4">
        <f>38.1118 * CHOOSE(CONTROL!$C$10, $C$13, 100%, $E$13) + CHOOSE(CONTROL!$C$29, 0.0274, 0)</f>
        <v>38.139200000000002</v>
      </c>
      <c r="C493" s="4">
        <f>37.9556 * CHOOSE(CONTROL!$C$10, $C$13, 100%, $E$13) + CHOOSE(CONTROL!$C$29, 0.0274, 0)</f>
        <v>37.982999999999997</v>
      </c>
      <c r="D493" s="4">
        <f>50.84 * CHOOSE(CONTROL!$C$10, $C$13, 100%, $E$13) + CHOOSE(CONTROL!$C$29, 0.0021, 0)</f>
        <v>50.842100000000002</v>
      </c>
      <c r="E493" s="4">
        <f>243.69229864885 * CHOOSE(CONTROL!$C$10, $C$13, 100%, $E$13) + CHOOSE(CONTROL!$C$29, 0.0021, 0)</f>
        <v>243.69439864885001</v>
      </c>
    </row>
    <row r="494" spans="1:5" ht="15">
      <c r="A494" s="13">
        <v>56188</v>
      </c>
      <c r="B494" s="4">
        <f>36.8661 * CHOOSE(CONTROL!$C$10, $C$13, 100%, $E$13) + CHOOSE(CONTROL!$C$29, 0.0274, 0)</f>
        <v>36.893500000000003</v>
      </c>
      <c r="C494" s="4">
        <f>36.7098 * CHOOSE(CONTROL!$C$10, $C$13, 100%, $E$13) + CHOOSE(CONTROL!$C$29, 0.0274, 0)</f>
        <v>36.737200000000001</v>
      </c>
      <c r="D494" s="4">
        <f>50.167 * CHOOSE(CONTROL!$C$10, $C$13, 100%, $E$13) + CHOOSE(CONTROL!$C$29, 0.0021, 0)</f>
        <v>50.1691</v>
      </c>
      <c r="E494" s="4">
        <f>235.595510301078 * CHOOSE(CONTROL!$C$10, $C$13, 100%, $E$13) + CHOOSE(CONTROL!$C$29, 0.0021, 0)</f>
        <v>235.59761030107802</v>
      </c>
    </row>
    <row r="495" spans="1:5" ht="15">
      <c r="A495" s="13">
        <v>56218</v>
      </c>
      <c r="B495" s="4">
        <f>36.0637 * CHOOSE(CONTROL!$C$10, $C$13, 100%, $E$13) + CHOOSE(CONTROL!$C$29, 0.0274, 0)</f>
        <v>36.091099999999997</v>
      </c>
      <c r="C495" s="4">
        <f>35.9074 * CHOOSE(CONTROL!$C$10, $C$13, 100%, $E$13) + CHOOSE(CONTROL!$C$29, 0.0274, 0)</f>
        <v>35.934800000000003</v>
      </c>
      <c r="D495" s="4">
        <f>49.9356 * CHOOSE(CONTROL!$C$10, $C$13, 100%, $E$13) + CHOOSE(CONTROL!$C$29, 0.0021, 0)</f>
        <v>49.9377</v>
      </c>
      <c r="E495" s="4">
        <f>230.380573974814 * CHOOSE(CONTROL!$C$10, $C$13, 100%, $E$13) + CHOOSE(CONTROL!$C$29, 0.0021, 0)</f>
        <v>230.38267397481403</v>
      </c>
    </row>
    <row r="496" spans="1:5" ht="15">
      <c r="A496" s="13">
        <v>56249</v>
      </c>
      <c r="B496" s="4">
        <f>35.5086 * CHOOSE(CONTROL!$C$10, $C$13, 100%, $E$13) + CHOOSE(CONTROL!$C$29, 0.0274, 0)</f>
        <v>35.536000000000001</v>
      </c>
      <c r="C496" s="4">
        <f>35.3523 * CHOOSE(CONTROL!$C$10, $C$13, 100%, $E$13) + CHOOSE(CONTROL!$C$29, 0.0274, 0)</f>
        <v>35.3797</v>
      </c>
      <c r="D496" s="4">
        <f>48.2321 * CHOOSE(CONTROL!$C$10, $C$13, 100%, $E$13) + CHOOSE(CONTROL!$C$29, 0.0021, 0)</f>
        <v>48.234200000000001</v>
      </c>
      <c r="E496" s="4">
        <f>226.772508388023 * CHOOSE(CONTROL!$C$10, $C$13, 100%, $E$13) + CHOOSE(CONTROL!$C$29, 0.0021, 0)</f>
        <v>226.77460838802301</v>
      </c>
    </row>
    <row r="497" spans="1:5" ht="15">
      <c r="A497" s="13">
        <v>56280</v>
      </c>
      <c r="B497" s="4">
        <f>34.0536 * CHOOSE(CONTROL!$C$10, $C$13, 100%, $E$13) + CHOOSE(CONTROL!$C$29, 0.0274, 0)</f>
        <v>34.081000000000003</v>
      </c>
      <c r="C497" s="4">
        <f>33.8973 * CHOOSE(CONTROL!$C$10, $C$13, 100%, $E$13) + CHOOSE(CONTROL!$C$29, 0.0274, 0)</f>
        <v>33.924700000000001</v>
      </c>
      <c r="D497" s="4">
        <f>46.2708 * CHOOSE(CONTROL!$C$10, $C$13, 100%, $E$13) + CHOOSE(CONTROL!$C$29, 0.0021, 0)</f>
        <v>46.2729</v>
      </c>
      <c r="E497" s="4">
        <f>217.326511943956 * CHOOSE(CONTROL!$C$10, $C$13, 100%, $E$13) + CHOOSE(CONTROL!$C$29, 0.0021, 0)</f>
        <v>217.32861194395602</v>
      </c>
    </row>
    <row r="498" spans="1:5" ht="15">
      <c r="A498" s="13">
        <v>56308</v>
      </c>
      <c r="B498" s="4">
        <f>34.8475 * CHOOSE(CONTROL!$C$10, $C$13, 100%, $E$13) + CHOOSE(CONTROL!$C$29, 0.0274, 0)</f>
        <v>34.874899999999997</v>
      </c>
      <c r="C498" s="4">
        <f>34.6912 * CHOOSE(CONTROL!$C$10, $C$13, 100%, $E$13) + CHOOSE(CONTROL!$C$29, 0.0274, 0)</f>
        <v>34.718600000000002</v>
      </c>
      <c r="D498" s="4">
        <f>47.8335 * CHOOSE(CONTROL!$C$10, $C$13, 100%, $E$13) + CHOOSE(CONTROL!$C$29, 0.0021, 0)</f>
        <v>47.835599999999999</v>
      </c>
      <c r="E498" s="4">
        <f>222.486699801608 * CHOOSE(CONTROL!$C$10, $C$13, 100%, $E$13) + CHOOSE(CONTROL!$C$29, 0.0021, 0)</f>
        <v>222.48879980160802</v>
      </c>
    </row>
    <row r="499" spans="1:5" ht="15">
      <c r="A499" s="13">
        <v>56339</v>
      </c>
      <c r="B499" s="4">
        <f>36.9323 * CHOOSE(CONTROL!$C$10, $C$13, 100%, $E$13) + CHOOSE(CONTROL!$C$29, 0.0274, 0)</f>
        <v>36.959699999999998</v>
      </c>
      <c r="C499" s="4">
        <f>36.7761 * CHOOSE(CONTROL!$C$10, $C$13, 100%, $E$13) + CHOOSE(CONTROL!$C$29, 0.0274, 0)</f>
        <v>36.8035</v>
      </c>
      <c r="D499" s="4">
        <f>50.2798 * CHOOSE(CONTROL!$C$10, $C$13, 100%, $E$13) + CHOOSE(CONTROL!$C$29, 0.0021, 0)</f>
        <v>50.2819</v>
      </c>
      <c r="E499" s="4">
        <f>236.03762734484 * CHOOSE(CONTROL!$C$10, $C$13, 100%, $E$13) + CHOOSE(CONTROL!$C$29, 0.0021, 0)</f>
        <v>236.03972734484</v>
      </c>
    </row>
    <row r="500" spans="1:5" ht="15">
      <c r="A500" s="13">
        <v>56369</v>
      </c>
      <c r="B500" s="4">
        <f>38.4136 * CHOOSE(CONTROL!$C$10, $C$13, 100%, $E$13) + CHOOSE(CONTROL!$C$29, 0.0274, 0)</f>
        <v>38.441000000000003</v>
      </c>
      <c r="C500" s="4">
        <f>38.2574 * CHOOSE(CONTROL!$C$10, $C$13, 100%, $E$13) + CHOOSE(CONTROL!$C$29, 0.0274, 0)</f>
        <v>38.284799999999997</v>
      </c>
      <c r="D500" s="4">
        <f>51.6889 * CHOOSE(CONTROL!$C$10, $C$13, 100%, $E$13) + CHOOSE(CONTROL!$C$29, 0.0021, 0)</f>
        <v>51.690999999999995</v>
      </c>
      <c r="E500" s="4">
        <f>245.66574195416 * CHOOSE(CONTROL!$C$10, $C$13, 100%, $E$13) + CHOOSE(CONTROL!$C$29, 0.0021, 0)</f>
        <v>245.66784195416002</v>
      </c>
    </row>
    <row r="501" spans="1:5" ht="15">
      <c r="A501" s="13">
        <v>56400</v>
      </c>
      <c r="B501" s="4">
        <f>39.3187 * CHOOSE(CONTROL!$C$10, $C$13, 100%, $E$13) + CHOOSE(CONTROL!$C$29, 0.0274, 0)</f>
        <v>39.3461</v>
      </c>
      <c r="C501" s="4">
        <f>39.1624 * CHOOSE(CONTROL!$C$10, $C$13, 100%, $E$13) + CHOOSE(CONTROL!$C$29, 0.0274, 0)</f>
        <v>39.189799999999998</v>
      </c>
      <c r="D501" s="4">
        <f>51.1321 * CHOOSE(CONTROL!$C$10, $C$13, 100%, $E$13) + CHOOSE(CONTROL!$C$29, 0.0021, 0)</f>
        <v>51.1342</v>
      </c>
      <c r="E501" s="4">
        <f>251.548289226752 * CHOOSE(CONTROL!$C$10, $C$13, 100%, $E$13) + CHOOSE(CONTROL!$C$29, 0.0021, 0)</f>
        <v>251.550389226752</v>
      </c>
    </row>
    <row r="502" spans="1:5" ht="15">
      <c r="A502" s="13">
        <v>56430</v>
      </c>
      <c r="B502" s="4">
        <f>39.4411 * CHOOSE(CONTROL!$C$10, $C$13, 100%, $E$13) + CHOOSE(CONTROL!$C$29, 0.0274, 0)</f>
        <v>39.468499999999999</v>
      </c>
      <c r="C502" s="4">
        <f>39.2849 * CHOOSE(CONTROL!$C$10, $C$13, 100%, $E$13) + CHOOSE(CONTROL!$C$29, 0.0274, 0)</f>
        <v>39.3123</v>
      </c>
      <c r="D502" s="4">
        <f>51.5855 * CHOOSE(CONTROL!$C$10, $C$13, 100%, $E$13) + CHOOSE(CONTROL!$C$29, 0.0021, 0)</f>
        <v>51.587600000000002</v>
      </c>
      <c r="E502" s="4">
        <f>252.344222285807 * CHOOSE(CONTROL!$C$10, $C$13, 100%, $E$13) + CHOOSE(CONTROL!$C$29, 0.0021, 0)</f>
        <v>252.34632228580702</v>
      </c>
    </row>
    <row r="503" spans="1:5" ht="15">
      <c r="A503" s="13">
        <v>56461</v>
      </c>
      <c r="B503" s="4">
        <f>39.4288 * CHOOSE(CONTROL!$C$10, $C$13, 100%, $E$13) + CHOOSE(CONTROL!$C$29, 0.0274, 0)</f>
        <v>39.456200000000003</v>
      </c>
      <c r="C503" s="4">
        <f>39.2725 * CHOOSE(CONTROL!$C$10, $C$13, 100%, $E$13) + CHOOSE(CONTROL!$C$29, 0.0274, 0)</f>
        <v>39.299900000000001</v>
      </c>
      <c r="D503" s="4">
        <f>52.4038 * CHOOSE(CONTROL!$C$10, $C$13, 100%, $E$13) + CHOOSE(CONTROL!$C$29, 0.0021, 0)</f>
        <v>52.405899999999995</v>
      </c>
      <c r="E503" s="4">
        <f>252.263960128591 * CHOOSE(CONTROL!$C$10, $C$13, 100%, $E$13) + CHOOSE(CONTROL!$C$29, 0.0021, 0)</f>
        <v>252.26606012859102</v>
      </c>
    </row>
    <row r="504" spans="1:5" ht="15">
      <c r="A504" s="13">
        <v>56492</v>
      </c>
      <c r="B504" s="4">
        <f>40.358 * CHOOSE(CONTROL!$C$10, $C$13, 100%, $E$13) + CHOOSE(CONTROL!$C$29, 0.0274, 0)</f>
        <v>40.385399999999997</v>
      </c>
      <c r="C504" s="4">
        <f>40.2018 * CHOOSE(CONTROL!$C$10, $C$13, 100%, $E$13) + CHOOSE(CONTROL!$C$29, 0.0274, 0)</f>
        <v>40.229199999999999</v>
      </c>
      <c r="D504" s="4">
        <f>51.8634 * CHOOSE(CONTROL!$C$10, $C$13, 100%, $E$13) + CHOOSE(CONTROL!$C$29, 0.0021, 0)</f>
        <v>51.865499999999997</v>
      </c>
      <c r="E504" s="4">
        <f>258.303687459064 * CHOOSE(CONTROL!$C$10, $C$13, 100%, $E$13) + CHOOSE(CONTROL!$C$29, 0.0021, 0)</f>
        <v>258.30578745906399</v>
      </c>
    </row>
    <row r="505" spans="1:5" ht="15">
      <c r="A505" s="13">
        <v>56522</v>
      </c>
      <c r="B505" s="4">
        <f>38.7743 * CHOOSE(CONTROL!$C$10, $C$13, 100%, $E$13) + CHOOSE(CONTROL!$C$29, 0.0274, 0)</f>
        <v>38.801699999999997</v>
      </c>
      <c r="C505" s="4">
        <f>38.6181 * CHOOSE(CONTROL!$C$10, $C$13, 100%, $E$13) + CHOOSE(CONTROL!$C$29, 0.0274, 0)</f>
        <v>38.645499999999998</v>
      </c>
      <c r="D505" s="4">
        <f>51.6081 * CHOOSE(CONTROL!$C$10, $C$13, 100%, $E$13) + CHOOSE(CONTROL!$C$29, 0.0021, 0)</f>
        <v>51.610199999999999</v>
      </c>
      <c r="E505" s="4">
        <f>248.010065796165 * CHOOSE(CONTROL!$C$10, $C$13, 100%, $E$13) + CHOOSE(CONTROL!$C$29, 0.0021, 0)</f>
        <v>248.01216579616502</v>
      </c>
    </row>
    <row r="506" spans="1:5" ht="15">
      <c r="A506" s="13">
        <v>56553</v>
      </c>
      <c r="B506" s="4">
        <f>37.5065 * CHOOSE(CONTROL!$C$10, $C$13, 100%, $E$13) + CHOOSE(CONTROL!$C$29, 0.0274, 0)</f>
        <v>37.533900000000003</v>
      </c>
      <c r="C506" s="4">
        <f>37.3503 * CHOOSE(CONTROL!$C$10, $C$13, 100%, $E$13) + CHOOSE(CONTROL!$C$29, 0.0274, 0)</f>
        <v>37.377699999999997</v>
      </c>
      <c r="D506" s="4">
        <f>50.9245 * CHOOSE(CONTROL!$C$10, $C$13, 100%, $E$13) + CHOOSE(CONTROL!$C$29, 0.0021, 0)</f>
        <v>50.926600000000001</v>
      </c>
      <c r="E506" s="4">
        <f>239.769817655365 * CHOOSE(CONTROL!$C$10, $C$13, 100%, $E$13) + CHOOSE(CONTROL!$C$29, 0.0021, 0)</f>
        <v>239.771917655365</v>
      </c>
    </row>
    <row r="507" spans="1:5" ht="15">
      <c r="A507" s="13">
        <v>56583</v>
      </c>
      <c r="B507" s="4">
        <f>36.69 * CHOOSE(CONTROL!$C$10, $C$13, 100%, $E$13) + CHOOSE(CONTROL!$C$29, 0.0274, 0)</f>
        <v>36.717399999999998</v>
      </c>
      <c r="C507" s="4">
        <f>36.5337 * CHOOSE(CONTROL!$C$10, $C$13, 100%, $E$13) + CHOOSE(CONTROL!$C$29, 0.0274, 0)</f>
        <v>36.561100000000003</v>
      </c>
      <c r="D507" s="4">
        <f>50.6895 * CHOOSE(CONTROL!$C$10, $C$13, 100%, $E$13) + CHOOSE(CONTROL!$C$29, 0.0021, 0)</f>
        <v>50.691600000000001</v>
      </c>
      <c r="E507" s="4">
        <f>234.462482509484 * CHOOSE(CONTROL!$C$10, $C$13, 100%, $E$13) + CHOOSE(CONTROL!$C$29, 0.0021, 0)</f>
        <v>234.46458250948402</v>
      </c>
    </row>
    <row r="508" spans="1:5" ht="15">
      <c r="A508" s="13">
        <v>56614</v>
      </c>
      <c r="B508" s="4">
        <f>36.125 * CHOOSE(CONTROL!$C$10, $C$13, 100%, $E$13) + CHOOSE(CONTROL!$C$29, 0.0274, 0)</f>
        <v>36.1524</v>
      </c>
      <c r="C508" s="4">
        <f>35.9688 * CHOOSE(CONTROL!$C$10, $C$13, 100%, $E$13) + CHOOSE(CONTROL!$C$29, 0.0274, 0)</f>
        <v>35.996200000000002</v>
      </c>
      <c r="D508" s="4">
        <f>48.9592 * CHOOSE(CONTROL!$C$10, $C$13, 100%, $E$13) + CHOOSE(CONTROL!$C$29, 0.0021, 0)</f>
        <v>48.961300000000001</v>
      </c>
      <c r="E508" s="4">
        <f>230.790488816871 * CHOOSE(CONTROL!$C$10, $C$13, 100%, $E$13) + CHOOSE(CONTROL!$C$29, 0.0021, 0)</f>
        <v>230.79258881687102</v>
      </c>
    </row>
    <row r="509" spans="1:5" ht="15">
      <c r="A509" s="13">
        <v>56645</v>
      </c>
      <c r="B509" s="4">
        <f>34.6443 * CHOOSE(CONTROL!$C$10, $C$13, 100%, $E$13) + CHOOSE(CONTROL!$C$29, 0.0274, 0)</f>
        <v>34.671700000000001</v>
      </c>
      <c r="C509" s="4">
        <f>34.4881 * CHOOSE(CONTROL!$C$10, $C$13, 100%, $E$13) + CHOOSE(CONTROL!$C$29, 0.0274, 0)</f>
        <v>34.515500000000003</v>
      </c>
      <c r="D509" s="4">
        <f>46.9671 * CHOOSE(CONTROL!$C$10, $C$13, 100%, $E$13) + CHOOSE(CONTROL!$C$29, 0.0021, 0)</f>
        <v>46.969200000000001</v>
      </c>
      <c r="E509" s="4">
        <f>221.17712716124 * CHOOSE(CONTROL!$C$10, $C$13, 100%, $E$13) + CHOOSE(CONTROL!$C$29, 0.0021, 0)</f>
        <v>221.17922716124002</v>
      </c>
    </row>
    <row r="510" spans="1:5" ht="15">
      <c r="A510" s="13">
        <v>56673</v>
      </c>
      <c r="B510" s="4">
        <f>35.4523 * CHOOSE(CONTROL!$C$10, $C$13, 100%, $E$13) + CHOOSE(CONTROL!$C$29, 0.0274, 0)</f>
        <v>35.479700000000001</v>
      </c>
      <c r="C510" s="4">
        <f>35.296 * CHOOSE(CONTROL!$C$10, $C$13, 100%, $E$13) + CHOOSE(CONTROL!$C$29, 0.0274, 0)</f>
        <v>35.323399999999999</v>
      </c>
      <c r="D510" s="4">
        <f>48.5543 * CHOOSE(CONTROL!$C$10, $C$13, 100%, $E$13) + CHOOSE(CONTROL!$C$29, 0.0021, 0)</f>
        <v>48.556399999999996</v>
      </c>
      <c r="E510" s="4">
        <f>226.428743799077 * CHOOSE(CONTROL!$C$10, $C$13, 100%, $E$13) + CHOOSE(CONTROL!$C$29, 0.0021, 0)</f>
        <v>226.43084379907702</v>
      </c>
    </row>
    <row r="511" spans="1:5" ht="15">
      <c r="A511" s="13">
        <v>56704</v>
      </c>
      <c r="B511" s="4">
        <f>37.5739 * CHOOSE(CONTROL!$C$10, $C$13, 100%, $E$13) + CHOOSE(CONTROL!$C$29, 0.0274, 0)</f>
        <v>37.601300000000002</v>
      </c>
      <c r="C511" s="4">
        <f>37.4177 * CHOOSE(CONTROL!$C$10, $C$13, 100%, $E$13) + CHOOSE(CONTROL!$C$29, 0.0274, 0)</f>
        <v>37.445100000000004</v>
      </c>
      <c r="D511" s="4">
        <f>51.039 * CHOOSE(CONTROL!$C$10, $C$13, 100%, $E$13) + CHOOSE(CONTROL!$C$29, 0.0021, 0)</f>
        <v>51.0411</v>
      </c>
      <c r="E511" s="4">
        <f>240.219768177892 * CHOOSE(CONTROL!$C$10, $C$13, 100%, $E$13) + CHOOSE(CONTROL!$C$29, 0.0021, 0)</f>
        <v>240.22186817789202</v>
      </c>
    </row>
    <row r="512" spans="1:5" ht="15">
      <c r="A512" s="13">
        <v>56734</v>
      </c>
      <c r="B512" s="4">
        <f>39.0814 * CHOOSE(CONTROL!$C$10, $C$13, 100%, $E$13) + CHOOSE(CONTROL!$C$29, 0.0274, 0)</f>
        <v>39.108800000000002</v>
      </c>
      <c r="C512" s="4">
        <f>38.9252 * CHOOSE(CONTROL!$C$10, $C$13, 100%, $E$13) + CHOOSE(CONTROL!$C$29, 0.0274, 0)</f>
        <v>38.952599999999997</v>
      </c>
      <c r="D512" s="4">
        <f>52.4703 * CHOOSE(CONTROL!$C$10, $C$13, 100%, $E$13) + CHOOSE(CONTROL!$C$29, 0.0021, 0)</f>
        <v>52.4724</v>
      </c>
      <c r="E512" s="4">
        <f>250.018474788606 * CHOOSE(CONTROL!$C$10, $C$13, 100%, $E$13) + CHOOSE(CONTROL!$C$29, 0.0021, 0)</f>
        <v>250.02057478860601</v>
      </c>
    </row>
    <row r="513" spans="1:5" ht="15">
      <c r="A513" s="13">
        <v>56765</v>
      </c>
      <c r="B513" s="4">
        <f>40.0025 * CHOOSE(CONTROL!$C$10, $C$13, 100%, $E$13) + CHOOSE(CONTROL!$C$29, 0.0274, 0)</f>
        <v>40.029899999999998</v>
      </c>
      <c r="C513" s="4">
        <f>39.8462 * CHOOSE(CONTROL!$C$10, $C$13, 100%, $E$13) + CHOOSE(CONTROL!$C$29, 0.0274, 0)</f>
        <v>39.873600000000003</v>
      </c>
      <c r="D513" s="4">
        <f>51.9047 * CHOOSE(CONTROL!$C$10, $C$13, 100%, $E$13) + CHOOSE(CONTROL!$C$29, 0.0021, 0)</f>
        <v>51.906799999999997</v>
      </c>
      <c r="E513" s="4">
        <f>256.00524968553 * CHOOSE(CONTROL!$C$10, $C$13, 100%, $E$13) + CHOOSE(CONTROL!$C$29, 0.0021, 0)</f>
        <v>256.00734968552996</v>
      </c>
    </row>
    <row r="514" spans="1:5" ht="15">
      <c r="A514" s="13">
        <v>56795</v>
      </c>
      <c r="B514" s="4">
        <f>40.1271 * CHOOSE(CONTROL!$C$10, $C$13, 100%, $E$13) + CHOOSE(CONTROL!$C$29, 0.0274, 0)</f>
        <v>40.154499999999999</v>
      </c>
      <c r="C514" s="4">
        <f>39.9708 * CHOOSE(CONTROL!$C$10, $C$13, 100%, $E$13) + CHOOSE(CONTROL!$C$29, 0.0274, 0)</f>
        <v>39.998199999999997</v>
      </c>
      <c r="D514" s="4">
        <f>52.3653 * CHOOSE(CONTROL!$C$10, $C$13, 100%, $E$13) + CHOOSE(CONTROL!$C$29, 0.0021, 0)</f>
        <v>52.367399999999996</v>
      </c>
      <c r="E514" s="4">
        <f>256.81528517471 * CHOOSE(CONTROL!$C$10, $C$13, 100%, $E$13) + CHOOSE(CONTROL!$C$29, 0.0021, 0)</f>
        <v>256.81738517471001</v>
      </c>
    </row>
    <row r="515" spans="1:5" ht="15">
      <c r="A515" s="13">
        <v>56826</v>
      </c>
      <c r="B515" s="4">
        <f>40.1145 * CHOOSE(CONTROL!$C$10, $C$13, 100%, $E$13) + CHOOSE(CONTROL!$C$29, 0.0274, 0)</f>
        <v>40.1419</v>
      </c>
      <c r="C515" s="4">
        <f>39.9583 * CHOOSE(CONTROL!$C$10, $C$13, 100%, $E$13) + CHOOSE(CONTROL!$C$29, 0.0274, 0)</f>
        <v>39.985700000000001</v>
      </c>
      <c r="D515" s="4">
        <f>53.1965 * CHOOSE(CONTROL!$C$10, $C$13, 100%, $E$13) + CHOOSE(CONTROL!$C$29, 0.0021, 0)</f>
        <v>53.198599999999999</v>
      </c>
      <c r="E515" s="4">
        <f>256.733600923701 * CHOOSE(CONTROL!$C$10, $C$13, 100%, $E$13) + CHOOSE(CONTROL!$C$29, 0.0021, 0)</f>
        <v>256.73570092370096</v>
      </c>
    </row>
    <row r="516" spans="1:5" ht="15">
      <c r="A516" s="13">
        <v>56857</v>
      </c>
      <c r="B516" s="4">
        <f>41.0602 * CHOOSE(CONTROL!$C$10, $C$13, 100%, $E$13) + CHOOSE(CONTROL!$C$29, 0.0274, 0)</f>
        <v>41.087600000000002</v>
      </c>
      <c r="C516" s="4">
        <f>40.9039 * CHOOSE(CONTROL!$C$10, $C$13, 100%, $E$13) + CHOOSE(CONTROL!$C$29, 0.0274, 0)</f>
        <v>40.9313</v>
      </c>
      <c r="D516" s="4">
        <f>52.6476 * CHOOSE(CONTROL!$C$10, $C$13, 100%, $E$13) + CHOOSE(CONTROL!$C$29, 0.0021, 0)</f>
        <v>52.649699999999996</v>
      </c>
      <c r="E516" s="4">
        <f>262.880340812186 * CHOOSE(CONTROL!$C$10, $C$13, 100%, $E$13) + CHOOSE(CONTROL!$C$29, 0.0021, 0)</f>
        <v>262.88244081218596</v>
      </c>
    </row>
    <row r="517" spans="1:5" ht="15">
      <c r="A517" s="13">
        <v>56887</v>
      </c>
      <c r="B517" s="4">
        <f>39.4485 * CHOOSE(CONTROL!$C$10, $C$13, 100%, $E$13) + CHOOSE(CONTROL!$C$29, 0.0274, 0)</f>
        <v>39.475900000000003</v>
      </c>
      <c r="C517" s="4">
        <f>39.2922 * CHOOSE(CONTROL!$C$10, $C$13, 100%, $E$13) + CHOOSE(CONTROL!$C$29, 0.0274, 0)</f>
        <v>39.319600000000001</v>
      </c>
      <c r="D517" s="4">
        <f>52.3883 * CHOOSE(CONTROL!$C$10, $C$13, 100%, $E$13) + CHOOSE(CONTROL!$C$29, 0.0021, 0)</f>
        <v>52.3904</v>
      </c>
      <c r="E517" s="4">
        <f>252.404335620183 * CHOOSE(CONTROL!$C$10, $C$13, 100%, $E$13) + CHOOSE(CONTROL!$C$29, 0.0021, 0)</f>
        <v>252.406435620183</v>
      </c>
    </row>
    <row r="518" spans="1:5" ht="15">
      <c r="A518" s="13">
        <v>56918</v>
      </c>
      <c r="B518" s="4">
        <f>38.1583 * CHOOSE(CONTROL!$C$10, $C$13, 100%, $E$13) + CHOOSE(CONTROL!$C$29, 0.0274, 0)</f>
        <v>38.185699999999997</v>
      </c>
      <c r="C518" s="4">
        <f>38.002 * CHOOSE(CONTROL!$C$10, $C$13, 100%, $E$13) + CHOOSE(CONTROL!$C$29, 0.0274, 0)</f>
        <v>38.029400000000003</v>
      </c>
      <c r="D518" s="4">
        <f>51.6939 * CHOOSE(CONTROL!$C$10, $C$13, 100%, $E$13) + CHOOSE(CONTROL!$C$29, 0.0021, 0)</f>
        <v>51.695999999999998</v>
      </c>
      <c r="E518" s="4">
        <f>244.018085849847 * CHOOSE(CONTROL!$C$10, $C$13, 100%, $E$13) + CHOOSE(CONTROL!$C$29, 0.0021, 0)</f>
        <v>244.02018584984702</v>
      </c>
    </row>
    <row r="519" spans="1:5" ht="15">
      <c r="A519" s="13">
        <v>56948</v>
      </c>
      <c r="B519" s="4">
        <f>37.3273 * CHOOSE(CONTROL!$C$10, $C$13, 100%, $E$13) + CHOOSE(CONTROL!$C$29, 0.0274, 0)</f>
        <v>37.354700000000001</v>
      </c>
      <c r="C519" s="4">
        <f>37.1711 * CHOOSE(CONTROL!$C$10, $C$13, 100%, $E$13) + CHOOSE(CONTROL!$C$29, 0.0274, 0)</f>
        <v>37.198500000000003</v>
      </c>
      <c r="D519" s="4">
        <f>51.4552 * CHOOSE(CONTROL!$C$10, $C$13, 100%, $E$13) + CHOOSE(CONTROL!$C$29, 0.0021, 0)</f>
        <v>51.457299999999996</v>
      </c>
      <c r="E519" s="4">
        <f>238.616714751826 * CHOOSE(CONTROL!$C$10, $C$13, 100%, $E$13) + CHOOSE(CONTROL!$C$29, 0.0021, 0)</f>
        <v>238.61881475182602</v>
      </c>
    </row>
    <row r="520" spans="1:5" ht="15">
      <c r="A520" s="13">
        <v>56979</v>
      </c>
      <c r="B520" s="4">
        <f>36.7524 * CHOOSE(CONTROL!$C$10, $C$13, 100%, $E$13) + CHOOSE(CONTROL!$C$29, 0.0274, 0)</f>
        <v>36.779800000000002</v>
      </c>
      <c r="C520" s="4">
        <f>36.5961 * CHOOSE(CONTROL!$C$10, $C$13, 100%, $E$13) + CHOOSE(CONTROL!$C$29, 0.0274, 0)</f>
        <v>36.6235</v>
      </c>
      <c r="D520" s="4">
        <f>49.6977 * CHOOSE(CONTROL!$C$10, $C$13, 100%, $E$13) + CHOOSE(CONTROL!$C$29, 0.0021, 0)</f>
        <v>49.699799999999996</v>
      </c>
      <c r="E520" s="4">
        <f>234.879660268129 * CHOOSE(CONTROL!$C$10, $C$13, 100%, $E$13) + CHOOSE(CONTROL!$C$29, 0.0021, 0)</f>
        <v>234.881760268129</v>
      </c>
    </row>
    <row r="521" spans="1:5" ht="15">
      <c r="A521" s="13">
        <v>57010</v>
      </c>
      <c r="B521" s="4">
        <f>35.2455 * CHOOSE(CONTROL!$C$10, $C$13, 100%, $E$13) + CHOOSE(CONTROL!$C$29, 0.0274, 0)</f>
        <v>35.2729</v>
      </c>
      <c r="C521" s="4">
        <f>35.0893 * CHOOSE(CONTROL!$C$10, $C$13, 100%, $E$13) + CHOOSE(CONTROL!$C$29, 0.0274, 0)</f>
        <v>35.116700000000002</v>
      </c>
      <c r="D521" s="4">
        <f>47.6743 * CHOOSE(CONTROL!$C$10, $C$13, 100%, $E$13) + CHOOSE(CONTROL!$C$29, 0.0021, 0)</f>
        <v>47.676400000000001</v>
      </c>
      <c r="E521" s="4">
        <f>225.095968005573 * CHOOSE(CONTROL!$C$10, $C$13, 100%, $E$13) + CHOOSE(CONTROL!$C$29, 0.0021, 0)</f>
        <v>225.09806800557303</v>
      </c>
    </row>
    <row r="522" spans="1:5" ht="15">
      <c r="A522" s="13">
        <v>57038</v>
      </c>
      <c r="B522" s="4">
        <f>36.0677 * CHOOSE(CONTROL!$C$10, $C$13, 100%, $E$13) + CHOOSE(CONTROL!$C$29, 0.0274, 0)</f>
        <v>36.095100000000002</v>
      </c>
      <c r="C522" s="4">
        <f>35.9115 * CHOOSE(CONTROL!$C$10, $C$13, 100%, $E$13) + CHOOSE(CONTROL!$C$29, 0.0274, 0)</f>
        <v>35.938899999999997</v>
      </c>
      <c r="D522" s="4">
        <f>49.2865 * CHOOSE(CONTROL!$C$10, $C$13, 100%, $E$13) + CHOOSE(CONTROL!$C$29, 0.0021, 0)</f>
        <v>49.288599999999995</v>
      </c>
      <c r="E522" s="4">
        <f>230.44063336885 * CHOOSE(CONTROL!$C$10, $C$13, 100%, $E$13) + CHOOSE(CONTROL!$C$29, 0.0021, 0)</f>
        <v>230.44273336885001</v>
      </c>
    </row>
    <row r="523" spans="1:5" ht="15">
      <c r="A523" s="13">
        <v>57070</v>
      </c>
      <c r="B523" s="4">
        <f>38.2269 * CHOOSE(CONTROL!$C$10, $C$13, 100%, $E$13) + CHOOSE(CONTROL!$C$29, 0.0274, 0)</f>
        <v>38.254300000000001</v>
      </c>
      <c r="C523" s="4">
        <f>38.0707 * CHOOSE(CONTROL!$C$10, $C$13, 100%, $E$13) + CHOOSE(CONTROL!$C$29, 0.0274, 0)</f>
        <v>38.098100000000002</v>
      </c>
      <c r="D523" s="4">
        <f>51.8102 * CHOOSE(CONTROL!$C$10, $C$13, 100%, $E$13) + CHOOSE(CONTROL!$C$29, 0.0021, 0)</f>
        <v>51.8123</v>
      </c>
      <c r="E523" s="4">
        <f>244.476008645585 * CHOOSE(CONTROL!$C$10, $C$13, 100%, $E$13) + CHOOSE(CONTROL!$C$29, 0.0021, 0)</f>
        <v>244.47810864558502</v>
      </c>
    </row>
    <row r="524" spans="1:5" ht="15">
      <c r="A524" s="13">
        <v>57100</v>
      </c>
      <c r="B524" s="4">
        <f>39.761 * CHOOSE(CONTROL!$C$10, $C$13, 100%, $E$13) + CHOOSE(CONTROL!$C$29, 0.0274, 0)</f>
        <v>39.788400000000003</v>
      </c>
      <c r="C524" s="4">
        <f>39.6048 * CHOOSE(CONTROL!$C$10, $C$13, 100%, $E$13) + CHOOSE(CONTROL!$C$29, 0.0274, 0)</f>
        <v>39.632199999999997</v>
      </c>
      <c r="D524" s="4">
        <f>53.264 * CHOOSE(CONTROL!$C$10, $C$13, 100%, $E$13) + CHOOSE(CONTROL!$C$29, 0.0021, 0)</f>
        <v>53.266100000000002</v>
      </c>
      <c r="E524" s="4">
        <f>254.448329825673 * CHOOSE(CONTROL!$C$10, $C$13, 100%, $E$13) + CHOOSE(CONTROL!$C$29, 0.0021, 0)</f>
        <v>254.45042982567301</v>
      </c>
    </row>
    <row r="525" spans="1:5" ht="15">
      <c r="A525" s="13">
        <v>57131</v>
      </c>
      <c r="B525" s="4">
        <f>40.6983 * CHOOSE(CONTROL!$C$10, $C$13, 100%, $E$13) + CHOOSE(CONTROL!$C$29, 0.0274, 0)</f>
        <v>40.725700000000003</v>
      </c>
      <c r="C525" s="4">
        <f>40.5421 * CHOOSE(CONTROL!$C$10, $C$13, 100%, $E$13) + CHOOSE(CONTROL!$C$29, 0.0274, 0)</f>
        <v>40.569499999999998</v>
      </c>
      <c r="D525" s="4">
        <f>52.6896 * CHOOSE(CONTROL!$C$10, $C$13, 100%, $E$13) + CHOOSE(CONTROL!$C$29, 0.0021, 0)</f>
        <v>52.691699999999997</v>
      </c>
      <c r="E525" s="4">
        <f>260.541179063525 * CHOOSE(CONTROL!$C$10, $C$13, 100%, $E$13) + CHOOSE(CONTROL!$C$29, 0.0021, 0)</f>
        <v>260.54327906352501</v>
      </c>
    </row>
    <row r="526" spans="1:5" ht="15">
      <c r="A526" s="13">
        <v>57161</v>
      </c>
      <c r="B526" s="4">
        <f>40.8252 * CHOOSE(CONTROL!$C$10, $C$13, 100%, $E$13) + CHOOSE(CONTROL!$C$29, 0.0274, 0)</f>
        <v>40.852600000000002</v>
      </c>
      <c r="C526" s="4">
        <f>40.6689 * CHOOSE(CONTROL!$C$10, $C$13, 100%, $E$13) + CHOOSE(CONTROL!$C$29, 0.0274, 0)</f>
        <v>40.696300000000001</v>
      </c>
      <c r="D526" s="4">
        <f>53.1574 * CHOOSE(CONTROL!$C$10, $C$13, 100%, $E$13) + CHOOSE(CONTROL!$C$29, 0.0021, 0)</f>
        <v>53.159500000000001</v>
      </c>
      <c r="E526" s="4">
        <f>261.36556685125 * CHOOSE(CONTROL!$C$10, $C$13, 100%, $E$13) + CHOOSE(CONTROL!$C$29, 0.0021, 0)</f>
        <v>261.36766685124996</v>
      </c>
    </row>
    <row r="527" spans="1:5" ht="15">
      <c r="A527" s="13">
        <v>57192</v>
      </c>
      <c r="B527" s="4">
        <f>40.8124 * CHOOSE(CONTROL!$C$10, $C$13, 100%, $E$13) + CHOOSE(CONTROL!$C$29, 0.0274, 0)</f>
        <v>40.839799999999997</v>
      </c>
      <c r="C527" s="4">
        <f>40.6561 * CHOOSE(CONTROL!$C$10, $C$13, 100%, $E$13) + CHOOSE(CONTROL!$C$29, 0.0274, 0)</f>
        <v>40.683500000000002</v>
      </c>
      <c r="D527" s="4">
        <f>54.0016 * CHOOSE(CONTROL!$C$10, $C$13, 100%, $E$13) + CHOOSE(CONTROL!$C$29, 0.0021, 0)</f>
        <v>54.003700000000002</v>
      </c>
      <c r="E527" s="4">
        <f>261.282435309631 * CHOOSE(CONTROL!$C$10, $C$13, 100%, $E$13) + CHOOSE(CONTROL!$C$29, 0.0021, 0)</f>
        <v>261.284535309631</v>
      </c>
    </row>
    <row r="528" spans="1:5" ht="15">
      <c r="A528" s="13">
        <v>57223</v>
      </c>
      <c r="B528" s="4">
        <f>41.7747 * CHOOSE(CONTROL!$C$10, $C$13, 100%, $E$13) + CHOOSE(CONTROL!$C$29, 0.0274, 0)</f>
        <v>41.802100000000003</v>
      </c>
      <c r="C528" s="4">
        <f>41.6185 * CHOOSE(CONTROL!$C$10, $C$13, 100%, $E$13) + CHOOSE(CONTROL!$C$29, 0.0274, 0)</f>
        <v>41.645899999999997</v>
      </c>
      <c r="D528" s="4">
        <f>53.4441 * CHOOSE(CONTROL!$C$10, $C$13, 100%, $E$13) + CHOOSE(CONTROL!$C$29, 0.0021, 0)</f>
        <v>53.446199999999997</v>
      </c>
      <c r="E528" s="4">
        <f>267.538083816487 * CHOOSE(CONTROL!$C$10, $C$13, 100%, $E$13) + CHOOSE(CONTROL!$C$29, 0.0021, 0)</f>
        <v>267.540183816487</v>
      </c>
    </row>
    <row r="529" spans="1:5" ht="15">
      <c r="A529" s="13">
        <v>57253</v>
      </c>
      <c r="B529" s="4">
        <f>40.1346 * CHOOSE(CONTROL!$C$10, $C$13, 100%, $E$13) + CHOOSE(CONTROL!$C$29, 0.0274, 0)</f>
        <v>40.161999999999999</v>
      </c>
      <c r="C529" s="4">
        <f>39.9783 * CHOOSE(CONTROL!$C$10, $C$13, 100%, $E$13) + CHOOSE(CONTROL!$C$29, 0.0274, 0)</f>
        <v>40.005699999999997</v>
      </c>
      <c r="D529" s="4">
        <f>53.1807 * CHOOSE(CONTROL!$C$10, $C$13, 100%, $E$13) + CHOOSE(CONTROL!$C$29, 0.0021, 0)</f>
        <v>53.1828</v>
      </c>
      <c r="E529" s="4">
        <f>256.876463603805 * CHOOSE(CONTROL!$C$10, $C$13, 100%, $E$13) + CHOOSE(CONTROL!$C$29, 0.0021, 0)</f>
        <v>256.87856360380499</v>
      </c>
    </row>
    <row r="530" spans="1:5" ht="15">
      <c r="A530" s="13">
        <v>57284</v>
      </c>
      <c r="B530" s="4">
        <f>38.8216 * CHOOSE(CONTROL!$C$10, $C$13, 100%, $E$13) + CHOOSE(CONTROL!$C$29, 0.0274, 0)</f>
        <v>38.848999999999997</v>
      </c>
      <c r="C530" s="4">
        <f>38.6653 * CHOOSE(CONTROL!$C$10, $C$13, 100%, $E$13) + CHOOSE(CONTROL!$C$29, 0.0274, 0)</f>
        <v>38.692700000000002</v>
      </c>
      <c r="D530" s="4">
        <f>52.4754 * CHOOSE(CONTROL!$C$10, $C$13, 100%, $E$13) + CHOOSE(CONTROL!$C$29, 0.0021, 0)</f>
        <v>52.477499999999999</v>
      </c>
      <c r="E530" s="4">
        <f>248.341625330885 * CHOOSE(CONTROL!$C$10, $C$13, 100%, $E$13) + CHOOSE(CONTROL!$C$29, 0.0021, 0)</f>
        <v>248.34372533088501</v>
      </c>
    </row>
    <row r="531" spans="1:5" ht="15">
      <c r="A531" s="13">
        <v>57314</v>
      </c>
      <c r="B531" s="4">
        <f>37.9759 * CHOOSE(CONTROL!$C$10, $C$13, 100%, $E$13) + CHOOSE(CONTROL!$C$29, 0.0274, 0)</f>
        <v>38.003300000000003</v>
      </c>
      <c r="C531" s="4">
        <f>37.8197 * CHOOSE(CONTROL!$C$10, $C$13, 100%, $E$13) + CHOOSE(CONTROL!$C$29, 0.0274, 0)</f>
        <v>37.847099999999998</v>
      </c>
      <c r="D531" s="4">
        <f>52.2329 * CHOOSE(CONTROL!$C$10, $C$13, 100%, $E$13) + CHOOSE(CONTROL!$C$29, 0.0021, 0)</f>
        <v>52.234999999999999</v>
      </c>
      <c r="E531" s="4">
        <f>242.844552141305 * CHOOSE(CONTROL!$C$10, $C$13, 100%, $E$13) + CHOOSE(CONTROL!$C$29, 0.0021, 0)</f>
        <v>242.84665214130501</v>
      </c>
    </row>
    <row r="532" spans="1:5" ht="15">
      <c r="A532" s="13">
        <v>57345</v>
      </c>
      <c r="B532" s="4">
        <f>37.3908 * CHOOSE(CONTROL!$C$10, $C$13, 100%, $E$13) + CHOOSE(CONTROL!$C$29, 0.0274, 0)</f>
        <v>37.418199999999999</v>
      </c>
      <c r="C532" s="4">
        <f>37.2346 * CHOOSE(CONTROL!$C$10, $C$13, 100%, $E$13) + CHOOSE(CONTROL!$C$29, 0.0274, 0)</f>
        <v>37.262</v>
      </c>
      <c r="D532" s="4">
        <f>50.4478 * CHOOSE(CONTROL!$C$10, $C$13, 100%, $E$13) + CHOOSE(CONTROL!$C$29, 0.0021, 0)</f>
        <v>50.4499</v>
      </c>
      <c r="E532" s="4">
        <f>239.041284112219 * CHOOSE(CONTROL!$C$10, $C$13, 100%, $E$13) + CHOOSE(CONTROL!$C$29, 0.0021, 0)</f>
        <v>239.043384112219</v>
      </c>
    </row>
    <row r="533" spans="1:5" ht="15">
      <c r="A533" s="13">
        <v>57376</v>
      </c>
      <c r="B533" s="4">
        <f>35.8573 * CHOOSE(CONTROL!$C$10, $C$13, 100%, $E$13) + CHOOSE(CONTROL!$C$29, 0.0274, 0)</f>
        <v>35.884700000000002</v>
      </c>
      <c r="C533" s="4">
        <f>35.7011 * CHOOSE(CONTROL!$C$10, $C$13, 100%, $E$13) + CHOOSE(CONTROL!$C$29, 0.0274, 0)</f>
        <v>35.728499999999997</v>
      </c>
      <c r="D533" s="4">
        <f>48.3926 * CHOOSE(CONTROL!$C$10, $C$13, 100%, $E$13) + CHOOSE(CONTROL!$C$29, 0.0021, 0)</f>
        <v>48.3947</v>
      </c>
      <c r="E533" s="4">
        <f>229.084243306172 * CHOOSE(CONTROL!$C$10, $C$13, 100%, $E$13) + CHOOSE(CONTROL!$C$29, 0.0021, 0)</f>
        <v>229.08634330617201</v>
      </c>
    </row>
    <row r="534" spans="1:5" ht="15">
      <c r="A534" s="13">
        <v>57404</v>
      </c>
      <c r="B534" s="4">
        <f>36.6941 * CHOOSE(CONTROL!$C$10, $C$13, 100%, $E$13) + CHOOSE(CONTROL!$C$29, 0.0274, 0)</f>
        <v>36.721499999999999</v>
      </c>
      <c r="C534" s="4">
        <f>36.5378 * CHOOSE(CONTROL!$C$10, $C$13, 100%, $E$13) + CHOOSE(CONTROL!$C$29, 0.0274, 0)</f>
        <v>36.565199999999997</v>
      </c>
      <c r="D534" s="4">
        <f>50.0301 * CHOOSE(CONTROL!$C$10, $C$13, 100%, $E$13) + CHOOSE(CONTROL!$C$29, 0.0021, 0)</f>
        <v>50.032199999999996</v>
      </c>
      <c r="E534" s="4">
        <f>234.523606042518 * CHOOSE(CONTROL!$C$10, $C$13, 100%, $E$13) + CHOOSE(CONTROL!$C$29, 0.0021, 0)</f>
        <v>234.52570604251801</v>
      </c>
    </row>
    <row r="535" spans="1:5" ht="15">
      <c r="A535" s="13">
        <v>57435</v>
      </c>
      <c r="B535" s="4">
        <f>38.8914 * CHOOSE(CONTROL!$C$10, $C$13, 100%, $E$13) + CHOOSE(CONTROL!$C$29, 0.0274, 0)</f>
        <v>38.918799999999997</v>
      </c>
      <c r="C535" s="4">
        <f>38.7352 * CHOOSE(CONTROL!$C$10, $C$13, 100%, $E$13) + CHOOSE(CONTROL!$C$29, 0.0274, 0)</f>
        <v>38.762599999999999</v>
      </c>
      <c r="D535" s="4">
        <f>52.5936 * CHOOSE(CONTROL!$C$10, $C$13, 100%, $E$13) + CHOOSE(CONTROL!$C$29, 0.0021, 0)</f>
        <v>52.595700000000001</v>
      </c>
      <c r="E535" s="4">
        <f>248.807661653453 * CHOOSE(CONTROL!$C$10, $C$13, 100%, $E$13) + CHOOSE(CONTROL!$C$29, 0.0021, 0)</f>
        <v>248.80976165345302</v>
      </c>
    </row>
    <row r="536" spans="1:5" ht="15">
      <c r="A536" s="13">
        <v>57465</v>
      </c>
      <c r="B536" s="4">
        <f>40.4526 * CHOOSE(CONTROL!$C$10, $C$13, 100%, $E$13) + CHOOSE(CONTROL!$C$29, 0.0274, 0)</f>
        <v>40.479999999999997</v>
      </c>
      <c r="C536" s="4">
        <f>40.2964 * CHOOSE(CONTROL!$C$10, $C$13, 100%, $E$13) + CHOOSE(CONTROL!$C$29, 0.0274, 0)</f>
        <v>40.323799999999999</v>
      </c>
      <c r="D536" s="4">
        <f>54.0702 * CHOOSE(CONTROL!$C$10, $C$13, 100%, $E$13) + CHOOSE(CONTROL!$C$29, 0.0021, 0)</f>
        <v>54.072299999999998</v>
      </c>
      <c r="E536" s="4">
        <f>258.956673525092 * CHOOSE(CONTROL!$C$10, $C$13, 100%, $E$13) + CHOOSE(CONTROL!$C$29, 0.0021, 0)</f>
        <v>258.958773525092</v>
      </c>
    </row>
    <row r="537" spans="1:5" ht="15">
      <c r="A537" s="13">
        <v>57496</v>
      </c>
      <c r="B537" s="4">
        <f>41.4065 * CHOOSE(CONTROL!$C$10, $C$13, 100%, $E$13) + CHOOSE(CONTROL!$C$29, 0.0274, 0)</f>
        <v>41.433900000000001</v>
      </c>
      <c r="C537" s="4">
        <f>41.2503 * CHOOSE(CONTROL!$C$10, $C$13, 100%, $E$13) + CHOOSE(CONTROL!$C$29, 0.0274, 0)</f>
        <v>41.277700000000003</v>
      </c>
      <c r="D537" s="4">
        <f>53.4867 * CHOOSE(CONTROL!$C$10, $C$13, 100%, $E$13) + CHOOSE(CONTROL!$C$29, 0.0021, 0)</f>
        <v>53.488799999999998</v>
      </c>
      <c r="E537" s="4">
        <f>265.157476540797 * CHOOSE(CONTROL!$C$10, $C$13, 100%, $E$13) + CHOOSE(CONTROL!$C$29, 0.0021, 0)</f>
        <v>265.15957654079699</v>
      </c>
    </row>
    <row r="538" spans="1:5" ht="15">
      <c r="A538" s="13">
        <v>57526</v>
      </c>
      <c r="B538" s="4">
        <f>41.5356 * CHOOSE(CONTROL!$C$10, $C$13, 100%, $E$13) + CHOOSE(CONTROL!$C$29, 0.0274, 0)</f>
        <v>41.563000000000002</v>
      </c>
      <c r="C538" s="4">
        <f>41.3793 * CHOOSE(CONTROL!$C$10, $C$13, 100%, $E$13) + CHOOSE(CONTROL!$C$29, 0.0274, 0)</f>
        <v>41.406700000000001</v>
      </c>
      <c r="D538" s="4">
        <f>53.9619 * CHOOSE(CONTROL!$C$10, $C$13, 100%, $E$13) + CHOOSE(CONTROL!$C$29, 0.0021, 0)</f>
        <v>53.963999999999999</v>
      </c>
      <c r="E538" s="4">
        <f>265.996470922683 * CHOOSE(CONTROL!$C$10, $C$13, 100%, $E$13) + CHOOSE(CONTROL!$C$29, 0.0021, 0)</f>
        <v>265.99857092268297</v>
      </c>
    </row>
    <row r="539" spans="1:5" ht="15">
      <c r="A539" s="13">
        <v>57557</v>
      </c>
      <c r="B539" s="4">
        <f>41.5226 * CHOOSE(CONTROL!$C$10, $C$13, 100%, $E$13) + CHOOSE(CONTROL!$C$29, 0.0274, 0)</f>
        <v>41.55</v>
      </c>
      <c r="C539" s="4">
        <f>41.3663 * CHOOSE(CONTROL!$C$10, $C$13, 100%, $E$13) + CHOOSE(CONTROL!$C$29, 0.0274, 0)</f>
        <v>41.393700000000003</v>
      </c>
      <c r="D539" s="4">
        <f>54.8194 * CHOOSE(CONTROL!$C$10, $C$13, 100%, $E$13) + CHOOSE(CONTROL!$C$29, 0.0021, 0)</f>
        <v>54.8215</v>
      </c>
      <c r="E539" s="4">
        <f>265.911866447198 * CHOOSE(CONTROL!$C$10, $C$13, 100%, $E$13) + CHOOSE(CONTROL!$C$29, 0.0021, 0)</f>
        <v>265.91396644719799</v>
      </c>
    </row>
    <row r="540" spans="1:5" ht="15">
      <c r="A540" s="13">
        <v>57588</v>
      </c>
      <c r="B540" s="4">
        <f>42.5019 * CHOOSE(CONTROL!$C$10, $C$13, 100%, $E$13) + CHOOSE(CONTROL!$C$29, 0.0274, 0)</f>
        <v>42.529299999999999</v>
      </c>
      <c r="C540" s="4">
        <f>42.3457 * CHOOSE(CONTROL!$C$10, $C$13, 100%, $E$13) + CHOOSE(CONTROL!$C$29, 0.0274, 0)</f>
        <v>42.373100000000001</v>
      </c>
      <c r="D540" s="4">
        <f>54.2531 * CHOOSE(CONTROL!$C$10, $C$13, 100%, $E$13) + CHOOSE(CONTROL!$C$29, 0.0021, 0)</f>
        <v>54.255200000000002</v>
      </c>
      <c r="E540" s="4">
        <f>272.278353227393 * CHOOSE(CONTROL!$C$10, $C$13, 100%, $E$13) + CHOOSE(CONTROL!$C$29, 0.0021, 0)</f>
        <v>272.28045322739297</v>
      </c>
    </row>
    <row r="541" spans="1:5" ht="15">
      <c r="A541" s="13">
        <v>57618</v>
      </c>
      <c r="B541" s="4">
        <f>40.8328 * CHOOSE(CONTROL!$C$10, $C$13, 100%, $E$13) + CHOOSE(CONTROL!$C$29, 0.0274, 0)</f>
        <v>40.860199999999999</v>
      </c>
      <c r="C541" s="4">
        <f>40.6765 * CHOOSE(CONTROL!$C$10, $C$13, 100%, $E$13) + CHOOSE(CONTROL!$C$29, 0.0274, 0)</f>
        <v>40.703899999999997</v>
      </c>
      <c r="D541" s="4">
        <f>53.9856 * CHOOSE(CONTROL!$C$10, $C$13, 100%, $E$13) + CHOOSE(CONTROL!$C$29, 0.0021, 0)</f>
        <v>53.987699999999997</v>
      </c>
      <c r="E541" s="4">
        <f>261.42782924653 * CHOOSE(CONTROL!$C$10, $C$13, 100%, $E$13) + CHOOSE(CONTROL!$C$29, 0.0021, 0)</f>
        <v>261.42992924652998</v>
      </c>
    </row>
    <row r="542" spans="1:5" ht="15">
      <c r="A542" s="13">
        <v>57649</v>
      </c>
      <c r="B542" s="4">
        <f>39.4966 * CHOOSE(CONTROL!$C$10, $C$13, 100%, $E$13) + CHOOSE(CONTROL!$C$29, 0.0274, 0)</f>
        <v>39.524000000000001</v>
      </c>
      <c r="C542" s="4">
        <f>39.3403 * CHOOSE(CONTROL!$C$10, $C$13, 100%, $E$13) + CHOOSE(CONTROL!$C$29, 0.0274, 0)</f>
        <v>39.367699999999999</v>
      </c>
      <c r="D542" s="4">
        <f>53.2692 * CHOOSE(CONTROL!$C$10, $C$13, 100%, $E$13) + CHOOSE(CONTROL!$C$29, 0.0021, 0)</f>
        <v>53.271299999999997</v>
      </c>
      <c r="E542" s="4">
        <f>252.741769763474 * CHOOSE(CONTROL!$C$10, $C$13, 100%, $E$13) + CHOOSE(CONTROL!$C$29, 0.0021, 0)</f>
        <v>252.74386976347401</v>
      </c>
    </row>
    <row r="543" spans="1:5" ht="15">
      <c r="A543" s="13">
        <v>57679</v>
      </c>
      <c r="B543" s="4">
        <f>38.636 * CHOOSE(CONTROL!$C$10, $C$13, 100%, $E$13) + CHOOSE(CONTROL!$C$29, 0.0274, 0)</f>
        <v>38.663400000000003</v>
      </c>
      <c r="C543" s="4">
        <f>38.4797 * CHOOSE(CONTROL!$C$10, $C$13, 100%, $E$13) + CHOOSE(CONTROL!$C$29, 0.0274, 0)</f>
        <v>38.507100000000001</v>
      </c>
      <c r="D543" s="4">
        <f>53.0229 * CHOOSE(CONTROL!$C$10, $C$13, 100%, $E$13) + CHOOSE(CONTROL!$C$29, 0.0021, 0)</f>
        <v>53.024999999999999</v>
      </c>
      <c r="E543" s="4">
        <f>247.147298822073 * CHOOSE(CONTROL!$C$10, $C$13, 100%, $E$13) + CHOOSE(CONTROL!$C$29, 0.0021, 0)</f>
        <v>247.14939882207301</v>
      </c>
    </row>
    <row r="544" spans="1:5" ht="15">
      <c r="A544" s="13">
        <v>57710</v>
      </c>
      <c r="B544" s="4">
        <f>38.0406 * CHOOSE(CONTROL!$C$10, $C$13, 100%, $E$13) + CHOOSE(CONTROL!$C$29, 0.0274, 0)</f>
        <v>38.067999999999998</v>
      </c>
      <c r="C544" s="4">
        <f>37.8843 * CHOOSE(CONTROL!$C$10, $C$13, 100%, $E$13) + CHOOSE(CONTROL!$C$29, 0.0274, 0)</f>
        <v>37.911700000000003</v>
      </c>
      <c r="D544" s="4">
        <f>51.2097 * CHOOSE(CONTROL!$C$10, $C$13, 100%, $E$13) + CHOOSE(CONTROL!$C$29, 0.0021, 0)</f>
        <v>51.211799999999997</v>
      </c>
      <c r="E544" s="4">
        <f>243.276644068666 * CHOOSE(CONTROL!$C$10, $C$13, 100%, $E$13) + CHOOSE(CONTROL!$C$29, 0.0021, 0)</f>
        <v>243.27874406866601</v>
      </c>
    </row>
    <row r="545" spans="1:5" ht="15">
      <c r="A545" s="13">
        <v>57741</v>
      </c>
      <c r="B545" s="4">
        <f>36.48 * CHOOSE(CONTROL!$C$10, $C$13, 100%, $E$13) + CHOOSE(CONTROL!$C$29, 0.0274, 0)</f>
        <v>36.507399999999997</v>
      </c>
      <c r="C545" s="4">
        <f>36.3237 * CHOOSE(CONTROL!$C$10, $C$13, 100%, $E$13) + CHOOSE(CONTROL!$C$29, 0.0274, 0)</f>
        <v>36.351100000000002</v>
      </c>
      <c r="D545" s="4">
        <f>49.1222 * CHOOSE(CONTROL!$C$10, $C$13, 100%, $E$13) + CHOOSE(CONTROL!$C$29, 0.0021, 0)</f>
        <v>49.124299999999998</v>
      </c>
      <c r="E545" s="4">
        <f>233.143183310428 * CHOOSE(CONTROL!$C$10, $C$13, 100%, $E$13) + CHOOSE(CONTROL!$C$29, 0.0021, 0)</f>
        <v>233.145283310428</v>
      </c>
    </row>
    <row r="546" spans="1:5" ht="15">
      <c r="A546" s="13">
        <v>57769</v>
      </c>
      <c r="B546" s="4">
        <f>37.3315 * CHOOSE(CONTROL!$C$10, $C$13, 100%, $E$13) + CHOOSE(CONTROL!$C$29, 0.0274, 0)</f>
        <v>37.358899999999998</v>
      </c>
      <c r="C546" s="4">
        <f>37.1752 * CHOOSE(CONTROL!$C$10, $C$13, 100%, $E$13) + CHOOSE(CONTROL!$C$29, 0.0274, 0)</f>
        <v>37.202599999999997</v>
      </c>
      <c r="D546" s="4">
        <f>50.7855 * CHOOSE(CONTROL!$C$10, $C$13, 100%, $E$13) + CHOOSE(CONTROL!$C$29, 0.0021, 0)</f>
        <v>50.787599999999998</v>
      </c>
      <c r="E546" s="4">
        <f>238.67892127839 * CHOOSE(CONTROL!$C$10, $C$13, 100%, $E$13) + CHOOSE(CONTROL!$C$29, 0.0021, 0)</f>
        <v>238.68102127839001</v>
      </c>
    </row>
    <row r="547" spans="1:5" ht="15">
      <c r="A547" s="13">
        <v>57800</v>
      </c>
      <c r="B547" s="4">
        <f>39.5676 * CHOOSE(CONTROL!$C$10, $C$13, 100%, $E$13) + CHOOSE(CONTROL!$C$29, 0.0274, 0)</f>
        <v>39.594999999999999</v>
      </c>
      <c r="C547" s="4">
        <f>39.4114 * CHOOSE(CONTROL!$C$10, $C$13, 100%, $E$13) + CHOOSE(CONTROL!$C$29, 0.0274, 0)</f>
        <v>39.438800000000001</v>
      </c>
      <c r="D547" s="4">
        <f>53.3893 * CHOOSE(CONTROL!$C$10, $C$13, 100%, $E$13) + CHOOSE(CONTROL!$C$29, 0.0021, 0)</f>
        <v>53.391399999999997</v>
      </c>
      <c r="E547" s="4">
        <f>253.21606336924 * CHOOSE(CONTROL!$C$10, $C$13, 100%, $E$13) + CHOOSE(CONTROL!$C$29, 0.0021, 0)</f>
        <v>253.21816336924002</v>
      </c>
    </row>
    <row r="548" spans="1:5" ht="15">
      <c r="A548" s="13">
        <v>57830</v>
      </c>
      <c r="B548" s="4">
        <f>41.1565 * CHOOSE(CONTROL!$C$10, $C$13, 100%, $E$13) + CHOOSE(CONTROL!$C$29, 0.0274, 0)</f>
        <v>41.183900000000001</v>
      </c>
      <c r="C548" s="4">
        <f>41.0002 * CHOOSE(CONTROL!$C$10, $C$13, 100%, $E$13) + CHOOSE(CONTROL!$C$29, 0.0274, 0)</f>
        <v>41.0276</v>
      </c>
      <c r="D548" s="4">
        <f>54.8891 * CHOOSE(CONTROL!$C$10, $C$13, 100%, $E$13) + CHOOSE(CONTROL!$C$29, 0.0021, 0)</f>
        <v>54.891199999999998</v>
      </c>
      <c r="E548" s="4">
        <f>263.544896557679 * CHOOSE(CONTROL!$C$10, $C$13, 100%, $E$13) + CHOOSE(CONTROL!$C$29, 0.0021, 0)</f>
        <v>263.54699655767899</v>
      </c>
    </row>
    <row r="549" spans="1:5" ht="15">
      <c r="A549" s="13">
        <v>57861</v>
      </c>
      <c r="B549" s="4">
        <f>42.1272 * CHOOSE(CONTROL!$C$10, $C$13, 100%, $E$13) + CHOOSE(CONTROL!$C$29, 0.0274, 0)</f>
        <v>42.154600000000002</v>
      </c>
      <c r="C549" s="4">
        <f>41.9709 * CHOOSE(CONTROL!$C$10, $C$13, 100%, $E$13) + CHOOSE(CONTROL!$C$29, 0.0274, 0)</f>
        <v>41.9983</v>
      </c>
      <c r="D549" s="4">
        <f>54.2964 * CHOOSE(CONTROL!$C$10, $C$13, 100%, $E$13) + CHOOSE(CONTROL!$C$29, 0.0021, 0)</f>
        <v>54.298499999999997</v>
      </c>
      <c r="E549" s="4">
        <f>269.855566088233 * CHOOSE(CONTROL!$C$10, $C$13, 100%, $E$13) + CHOOSE(CONTROL!$C$29, 0.0021, 0)</f>
        <v>269.85766608823297</v>
      </c>
    </row>
    <row r="550" spans="1:5" ht="15">
      <c r="A550" s="13">
        <v>57891</v>
      </c>
      <c r="B550" s="4">
        <f>42.2585 * CHOOSE(CONTROL!$C$10, $C$13, 100%, $E$13) + CHOOSE(CONTROL!$C$29, 0.0274, 0)</f>
        <v>42.285899999999998</v>
      </c>
      <c r="C550" s="4">
        <f>42.1023 * CHOOSE(CONTROL!$C$10, $C$13, 100%, $E$13) + CHOOSE(CONTROL!$C$29, 0.0274, 0)</f>
        <v>42.1297</v>
      </c>
      <c r="D550" s="4">
        <f>54.7791 * CHOOSE(CONTROL!$C$10, $C$13, 100%, $E$13) + CHOOSE(CONTROL!$C$29, 0.0021, 0)</f>
        <v>54.781199999999998</v>
      </c>
      <c r="E550" s="4">
        <f>270.709425865533 * CHOOSE(CONTROL!$C$10, $C$13, 100%, $E$13) + CHOOSE(CONTROL!$C$29, 0.0021, 0)</f>
        <v>270.71152586553296</v>
      </c>
    </row>
    <row r="551" spans="1:5" ht="15">
      <c r="A551" s="13">
        <v>57922</v>
      </c>
      <c r="B551" s="4">
        <f>42.2453 * CHOOSE(CONTROL!$C$10, $C$13, 100%, $E$13) + CHOOSE(CONTROL!$C$29, 0.0274, 0)</f>
        <v>42.2727</v>
      </c>
      <c r="C551" s="4">
        <f>42.089 * CHOOSE(CONTROL!$C$10, $C$13, 100%, $E$13) + CHOOSE(CONTROL!$C$29, 0.0274, 0)</f>
        <v>42.116399999999999</v>
      </c>
      <c r="D551" s="4">
        <f>55.6501 * CHOOSE(CONTROL!$C$10, $C$13, 100%, $E$13) + CHOOSE(CONTROL!$C$29, 0.0021, 0)</f>
        <v>55.652200000000001</v>
      </c>
      <c r="E551" s="4">
        <f>270.623322358579 * CHOOSE(CONTROL!$C$10, $C$13, 100%, $E$13) + CHOOSE(CONTROL!$C$29, 0.0021, 0)</f>
        <v>270.62542235857899</v>
      </c>
    </row>
    <row r="552" spans="1:5" ht="15">
      <c r="A552" s="13">
        <v>57953</v>
      </c>
      <c r="B552" s="4">
        <f>43.2419 * CHOOSE(CONTROL!$C$10, $C$13, 100%, $E$13) + CHOOSE(CONTROL!$C$29, 0.0274, 0)</f>
        <v>43.269300000000001</v>
      </c>
      <c r="C552" s="4">
        <f>43.0857 * CHOOSE(CONTROL!$C$10, $C$13, 100%, $E$13) + CHOOSE(CONTROL!$C$29, 0.0274, 0)</f>
        <v>43.113100000000003</v>
      </c>
      <c r="D552" s="4">
        <f>55.0749 * CHOOSE(CONTROL!$C$10, $C$13, 100%, $E$13) + CHOOSE(CONTROL!$C$29, 0.0021, 0)</f>
        <v>55.076999999999998</v>
      </c>
      <c r="E552" s="4">
        <f>277.102611256919 * CHOOSE(CONTROL!$C$10, $C$13, 100%, $E$13) + CHOOSE(CONTROL!$C$29, 0.0021, 0)</f>
        <v>277.10471125691896</v>
      </c>
    </row>
    <row r="553" spans="1:5" ht="15">
      <c r="A553" s="13">
        <v>57983</v>
      </c>
      <c r="B553" s="4">
        <f>41.5433 * CHOOSE(CONTROL!$C$10, $C$13, 100%, $E$13) + CHOOSE(CONTROL!$C$29, 0.0274, 0)</f>
        <v>41.570700000000002</v>
      </c>
      <c r="C553" s="4">
        <f>41.3871 * CHOOSE(CONTROL!$C$10, $C$13, 100%, $E$13) + CHOOSE(CONTROL!$C$29, 0.0274, 0)</f>
        <v>41.414499999999997</v>
      </c>
      <c r="D553" s="4">
        <f>54.8031 * CHOOSE(CONTROL!$C$10, $C$13, 100%, $E$13) + CHOOSE(CONTROL!$C$29, 0.0021, 0)</f>
        <v>54.805199999999999</v>
      </c>
      <c r="E553" s="4">
        <f>266.05983648998 * CHOOSE(CONTROL!$C$10, $C$13, 100%, $E$13) + CHOOSE(CONTROL!$C$29, 0.0021, 0)</f>
        <v>266.06193648997998</v>
      </c>
    </row>
    <row r="554" spans="1:5" ht="15">
      <c r="A554" s="13">
        <v>58014</v>
      </c>
      <c r="B554" s="4">
        <f>40.1835 * CHOOSE(CONTROL!$C$10, $C$13, 100%, $E$13) + CHOOSE(CONTROL!$C$29, 0.0274, 0)</f>
        <v>40.210900000000002</v>
      </c>
      <c r="C554" s="4">
        <f>40.0273 * CHOOSE(CONTROL!$C$10, $C$13, 100%, $E$13) + CHOOSE(CONTROL!$C$29, 0.0274, 0)</f>
        <v>40.054699999999997</v>
      </c>
      <c r="D554" s="4">
        <f>54.0755 * CHOOSE(CONTROL!$C$10, $C$13, 100%, $E$13) + CHOOSE(CONTROL!$C$29, 0.0021, 0)</f>
        <v>54.077599999999997</v>
      </c>
      <c r="E554" s="4">
        <f>257.219876442633 * CHOOSE(CONTROL!$C$10, $C$13, 100%, $E$13) + CHOOSE(CONTROL!$C$29, 0.0021, 0)</f>
        <v>257.22197644263298</v>
      </c>
    </row>
    <row r="555" spans="1:5" ht="15">
      <c r="A555" s="13">
        <v>58044</v>
      </c>
      <c r="B555" s="4">
        <f>39.3077 * CHOOSE(CONTROL!$C$10, $C$13, 100%, $E$13) + CHOOSE(CONTROL!$C$29, 0.0274, 0)</f>
        <v>39.335099999999997</v>
      </c>
      <c r="C555" s="4">
        <f>39.1515 * CHOOSE(CONTROL!$C$10, $C$13, 100%, $E$13) + CHOOSE(CONTROL!$C$29, 0.0274, 0)</f>
        <v>39.178899999999999</v>
      </c>
      <c r="D555" s="4">
        <f>53.8253 * CHOOSE(CONTROL!$C$10, $C$13, 100%, $E$13) + CHOOSE(CONTROL!$C$29, 0.0021, 0)</f>
        <v>53.827399999999997</v>
      </c>
      <c r="E555" s="4">
        <f>251.526282045254 * CHOOSE(CONTROL!$C$10, $C$13, 100%, $E$13) + CHOOSE(CONTROL!$C$29, 0.0021, 0)</f>
        <v>251.52838204525401</v>
      </c>
    </row>
    <row r="556" spans="1:5" ht="15">
      <c r="A556" s="13">
        <v>58075</v>
      </c>
      <c r="B556" s="4">
        <f>38.7018 * CHOOSE(CONTROL!$C$10, $C$13, 100%, $E$13) + CHOOSE(CONTROL!$C$29, 0.0274, 0)</f>
        <v>38.729199999999999</v>
      </c>
      <c r="C556" s="4">
        <f>38.5455 * CHOOSE(CONTROL!$C$10, $C$13, 100%, $E$13) + CHOOSE(CONTROL!$C$29, 0.0274, 0)</f>
        <v>38.572899999999997</v>
      </c>
      <c r="D556" s="4">
        <f>51.9836 * CHOOSE(CONTROL!$C$10, $C$13, 100%, $E$13) + CHOOSE(CONTROL!$C$29, 0.0021, 0)</f>
        <v>51.985700000000001</v>
      </c>
      <c r="E556" s="4">
        <f>247.587046602077 * CHOOSE(CONTROL!$C$10, $C$13, 100%, $E$13) + CHOOSE(CONTROL!$C$29, 0.0021, 0)</f>
        <v>247.58914660207702</v>
      </c>
    </row>
    <row r="557" spans="1:5" ht="15">
      <c r="A557" s="13">
        <v>58106</v>
      </c>
      <c r="B557" s="4">
        <f>37.1136 * CHOOSE(CONTROL!$C$10, $C$13, 100%, $E$13) + CHOOSE(CONTROL!$C$29, 0.0274, 0)</f>
        <v>37.140999999999998</v>
      </c>
      <c r="C557" s="4">
        <f>36.9574 * CHOOSE(CONTROL!$C$10, $C$13, 100%, $E$13) + CHOOSE(CONTROL!$C$29, 0.0274, 0)</f>
        <v>36.9848</v>
      </c>
      <c r="D557" s="4">
        <f>49.8632 * CHOOSE(CONTROL!$C$10, $C$13, 100%, $E$13) + CHOOSE(CONTROL!$C$29, 0.0021, 0)</f>
        <v>49.865299999999998</v>
      </c>
      <c r="E557" s="4">
        <f>237.27404006339 * CHOOSE(CONTROL!$C$10, $C$13, 100%, $E$13) + CHOOSE(CONTROL!$C$29, 0.0021, 0)</f>
        <v>237.27614006339002</v>
      </c>
    </row>
    <row r="558" spans="1:5" ht="15">
      <c r="A558" s="13">
        <v>58134</v>
      </c>
      <c r="B558" s="4">
        <f>37.9802 * CHOOSE(CONTROL!$C$10, $C$13, 100%, $E$13) + CHOOSE(CONTROL!$C$29, 0.0274, 0)</f>
        <v>38.007600000000004</v>
      </c>
      <c r="C558" s="4">
        <f>37.8239 * CHOOSE(CONTROL!$C$10, $C$13, 100%, $E$13) + CHOOSE(CONTROL!$C$29, 0.0274, 0)</f>
        <v>37.851300000000002</v>
      </c>
      <c r="D558" s="4">
        <f>51.5527 * CHOOSE(CONTROL!$C$10, $C$13, 100%, $E$13) + CHOOSE(CONTROL!$C$29, 0.0021, 0)</f>
        <v>51.5548</v>
      </c>
      <c r="E558" s="4">
        <f>242.907860849999 * CHOOSE(CONTROL!$C$10, $C$13, 100%, $E$13) + CHOOSE(CONTROL!$C$29, 0.0021, 0)</f>
        <v>242.90996084999901</v>
      </c>
    </row>
    <row r="559" spans="1:5" ht="15">
      <c r="A559" s="13">
        <v>58165</v>
      </c>
      <c r="B559" s="4">
        <f>40.2558 * CHOOSE(CONTROL!$C$10, $C$13, 100%, $E$13) + CHOOSE(CONTROL!$C$29, 0.0274, 0)</f>
        <v>40.283200000000001</v>
      </c>
      <c r="C559" s="4">
        <f>40.0996 * CHOOSE(CONTROL!$C$10, $C$13, 100%, $E$13) + CHOOSE(CONTROL!$C$29, 0.0274, 0)</f>
        <v>40.127000000000002</v>
      </c>
      <c r="D559" s="4">
        <f>54.1974 * CHOOSE(CONTROL!$C$10, $C$13, 100%, $E$13) + CHOOSE(CONTROL!$C$29, 0.0021, 0)</f>
        <v>54.1995</v>
      </c>
      <c r="E559" s="4">
        <f>257.702573635055 * CHOOSE(CONTROL!$C$10, $C$13, 100%, $E$13) + CHOOSE(CONTROL!$C$29, 0.0021, 0)</f>
        <v>257.70467363505497</v>
      </c>
    </row>
    <row r="560" spans="1:5" ht="15">
      <c r="A560" s="13">
        <v>58195</v>
      </c>
      <c r="B560" s="4">
        <f>41.8727 * CHOOSE(CONTROL!$C$10, $C$13, 100%, $E$13) + CHOOSE(CONTROL!$C$29, 0.0274, 0)</f>
        <v>41.900100000000002</v>
      </c>
      <c r="C560" s="4">
        <f>41.7165 * CHOOSE(CONTROL!$C$10, $C$13, 100%, $E$13) + CHOOSE(CONTROL!$C$29, 0.0274, 0)</f>
        <v>41.743900000000004</v>
      </c>
      <c r="D560" s="4">
        <f>55.7209 * CHOOSE(CONTROL!$C$10, $C$13, 100%, $E$13) + CHOOSE(CONTROL!$C$29, 0.0021, 0)</f>
        <v>55.722999999999999</v>
      </c>
      <c r="E560" s="4">
        <f>268.214414234309 * CHOOSE(CONTROL!$C$10, $C$13, 100%, $E$13) + CHOOSE(CONTROL!$C$29, 0.0021, 0)</f>
        <v>268.21651423430899</v>
      </c>
    </row>
    <row r="561" spans="1:5" ht="15">
      <c r="A561" s="13">
        <v>58226</v>
      </c>
      <c r="B561" s="4">
        <f>42.8606 * CHOOSE(CONTROL!$C$10, $C$13, 100%, $E$13) + CHOOSE(CONTROL!$C$29, 0.0274, 0)</f>
        <v>42.887999999999998</v>
      </c>
      <c r="C561" s="4">
        <f>42.7043 * CHOOSE(CONTROL!$C$10, $C$13, 100%, $E$13) + CHOOSE(CONTROL!$C$29, 0.0274, 0)</f>
        <v>42.731700000000004</v>
      </c>
      <c r="D561" s="4">
        <f>55.1189 * CHOOSE(CONTROL!$C$10, $C$13, 100%, $E$13) + CHOOSE(CONTROL!$C$29, 0.0021, 0)</f>
        <v>55.120999999999995</v>
      </c>
      <c r="E561" s="4">
        <f>274.636896906795 * CHOOSE(CONTROL!$C$10, $C$13, 100%, $E$13) + CHOOSE(CONTROL!$C$29, 0.0021, 0)</f>
        <v>274.638996906795</v>
      </c>
    </row>
    <row r="562" spans="1:5" ht="15">
      <c r="A562" s="13">
        <v>58256</v>
      </c>
      <c r="B562" s="4">
        <f>42.9943 * CHOOSE(CONTROL!$C$10, $C$13, 100%, $E$13) + CHOOSE(CONTROL!$C$29, 0.0274, 0)</f>
        <v>43.021700000000003</v>
      </c>
      <c r="C562" s="4">
        <f>42.838 * CHOOSE(CONTROL!$C$10, $C$13, 100%, $E$13) + CHOOSE(CONTROL!$C$29, 0.0274, 0)</f>
        <v>42.865400000000001</v>
      </c>
      <c r="D562" s="4">
        <f>55.6092 * CHOOSE(CONTROL!$C$10, $C$13, 100%, $E$13) + CHOOSE(CONTROL!$C$29, 0.0021, 0)</f>
        <v>55.6113</v>
      </c>
      <c r="E562" s="4">
        <f>275.505885466233 * CHOOSE(CONTROL!$C$10, $C$13, 100%, $E$13) + CHOOSE(CONTROL!$C$29, 0.0021, 0)</f>
        <v>275.50798546623298</v>
      </c>
    </row>
    <row r="563" spans="1:5" ht="15">
      <c r="A563" s="13">
        <v>58287</v>
      </c>
      <c r="B563" s="4">
        <f>42.9808 * CHOOSE(CONTROL!$C$10, $C$13, 100%, $E$13) + CHOOSE(CONTROL!$C$29, 0.0274, 0)</f>
        <v>43.008200000000002</v>
      </c>
      <c r="C563" s="4">
        <f>42.8245 * CHOOSE(CONTROL!$C$10, $C$13, 100%, $E$13) + CHOOSE(CONTROL!$C$29, 0.0274, 0)</f>
        <v>42.851900000000001</v>
      </c>
      <c r="D563" s="4">
        <f>56.4938 * CHOOSE(CONTROL!$C$10, $C$13, 100%, $E$13) + CHOOSE(CONTROL!$C$29, 0.0021, 0)</f>
        <v>56.495899999999999</v>
      </c>
      <c r="E563" s="4">
        <f>275.418256367802 * CHOOSE(CONTROL!$C$10, $C$13, 100%, $E$13) + CHOOSE(CONTROL!$C$29, 0.0021, 0)</f>
        <v>275.42035636780196</v>
      </c>
    </row>
    <row r="564" spans="1:5" ht="15">
      <c r="A564" s="13">
        <v>58318</v>
      </c>
      <c r="B564" s="4">
        <f>43.9951 * CHOOSE(CONTROL!$C$10, $C$13, 100%, $E$13) + CHOOSE(CONTROL!$C$29, 0.0274, 0)</f>
        <v>44.022500000000001</v>
      </c>
      <c r="C564" s="4">
        <f>43.8388 * CHOOSE(CONTROL!$C$10, $C$13, 100%, $E$13) + CHOOSE(CONTROL!$C$29, 0.0274, 0)</f>
        <v>43.866199999999999</v>
      </c>
      <c r="D564" s="4">
        <f>55.9096 * CHOOSE(CONTROL!$C$10, $C$13, 100%, $E$13) + CHOOSE(CONTROL!$C$29, 0.0021, 0)</f>
        <v>55.911699999999996</v>
      </c>
      <c r="E564" s="4">
        <f>282.012346024715 * CHOOSE(CONTROL!$C$10, $C$13, 100%, $E$13) + CHOOSE(CONTROL!$C$29, 0.0021, 0)</f>
        <v>282.01444602471497</v>
      </c>
    </row>
    <row r="565" spans="1:5" ht="15">
      <c r="A565" s="13">
        <v>58348</v>
      </c>
      <c r="B565" s="4">
        <f>42.2664 * CHOOSE(CONTROL!$C$10, $C$13, 100%, $E$13) + CHOOSE(CONTROL!$C$29, 0.0274, 0)</f>
        <v>42.293799999999997</v>
      </c>
      <c r="C565" s="4">
        <f>42.1102 * CHOOSE(CONTROL!$C$10, $C$13, 100%, $E$13) + CHOOSE(CONTROL!$C$29, 0.0274, 0)</f>
        <v>42.137599999999999</v>
      </c>
      <c r="D565" s="4">
        <f>55.6335 * CHOOSE(CONTROL!$C$10, $C$13, 100%, $E$13) + CHOOSE(CONTROL!$C$29, 0.0021, 0)</f>
        <v>55.635599999999997</v>
      </c>
      <c r="E565" s="4">
        <f>270.773914150973 * CHOOSE(CONTROL!$C$10, $C$13, 100%, $E$13) + CHOOSE(CONTROL!$C$29, 0.0021, 0)</f>
        <v>270.77601415097297</v>
      </c>
    </row>
    <row r="566" spans="1:5" ht="15">
      <c r="A566" s="13">
        <v>58379</v>
      </c>
      <c r="B566" s="4">
        <f>40.8826 * CHOOSE(CONTROL!$C$10, $C$13, 100%, $E$13) + CHOOSE(CONTROL!$C$29, 0.0274, 0)</f>
        <v>40.909999999999997</v>
      </c>
      <c r="C566" s="4">
        <f>40.7263 * CHOOSE(CONTROL!$C$10, $C$13, 100%, $E$13) + CHOOSE(CONTROL!$C$29, 0.0274, 0)</f>
        <v>40.753700000000002</v>
      </c>
      <c r="D566" s="4">
        <f>54.8945 * CHOOSE(CONTROL!$C$10, $C$13, 100%, $E$13) + CHOOSE(CONTROL!$C$29, 0.0021, 0)</f>
        <v>54.896599999999999</v>
      </c>
      <c r="E566" s="4">
        <f>261.777326712084 * CHOOSE(CONTROL!$C$10, $C$13, 100%, $E$13) + CHOOSE(CONTROL!$C$29, 0.0021, 0)</f>
        <v>261.77942671208399</v>
      </c>
    </row>
    <row r="567" spans="1:5" ht="15">
      <c r="A567" s="13">
        <v>58409</v>
      </c>
      <c r="B567" s="4">
        <f>39.9913 * CHOOSE(CONTROL!$C$10, $C$13, 100%, $E$13) + CHOOSE(CONTROL!$C$29, 0.0274, 0)</f>
        <v>40.018700000000003</v>
      </c>
      <c r="C567" s="4">
        <f>39.8351 * CHOOSE(CONTROL!$C$10, $C$13, 100%, $E$13) + CHOOSE(CONTROL!$C$29, 0.0274, 0)</f>
        <v>39.862499999999997</v>
      </c>
      <c r="D567" s="4">
        <f>54.6404 * CHOOSE(CONTROL!$C$10, $C$13, 100%, $E$13) + CHOOSE(CONTROL!$C$29, 0.0021, 0)</f>
        <v>54.642499999999998</v>
      </c>
      <c r="E567" s="4">
        <f>255.982852578352 * CHOOSE(CONTROL!$C$10, $C$13, 100%, $E$13) + CHOOSE(CONTROL!$C$29, 0.0021, 0)</f>
        <v>255.98495257835202</v>
      </c>
    </row>
    <row r="568" spans="1:5" ht="15">
      <c r="A568" s="13">
        <v>58440</v>
      </c>
      <c r="B568" s="4">
        <f>39.3747 * CHOOSE(CONTROL!$C$10, $C$13, 100%, $E$13) + CHOOSE(CONTROL!$C$29, 0.0274, 0)</f>
        <v>39.402099999999997</v>
      </c>
      <c r="C568" s="4">
        <f>39.2184 * CHOOSE(CONTROL!$C$10, $C$13, 100%, $E$13) + CHOOSE(CONTROL!$C$29, 0.0274, 0)</f>
        <v>39.245800000000003</v>
      </c>
      <c r="D568" s="4">
        <f>52.7697 * CHOOSE(CONTROL!$C$10, $C$13, 100%, $E$13) + CHOOSE(CONTROL!$C$29, 0.0021, 0)</f>
        <v>52.771799999999999</v>
      </c>
      <c r="E568" s="4">
        <f>251.973821325146 * CHOOSE(CONTROL!$C$10, $C$13, 100%, $E$13) + CHOOSE(CONTROL!$C$29, 0.0021, 0)</f>
        <v>251.975921325146</v>
      </c>
    </row>
    <row r="569" spans="1:5" ht="15">
      <c r="A569" s="13">
        <v>58471</v>
      </c>
      <c r="B569" s="4">
        <f>37.7584 * CHOOSE(CONTROL!$C$10, $C$13, 100%, $E$13) + CHOOSE(CONTROL!$C$29, 0.0274, 0)</f>
        <v>37.785800000000002</v>
      </c>
      <c r="C569" s="4">
        <f>37.6022 * CHOOSE(CONTROL!$C$10, $C$13, 100%, $E$13) + CHOOSE(CONTROL!$C$29, 0.0274, 0)</f>
        <v>37.629600000000003</v>
      </c>
      <c r="D569" s="4">
        <f>50.616 * CHOOSE(CONTROL!$C$10, $C$13, 100%, $E$13) + CHOOSE(CONTROL!$C$29, 0.0021, 0)</f>
        <v>50.618099999999998</v>
      </c>
      <c r="E569" s="4">
        <f>241.478087793978 * CHOOSE(CONTROL!$C$10, $C$13, 100%, $E$13) + CHOOSE(CONTROL!$C$29, 0.0021, 0)</f>
        <v>241.48018779397802</v>
      </c>
    </row>
    <row r="570" spans="1:5" ht="15">
      <c r="A570" s="13">
        <v>58499</v>
      </c>
      <c r="B570" s="4">
        <f>38.6403 * CHOOSE(CONTROL!$C$10, $C$13, 100%, $E$13) + CHOOSE(CONTROL!$C$29, 0.0274, 0)</f>
        <v>38.667700000000004</v>
      </c>
      <c r="C570" s="4">
        <f>38.4841 * CHOOSE(CONTROL!$C$10, $C$13, 100%, $E$13) + CHOOSE(CONTROL!$C$29, 0.0274, 0)</f>
        <v>38.511499999999998</v>
      </c>
      <c r="D570" s="4">
        <f>52.332 * CHOOSE(CONTROL!$C$10, $C$13, 100%, $E$13) + CHOOSE(CONTROL!$C$29, 0.0021, 0)</f>
        <v>52.334099999999999</v>
      </c>
      <c r="E570" s="4">
        <f>247.211729241483 * CHOOSE(CONTROL!$C$10, $C$13, 100%, $E$13) + CHOOSE(CONTROL!$C$29, 0.0021, 0)</f>
        <v>247.21382924148301</v>
      </c>
    </row>
    <row r="571" spans="1:5" ht="15">
      <c r="A571" s="13">
        <v>58531</v>
      </c>
      <c r="B571" s="4">
        <f>40.9562 * CHOOSE(CONTROL!$C$10, $C$13, 100%, $E$13) + CHOOSE(CONTROL!$C$29, 0.0274, 0)</f>
        <v>40.983600000000003</v>
      </c>
      <c r="C571" s="4">
        <f>40.7999 * CHOOSE(CONTROL!$C$10, $C$13, 100%, $E$13) + CHOOSE(CONTROL!$C$29, 0.0274, 0)</f>
        <v>40.827300000000001</v>
      </c>
      <c r="D571" s="4">
        <f>55.0183 * CHOOSE(CONTROL!$C$10, $C$13, 100%, $E$13) + CHOOSE(CONTROL!$C$29, 0.0021, 0)</f>
        <v>55.020400000000002</v>
      </c>
      <c r="E571" s="4">
        <f>262.268576386842 * CHOOSE(CONTROL!$C$10, $C$13, 100%, $E$13) + CHOOSE(CONTROL!$C$29, 0.0021, 0)</f>
        <v>262.27067638684201</v>
      </c>
    </row>
    <row r="572" spans="1:5" ht="15">
      <c r="A572" s="13">
        <v>58561</v>
      </c>
      <c r="B572" s="4">
        <f>42.6016 * CHOOSE(CONTROL!$C$10, $C$13, 100%, $E$13) + CHOOSE(CONTROL!$C$29, 0.0274, 0)</f>
        <v>42.628999999999998</v>
      </c>
      <c r="C572" s="4">
        <f>42.4454 * CHOOSE(CONTROL!$C$10, $C$13, 100%, $E$13) + CHOOSE(CONTROL!$C$29, 0.0274, 0)</f>
        <v>42.472799999999999</v>
      </c>
      <c r="D572" s="4">
        <f>56.5657 * CHOOSE(CONTROL!$C$10, $C$13, 100%, $E$13) + CHOOSE(CONTROL!$C$29, 0.0021, 0)</f>
        <v>56.567799999999998</v>
      </c>
      <c r="E572" s="4">
        <f>272.966666942491 * CHOOSE(CONTROL!$C$10, $C$13, 100%, $E$13) + CHOOSE(CONTROL!$C$29, 0.0021, 0)</f>
        <v>272.96876694249096</v>
      </c>
    </row>
    <row r="573" spans="1:5" ht="15">
      <c r="A573" s="13">
        <v>58592</v>
      </c>
      <c r="B573" s="4">
        <f>43.607 * CHOOSE(CONTROL!$C$10, $C$13, 100%, $E$13) + CHOOSE(CONTROL!$C$29, 0.0274, 0)</f>
        <v>43.634399999999999</v>
      </c>
      <c r="C573" s="4">
        <f>43.4507 * CHOOSE(CONTROL!$C$10, $C$13, 100%, $E$13) + CHOOSE(CONTROL!$C$29, 0.0274, 0)</f>
        <v>43.478099999999998</v>
      </c>
      <c r="D573" s="4">
        <f>55.9543 * CHOOSE(CONTROL!$C$10, $C$13, 100%, $E$13) + CHOOSE(CONTROL!$C$29, 0.0021, 0)</f>
        <v>55.956400000000002</v>
      </c>
      <c r="E573" s="4">
        <f>279.502943874546 * CHOOSE(CONTROL!$C$10, $C$13, 100%, $E$13) + CHOOSE(CONTROL!$C$29, 0.0021, 0)</f>
        <v>279.505043874546</v>
      </c>
    </row>
    <row r="574" spans="1:5" ht="15">
      <c r="A574" s="13">
        <v>58622</v>
      </c>
      <c r="B574" s="4">
        <f>43.743 * CHOOSE(CONTROL!$C$10, $C$13, 100%, $E$13) + CHOOSE(CONTROL!$C$29, 0.0274, 0)</f>
        <v>43.770400000000002</v>
      </c>
      <c r="C574" s="4">
        <f>43.5867 * CHOOSE(CONTROL!$C$10, $C$13, 100%, $E$13) + CHOOSE(CONTROL!$C$29, 0.0274, 0)</f>
        <v>43.614100000000001</v>
      </c>
      <c r="D574" s="4">
        <f>56.4522 * CHOOSE(CONTROL!$C$10, $C$13, 100%, $E$13) + CHOOSE(CONTROL!$C$29, 0.0021, 0)</f>
        <v>56.454299999999996</v>
      </c>
      <c r="E574" s="4">
        <f>280.38732926956 * CHOOSE(CONTROL!$C$10, $C$13, 100%, $E$13) + CHOOSE(CONTROL!$C$29, 0.0021, 0)</f>
        <v>280.38942926955997</v>
      </c>
    </row>
    <row r="575" spans="1:5" ht="15">
      <c r="A575" s="13">
        <v>58653</v>
      </c>
      <c r="B575" s="4">
        <f>43.7293 * CHOOSE(CONTROL!$C$10, $C$13, 100%, $E$13) + CHOOSE(CONTROL!$C$29, 0.0274, 0)</f>
        <v>43.756700000000002</v>
      </c>
      <c r="C575" s="4">
        <f>43.573 * CHOOSE(CONTROL!$C$10, $C$13, 100%, $E$13) + CHOOSE(CONTROL!$C$29, 0.0274, 0)</f>
        <v>43.6004</v>
      </c>
      <c r="D575" s="4">
        <f>57.3508 * CHOOSE(CONTROL!$C$10, $C$13, 100%, $E$13) + CHOOSE(CONTROL!$C$29, 0.0021, 0)</f>
        <v>57.352899999999998</v>
      </c>
      <c r="E575" s="4">
        <f>280.298147549055 * CHOOSE(CONTROL!$C$10, $C$13, 100%, $E$13) + CHOOSE(CONTROL!$C$29, 0.0021, 0)</f>
        <v>280.30024754905497</v>
      </c>
    </row>
    <row r="576" spans="1:5" ht="15">
      <c r="A576" s="13">
        <v>58684</v>
      </c>
      <c r="B576" s="4">
        <f>44.7615 * CHOOSE(CONTROL!$C$10, $C$13, 100%, $E$13) + CHOOSE(CONTROL!$C$29, 0.0274, 0)</f>
        <v>44.788899999999998</v>
      </c>
      <c r="C576" s="4">
        <f>44.6052 * CHOOSE(CONTROL!$C$10, $C$13, 100%, $E$13) + CHOOSE(CONTROL!$C$29, 0.0274, 0)</f>
        <v>44.632600000000004</v>
      </c>
      <c r="D576" s="4">
        <f>56.7574 * CHOOSE(CONTROL!$C$10, $C$13, 100%, $E$13) + CHOOSE(CONTROL!$C$29, 0.0021, 0)</f>
        <v>56.759499999999996</v>
      </c>
      <c r="E576" s="4">
        <f>287.0090720171 * CHOOSE(CONTROL!$C$10, $C$13, 100%, $E$13) + CHOOSE(CONTROL!$C$29, 0.0021, 0)</f>
        <v>287.01117201709997</v>
      </c>
    </row>
    <row r="577" spans="1:5" ht="15">
      <c r="A577" s="13">
        <v>58714</v>
      </c>
      <c r="B577" s="4">
        <f>43.0023 * CHOOSE(CONTROL!$C$10, $C$13, 100%, $E$13) + CHOOSE(CONTROL!$C$29, 0.0274, 0)</f>
        <v>43.029699999999998</v>
      </c>
      <c r="C577" s="4">
        <f>42.846 * CHOOSE(CONTROL!$C$10, $C$13, 100%, $E$13) + CHOOSE(CONTROL!$C$29, 0.0274, 0)</f>
        <v>42.873399999999997</v>
      </c>
      <c r="D577" s="4">
        <f>56.477 * CHOOSE(CONTROL!$C$10, $C$13, 100%, $E$13) + CHOOSE(CONTROL!$C$29, 0.0021, 0)</f>
        <v>56.479099999999995</v>
      </c>
      <c r="E577" s="4">
        <f>275.571516362259 * CHOOSE(CONTROL!$C$10, $C$13, 100%, $E$13) + CHOOSE(CONTROL!$C$29, 0.0021, 0)</f>
        <v>275.57361636225897</v>
      </c>
    </row>
    <row r="578" spans="1:5" ht="15">
      <c r="A578" s="13">
        <v>58745</v>
      </c>
      <c r="B578" s="4">
        <f>41.594 * CHOOSE(CONTROL!$C$10, $C$13, 100%, $E$13) + CHOOSE(CONTROL!$C$29, 0.0274, 0)</f>
        <v>41.621400000000001</v>
      </c>
      <c r="C578" s="4">
        <f>41.4378 * CHOOSE(CONTROL!$C$10, $C$13, 100%, $E$13) + CHOOSE(CONTROL!$C$29, 0.0274, 0)</f>
        <v>41.465200000000003</v>
      </c>
      <c r="D578" s="4">
        <f>55.7263 * CHOOSE(CONTROL!$C$10, $C$13, 100%, $E$13) + CHOOSE(CONTROL!$C$29, 0.0021, 0)</f>
        <v>55.728400000000001</v>
      </c>
      <c r="E578" s="4">
        <f>266.415526390352 * CHOOSE(CONTROL!$C$10, $C$13, 100%, $E$13) + CHOOSE(CONTROL!$C$29, 0.0021, 0)</f>
        <v>266.41762639035198</v>
      </c>
    </row>
    <row r="579" spans="1:5" ht="15">
      <c r="A579" s="13">
        <v>58775</v>
      </c>
      <c r="B579" s="4">
        <f>40.687 * CHOOSE(CONTROL!$C$10, $C$13, 100%, $E$13) + CHOOSE(CONTROL!$C$29, 0.0274, 0)</f>
        <v>40.714399999999998</v>
      </c>
      <c r="C579" s="4">
        <f>40.5307 * CHOOSE(CONTROL!$C$10, $C$13, 100%, $E$13) + CHOOSE(CONTROL!$C$29, 0.0274, 0)</f>
        <v>40.558100000000003</v>
      </c>
      <c r="D579" s="4">
        <f>55.4682 * CHOOSE(CONTROL!$C$10, $C$13, 100%, $E$13) + CHOOSE(CONTROL!$C$29, 0.0021, 0)</f>
        <v>55.470300000000002</v>
      </c>
      <c r="E579" s="4">
        <f>260.51838512192 * CHOOSE(CONTROL!$C$10, $C$13, 100%, $E$13) + CHOOSE(CONTROL!$C$29, 0.0021, 0)</f>
        <v>260.52048512191999</v>
      </c>
    </row>
    <row r="580" spans="1:5" ht="15">
      <c r="A580" s="13">
        <v>58806</v>
      </c>
      <c r="B580" s="4">
        <f>40.0594 * CHOOSE(CONTROL!$C$10, $C$13, 100%, $E$13) + CHOOSE(CONTROL!$C$29, 0.0274, 0)</f>
        <v>40.086799999999997</v>
      </c>
      <c r="C580" s="4">
        <f>39.9032 * CHOOSE(CONTROL!$C$10, $C$13, 100%, $E$13) + CHOOSE(CONTROL!$C$29, 0.0274, 0)</f>
        <v>39.930599999999998</v>
      </c>
      <c r="D580" s="4">
        <f>53.5681 * CHOOSE(CONTROL!$C$10, $C$13, 100%, $E$13) + CHOOSE(CONTROL!$C$29, 0.0021, 0)</f>
        <v>53.5702</v>
      </c>
      <c r="E580" s="4">
        <f>256.438321408789 * CHOOSE(CONTROL!$C$10, $C$13, 100%, $E$13) + CHOOSE(CONTROL!$C$29, 0.0021, 0)</f>
        <v>256.44042140878901</v>
      </c>
    </row>
    <row r="581" spans="1:5" ht="15">
      <c r="A581" s="13">
        <v>58837</v>
      </c>
      <c r="B581" s="4">
        <f>38.4147 * CHOOSE(CONTROL!$C$10, $C$13, 100%, $E$13) + CHOOSE(CONTROL!$C$29, 0.0274, 0)</f>
        <v>38.442100000000003</v>
      </c>
      <c r="C581" s="4">
        <f>38.2584 * CHOOSE(CONTROL!$C$10, $C$13, 100%, $E$13) + CHOOSE(CONTROL!$C$29, 0.0274, 0)</f>
        <v>38.285800000000002</v>
      </c>
      <c r="D581" s="4">
        <f>51.3805 * CHOOSE(CONTROL!$C$10, $C$13, 100%, $E$13) + CHOOSE(CONTROL!$C$29, 0.0021, 0)</f>
        <v>51.382599999999996</v>
      </c>
      <c r="E581" s="4">
        <f>245.756623308043 * CHOOSE(CONTROL!$C$10, $C$13, 100%, $E$13) + CHOOSE(CONTROL!$C$29, 0.0021, 0)</f>
        <v>245.75872330804302</v>
      </c>
    </row>
    <row r="582" spans="1:5" ht="15">
      <c r="A582" s="13">
        <v>58865</v>
      </c>
      <c r="B582" s="4">
        <f>39.3121 * CHOOSE(CONTROL!$C$10, $C$13, 100%, $E$13) + CHOOSE(CONTROL!$C$29, 0.0274, 0)</f>
        <v>39.339500000000001</v>
      </c>
      <c r="C582" s="4">
        <f>39.1559 * CHOOSE(CONTROL!$C$10, $C$13, 100%, $E$13) + CHOOSE(CONTROL!$C$29, 0.0274, 0)</f>
        <v>39.183300000000003</v>
      </c>
      <c r="D582" s="4">
        <f>53.1235 * CHOOSE(CONTROL!$C$10, $C$13, 100%, $E$13) + CHOOSE(CONTROL!$C$29, 0.0021, 0)</f>
        <v>53.125599999999999</v>
      </c>
      <c r="E582" s="4">
        <f>251.591854049973 * CHOOSE(CONTROL!$C$10, $C$13, 100%, $E$13) + CHOOSE(CONTROL!$C$29, 0.0021, 0)</f>
        <v>251.59395404997301</v>
      </c>
    </row>
    <row r="583" spans="1:5" ht="15">
      <c r="A583" s="13">
        <v>58893</v>
      </c>
      <c r="B583" s="4">
        <f>41.6689 * CHOOSE(CONTROL!$C$10, $C$13, 100%, $E$13) + CHOOSE(CONTROL!$C$29, 0.0274, 0)</f>
        <v>41.696300000000001</v>
      </c>
      <c r="C583" s="4">
        <f>41.5127 * CHOOSE(CONTROL!$C$10, $C$13, 100%, $E$13) + CHOOSE(CONTROL!$C$29, 0.0274, 0)</f>
        <v>41.540100000000002</v>
      </c>
      <c r="D583" s="4">
        <f>55.8521 * CHOOSE(CONTROL!$C$10, $C$13, 100%, $E$13) + CHOOSE(CONTROL!$C$29, 0.0021, 0)</f>
        <v>55.854199999999999</v>
      </c>
      <c r="E583" s="4">
        <f>266.915480081275 * CHOOSE(CONTROL!$C$10, $C$13, 100%, $E$13) + CHOOSE(CONTROL!$C$29, 0.0021, 0)</f>
        <v>266.91758008127499</v>
      </c>
    </row>
    <row r="584" spans="1:5" ht="15">
      <c r="A584" s="13">
        <v>58926</v>
      </c>
      <c r="B584" s="4">
        <f>43.3434 * CHOOSE(CONTROL!$C$10, $C$13, 100%, $E$13) + CHOOSE(CONTROL!$C$29, 0.0274, 0)</f>
        <v>43.370800000000003</v>
      </c>
      <c r="C584" s="4">
        <f>43.1872 * CHOOSE(CONTROL!$C$10, $C$13, 100%, $E$13) + CHOOSE(CONTROL!$C$29, 0.0274, 0)</f>
        <v>43.214599999999997</v>
      </c>
      <c r="D584" s="4">
        <f>57.4238 * CHOOSE(CONTROL!$C$10, $C$13, 100%, $E$13) + CHOOSE(CONTROL!$C$29, 0.0021, 0)</f>
        <v>57.425899999999999</v>
      </c>
      <c r="E584" s="4">
        <f>277.803120590683 * CHOOSE(CONTROL!$C$10, $C$13, 100%, $E$13) + CHOOSE(CONTROL!$C$29, 0.0021, 0)</f>
        <v>277.80522059068301</v>
      </c>
    </row>
    <row r="585" spans="1:5" ht="15">
      <c r="A585" s="13">
        <v>58957</v>
      </c>
      <c r="B585" s="4">
        <f>44.3665 * CHOOSE(CONTROL!$C$10, $C$13, 100%, $E$13) + CHOOSE(CONTROL!$C$29, 0.0274, 0)</f>
        <v>44.393900000000002</v>
      </c>
      <c r="C585" s="4">
        <f>44.2103 * CHOOSE(CONTROL!$C$10, $C$13, 100%, $E$13) + CHOOSE(CONTROL!$C$29, 0.0274, 0)</f>
        <v>44.237699999999997</v>
      </c>
      <c r="D585" s="4">
        <f>56.8028 * CHOOSE(CONTROL!$C$10, $C$13, 100%, $E$13) + CHOOSE(CONTROL!$C$29, 0.0021, 0)</f>
        <v>56.804899999999996</v>
      </c>
      <c r="E585" s="4">
        <f>284.455208001606 * CHOOSE(CONTROL!$C$10, $C$13, 100%, $E$13) + CHOOSE(CONTROL!$C$29, 0.0021, 0)</f>
        <v>284.45730800160601</v>
      </c>
    </row>
    <row r="586" spans="1:5" ht="15">
      <c r="A586" s="13">
        <v>58987</v>
      </c>
      <c r="B586" s="4">
        <f>44.5049 * CHOOSE(CONTROL!$C$10, $C$13, 100%, $E$13) + CHOOSE(CONTROL!$C$29, 0.0274, 0)</f>
        <v>44.532299999999999</v>
      </c>
      <c r="C586" s="4">
        <f>44.3487 * CHOOSE(CONTROL!$C$10, $C$13, 100%, $E$13) + CHOOSE(CONTROL!$C$29, 0.0274, 0)</f>
        <v>44.376100000000001</v>
      </c>
      <c r="D586" s="4">
        <f>57.3086 * CHOOSE(CONTROL!$C$10, $C$13, 100%, $E$13) + CHOOSE(CONTROL!$C$29, 0.0021, 0)</f>
        <v>57.310699999999997</v>
      </c>
      <c r="E586" s="4">
        <f>285.355263035034 * CHOOSE(CONTROL!$C$10, $C$13, 100%, $E$13) + CHOOSE(CONTROL!$C$29, 0.0021, 0)</f>
        <v>285.35736303503398</v>
      </c>
    </row>
    <row r="587" spans="1:5" ht="15">
      <c r="A587" s="13">
        <v>59018</v>
      </c>
      <c r="B587" s="4">
        <f>44.491 * CHOOSE(CONTROL!$C$10, $C$13, 100%, $E$13) + CHOOSE(CONTROL!$C$29, 0.0274, 0)</f>
        <v>44.5184</v>
      </c>
      <c r="C587" s="4">
        <f>44.3347 * CHOOSE(CONTROL!$C$10, $C$13, 100%, $E$13) + CHOOSE(CONTROL!$C$29, 0.0274, 0)</f>
        <v>44.362099999999998</v>
      </c>
      <c r="D587" s="4">
        <f>58.2213 * CHOOSE(CONTROL!$C$10, $C$13, 100%, $E$13) + CHOOSE(CONTROL!$C$29, 0.0021, 0)</f>
        <v>58.223399999999998</v>
      </c>
      <c r="E587" s="4">
        <f>285.264501182924 * CHOOSE(CONTROL!$C$10, $C$13, 100%, $E$13) + CHOOSE(CONTROL!$C$29, 0.0021, 0)</f>
        <v>285.26660118292398</v>
      </c>
    </row>
    <row r="588" spans="1:5" ht="15">
      <c r="A588" s="13">
        <v>59049</v>
      </c>
      <c r="B588" s="4">
        <f>45.5414 * CHOOSE(CONTROL!$C$10, $C$13, 100%, $E$13) + CHOOSE(CONTROL!$C$29, 0.0274, 0)</f>
        <v>45.568800000000003</v>
      </c>
      <c r="C588" s="4">
        <f>45.3852 * CHOOSE(CONTROL!$C$10, $C$13, 100%, $E$13) + CHOOSE(CONTROL!$C$29, 0.0274, 0)</f>
        <v>45.412599999999998</v>
      </c>
      <c r="D588" s="4">
        <f>57.6185 * CHOOSE(CONTROL!$C$10, $C$13, 100%, $E$13) + CHOOSE(CONTROL!$C$29, 0.0021, 0)</f>
        <v>57.620599999999996</v>
      </c>
      <c r="E588" s="4">
        <f>292.09433055423 * CHOOSE(CONTROL!$C$10, $C$13, 100%, $E$13) + CHOOSE(CONTROL!$C$29, 0.0021, 0)</f>
        <v>292.09643055422998</v>
      </c>
    </row>
    <row r="589" spans="1:5" ht="15">
      <c r="A589" s="13">
        <v>59079</v>
      </c>
      <c r="B589" s="4">
        <f>43.7511 * CHOOSE(CONTROL!$C$10, $C$13, 100%, $E$13) + CHOOSE(CONTROL!$C$29, 0.0274, 0)</f>
        <v>43.778500000000001</v>
      </c>
      <c r="C589" s="4">
        <f>43.5949 * CHOOSE(CONTROL!$C$10, $C$13, 100%, $E$13) + CHOOSE(CONTROL!$C$29, 0.0274, 0)</f>
        <v>43.622300000000003</v>
      </c>
      <c r="D589" s="4">
        <f>57.3337 * CHOOSE(CONTROL!$C$10, $C$13, 100%, $E$13) + CHOOSE(CONTROL!$C$29, 0.0021, 0)</f>
        <v>57.335799999999999</v>
      </c>
      <c r="E589" s="4">
        <f>280.454123021074 * CHOOSE(CONTROL!$C$10, $C$13, 100%, $E$13) + CHOOSE(CONTROL!$C$29, 0.0021, 0)</f>
        <v>280.45622302107398</v>
      </c>
    </row>
    <row r="590" spans="1:5" ht="15">
      <c r="A590" s="13">
        <v>59110</v>
      </c>
      <c r="B590" s="4">
        <f>42.318 * CHOOSE(CONTROL!$C$10, $C$13, 100%, $E$13) + CHOOSE(CONTROL!$C$29, 0.0274, 0)</f>
        <v>42.345399999999998</v>
      </c>
      <c r="C590" s="4">
        <f>42.1618 * CHOOSE(CONTROL!$C$10, $C$13, 100%, $E$13) + CHOOSE(CONTROL!$C$29, 0.0274, 0)</f>
        <v>42.1892</v>
      </c>
      <c r="D590" s="4">
        <f>56.5712 * CHOOSE(CONTROL!$C$10, $C$13, 100%, $E$13) + CHOOSE(CONTROL!$C$29, 0.0021, 0)</f>
        <v>56.573299999999996</v>
      </c>
      <c r="E590" s="4">
        <f>271.135906204408 * CHOOSE(CONTROL!$C$10, $C$13, 100%, $E$13) + CHOOSE(CONTROL!$C$29, 0.0021, 0)</f>
        <v>271.13800620440799</v>
      </c>
    </row>
    <row r="591" spans="1:5" ht="15">
      <c r="A591" s="13">
        <v>59140</v>
      </c>
      <c r="B591" s="4">
        <f>41.395 * CHOOSE(CONTROL!$C$10, $C$13, 100%, $E$13) + CHOOSE(CONTROL!$C$29, 0.0274, 0)</f>
        <v>41.422400000000003</v>
      </c>
      <c r="C591" s="4">
        <f>41.2387 * CHOOSE(CONTROL!$C$10, $C$13, 100%, $E$13) + CHOOSE(CONTROL!$C$29, 0.0274, 0)</f>
        <v>41.266100000000002</v>
      </c>
      <c r="D591" s="4">
        <f>56.3091 * CHOOSE(CONTROL!$C$10, $C$13, 100%, $E$13) + CHOOSE(CONTROL!$C$29, 0.0021, 0)</f>
        <v>56.311199999999999</v>
      </c>
      <c r="E591" s="4">
        <f>265.134278733609 * CHOOSE(CONTROL!$C$10, $C$13, 100%, $E$13) + CHOOSE(CONTROL!$C$29, 0.0021, 0)</f>
        <v>265.13637873360898</v>
      </c>
    </row>
    <row r="592" spans="1:5" ht="15">
      <c r="A592" s="13">
        <v>59171</v>
      </c>
      <c r="B592" s="4">
        <f>40.7563 * CHOOSE(CONTROL!$C$10, $C$13, 100%, $E$13) + CHOOSE(CONTROL!$C$29, 0.0274, 0)</f>
        <v>40.783700000000003</v>
      </c>
      <c r="C592" s="4">
        <f>40.6001 * CHOOSE(CONTROL!$C$10, $C$13, 100%, $E$13) + CHOOSE(CONTROL!$C$29, 0.0274, 0)</f>
        <v>40.627499999999998</v>
      </c>
      <c r="D592" s="4">
        <f>54.3791 * CHOOSE(CONTROL!$C$10, $C$13, 100%, $E$13) + CHOOSE(CONTROL!$C$29, 0.0021, 0)</f>
        <v>54.3812</v>
      </c>
      <c r="E592" s="4">
        <f>260.981923999559 * CHOOSE(CONTROL!$C$10, $C$13, 100%, $E$13) + CHOOSE(CONTROL!$C$29, 0.0021, 0)</f>
        <v>260.98402399955899</v>
      </c>
    </row>
    <row r="593" spans="1:5" ht="15">
      <c r="A593" s="13">
        <v>59202</v>
      </c>
      <c r="B593" s="4">
        <f>39.0825 * CHOOSE(CONTROL!$C$10, $C$13, 100%, $E$13) + CHOOSE(CONTROL!$C$29, 0.0274, 0)</f>
        <v>39.109900000000003</v>
      </c>
      <c r="C593" s="4">
        <f>38.9262 * CHOOSE(CONTROL!$C$10, $C$13, 100%, $E$13) + CHOOSE(CONTROL!$C$29, 0.0274, 0)</f>
        <v>38.953600000000002</v>
      </c>
      <c r="D593" s="4">
        <f>52.1571 * CHOOSE(CONTROL!$C$10, $C$13, 100%, $E$13) + CHOOSE(CONTROL!$C$29, 0.0021, 0)</f>
        <v>52.159199999999998</v>
      </c>
      <c r="E593" s="4">
        <f>250.110966388386 * CHOOSE(CONTROL!$C$10, $C$13, 100%, $E$13) + CHOOSE(CONTROL!$C$29, 0.0021, 0)</f>
        <v>250.11306638838602</v>
      </c>
    </row>
    <row r="594" spans="1:5" ht="15">
      <c r="A594" s="13">
        <v>59230</v>
      </c>
      <c r="B594" s="4">
        <f>39.9958 * CHOOSE(CONTROL!$C$10, $C$13, 100%, $E$13) + CHOOSE(CONTROL!$C$29, 0.0274, 0)</f>
        <v>40.023200000000003</v>
      </c>
      <c r="C594" s="4">
        <f>39.8395 * CHOOSE(CONTROL!$C$10, $C$13, 100%, $E$13) + CHOOSE(CONTROL!$C$29, 0.0274, 0)</f>
        <v>39.866900000000001</v>
      </c>
      <c r="D594" s="4">
        <f>53.9275 * CHOOSE(CONTROL!$C$10, $C$13, 100%, $E$13) + CHOOSE(CONTROL!$C$29, 0.0021, 0)</f>
        <v>53.929600000000001</v>
      </c>
      <c r="E594" s="4">
        <f>256.049586395115 * CHOOSE(CONTROL!$C$10, $C$13, 100%, $E$13) + CHOOSE(CONTROL!$C$29, 0.0021, 0)</f>
        <v>256.05168639511498</v>
      </c>
    </row>
    <row r="595" spans="1:5" ht="15">
      <c r="A595" s="13">
        <v>59261</v>
      </c>
      <c r="B595" s="4">
        <f>42.3942 * CHOOSE(CONTROL!$C$10, $C$13, 100%, $E$13) + CHOOSE(CONTROL!$C$29, 0.0274, 0)</f>
        <v>42.421599999999998</v>
      </c>
      <c r="C595" s="4">
        <f>42.238 * CHOOSE(CONTROL!$C$10, $C$13, 100%, $E$13) + CHOOSE(CONTROL!$C$29, 0.0274, 0)</f>
        <v>42.2654</v>
      </c>
      <c r="D595" s="4">
        <f>56.699 * CHOOSE(CONTROL!$C$10, $C$13, 100%, $E$13) + CHOOSE(CONTROL!$C$29, 0.0021, 0)</f>
        <v>56.701099999999997</v>
      </c>
      <c r="E595" s="4">
        <f>271.644718130219 * CHOOSE(CONTROL!$C$10, $C$13, 100%, $E$13) + CHOOSE(CONTROL!$C$29, 0.0021, 0)</f>
        <v>271.646818130219</v>
      </c>
    </row>
    <row r="596" spans="1:5" ht="15">
      <c r="A596" s="13">
        <v>59291</v>
      </c>
      <c r="B596" s="4">
        <f>44.0983 * CHOOSE(CONTROL!$C$10, $C$13, 100%, $E$13) + CHOOSE(CONTROL!$C$29, 0.0274, 0)</f>
        <v>44.125700000000002</v>
      </c>
      <c r="C596" s="4">
        <f>43.9421 * CHOOSE(CONTROL!$C$10, $C$13, 100%, $E$13) + CHOOSE(CONTROL!$C$29, 0.0274, 0)</f>
        <v>43.969500000000004</v>
      </c>
      <c r="D596" s="4">
        <f>58.2955 * CHOOSE(CONTROL!$C$10, $C$13, 100%, $E$13) + CHOOSE(CONTROL!$C$29, 0.0021, 0)</f>
        <v>58.297599999999996</v>
      </c>
      <c r="E596" s="4">
        <f>282.725267060467 * CHOOSE(CONTROL!$C$10, $C$13, 100%, $E$13) + CHOOSE(CONTROL!$C$29, 0.0021, 0)</f>
        <v>282.72736706046697</v>
      </c>
    </row>
    <row r="597" spans="1:5" ht="15">
      <c r="A597" s="13">
        <v>59322</v>
      </c>
      <c r="B597" s="4">
        <f>45.1395 * CHOOSE(CONTROL!$C$10, $C$13, 100%, $E$13) + CHOOSE(CONTROL!$C$29, 0.0274, 0)</f>
        <v>45.166899999999998</v>
      </c>
      <c r="C597" s="4">
        <f>44.9832 * CHOOSE(CONTROL!$C$10, $C$13, 100%, $E$13) + CHOOSE(CONTROL!$C$29, 0.0274, 0)</f>
        <v>45.010599999999997</v>
      </c>
      <c r="D597" s="4">
        <f>57.6646 * CHOOSE(CONTROL!$C$10, $C$13, 100%, $E$13) + CHOOSE(CONTROL!$C$29, 0.0021, 0)</f>
        <v>57.666699999999999</v>
      </c>
      <c r="E597" s="4">
        <f>289.495216893154 * CHOOSE(CONTROL!$C$10, $C$13, 100%, $E$13) + CHOOSE(CONTROL!$C$29, 0.0021, 0)</f>
        <v>289.49731689315399</v>
      </c>
    </row>
    <row r="598" spans="1:5" ht="15">
      <c r="A598" s="13">
        <v>59352</v>
      </c>
      <c r="B598" s="4">
        <f>45.2804 * CHOOSE(CONTROL!$C$10, $C$13, 100%, $E$13) + CHOOSE(CONTROL!$C$29, 0.0274, 0)</f>
        <v>45.3078</v>
      </c>
      <c r="C598" s="4">
        <f>45.1241 * CHOOSE(CONTROL!$C$10, $C$13, 100%, $E$13) + CHOOSE(CONTROL!$C$29, 0.0274, 0)</f>
        <v>45.151499999999999</v>
      </c>
      <c r="D598" s="4">
        <f>58.1784 * CHOOSE(CONTROL!$C$10, $C$13, 100%, $E$13) + CHOOSE(CONTROL!$C$29, 0.0021, 0)</f>
        <v>58.180500000000002</v>
      </c>
      <c r="E598" s="4">
        <f>290.411219201386 * CHOOSE(CONTROL!$C$10, $C$13, 100%, $E$13) + CHOOSE(CONTROL!$C$29, 0.0021, 0)</f>
        <v>290.413319201386</v>
      </c>
    </row>
    <row r="599" spans="1:5" ht="15">
      <c r="A599" s="13">
        <v>59383</v>
      </c>
      <c r="B599" s="4">
        <f>45.2662 * CHOOSE(CONTROL!$C$10, $C$13, 100%, $E$13) + CHOOSE(CONTROL!$C$29, 0.0274, 0)</f>
        <v>45.293599999999998</v>
      </c>
      <c r="C599" s="4">
        <f>45.1099 * CHOOSE(CONTROL!$C$10, $C$13, 100%, $E$13) + CHOOSE(CONTROL!$C$29, 0.0274, 0)</f>
        <v>45.137300000000003</v>
      </c>
      <c r="D599" s="4">
        <f>59.1054 * CHOOSE(CONTROL!$C$10, $C$13, 100%, $E$13) + CHOOSE(CONTROL!$C$29, 0.0021, 0)</f>
        <v>59.107500000000002</v>
      </c>
      <c r="E599" s="4">
        <f>290.318849220724 * CHOOSE(CONTROL!$C$10, $C$13, 100%, $E$13) + CHOOSE(CONTROL!$C$29, 0.0021, 0)</f>
        <v>290.320949220724</v>
      </c>
    </row>
    <row r="600" spans="1:5" ht="15">
      <c r="A600" s="13">
        <v>59414</v>
      </c>
      <c r="B600" s="4">
        <f>46.3352 * CHOOSE(CONTROL!$C$10, $C$13, 100%, $E$13) + CHOOSE(CONTROL!$C$29, 0.0274, 0)</f>
        <v>46.3626</v>
      </c>
      <c r="C600" s="4">
        <f>46.1789 * CHOOSE(CONTROL!$C$10, $C$13, 100%, $E$13) + CHOOSE(CONTROL!$C$29, 0.0274, 0)</f>
        <v>46.206299999999999</v>
      </c>
      <c r="D600" s="4">
        <f>58.4932 * CHOOSE(CONTROL!$C$10, $C$13, 100%, $E$13) + CHOOSE(CONTROL!$C$29, 0.0021, 0)</f>
        <v>58.4953</v>
      </c>
      <c r="E600" s="4">
        <f>297.269690265541 * CHOOSE(CONTROL!$C$10, $C$13, 100%, $E$13) + CHOOSE(CONTROL!$C$29, 0.0021, 0)</f>
        <v>297.27179026554097</v>
      </c>
    </row>
    <row r="601" spans="1:5" ht="15">
      <c r="A601" s="13">
        <v>59444</v>
      </c>
      <c r="B601" s="4">
        <f>44.5133 * CHOOSE(CONTROL!$C$10, $C$13, 100%, $E$13) + CHOOSE(CONTROL!$C$29, 0.0274, 0)</f>
        <v>44.540700000000001</v>
      </c>
      <c r="C601" s="4">
        <f>44.357 * CHOOSE(CONTROL!$C$10, $C$13, 100%, $E$13) + CHOOSE(CONTROL!$C$29, 0.0274, 0)</f>
        <v>44.384399999999999</v>
      </c>
      <c r="D601" s="4">
        <f>58.2039 * CHOOSE(CONTROL!$C$10, $C$13, 100%, $E$13) + CHOOSE(CONTROL!$C$29, 0.0021, 0)</f>
        <v>58.205999999999996</v>
      </c>
      <c r="E601" s="4">
        <f>285.423240245637 * CHOOSE(CONTROL!$C$10, $C$13, 100%, $E$13) + CHOOSE(CONTROL!$C$29, 0.0021, 0)</f>
        <v>285.42534024563696</v>
      </c>
    </row>
    <row r="602" spans="1:5" ht="15">
      <c r="A602" s="13">
        <v>59475</v>
      </c>
      <c r="B602" s="4">
        <f>43.0548 * CHOOSE(CONTROL!$C$10, $C$13, 100%, $E$13) + CHOOSE(CONTROL!$C$29, 0.0274, 0)</f>
        <v>43.0822</v>
      </c>
      <c r="C602" s="4">
        <f>42.8985 * CHOOSE(CONTROL!$C$10, $C$13, 100%, $E$13) + CHOOSE(CONTROL!$C$29, 0.0274, 0)</f>
        <v>42.925899999999999</v>
      </c>
      <c r="D602" s="4">
        <f>57.4294 * CHOOSE(CONTROL!$C$10, $C$13, 100%, $E$13) + CHOOSE(CONTROL!$C$29, 0.0021, 0)</f>
        <v>57.4315</v>
      </c>
      <c r="E602" s="4">
        <f>275.939922231003 * CHOOSE(CONTROL!$C$10, $C$13, 100%, $E$13) + CHOOSE(CONTROL!$C$29, 0.0021, 0)</f>
        <v>275.94202223100297</v>
      </c>
    </row>
    <row r="603" spans="1:5" ht="15">
      <c r="A603" s="13">
        <v>59505</v>
      </c>
      <c r="B603" s="4">
        <f>42.1154 * CHOOSE(CONTROL!$C$10, $C$13, 100%, $E$13) + CHOOSE(CONTROL!$C$29, 0.0274, 0)</f>
        <v>42.142800000000001</v>
      </c>
      <c r="C603" s="4">
        <f>41.9592 * CHOOSE(CONTROL!$C$10, $C$13, 100%, $E$13) + CHOOSE(CONTROL!$C$29, 0.0274, 0)</f>
        <v>41.986600000000003</v>
      </c>
      <c r="D603" s="4">
        <f>57.1632 * CHOOSE(CONTROL!$C$10, $C$13, 100%, $E$13) + CHOOSE(CONTROL!$C$29, 0.0021, 0)</f>
        <v>57.165300000000002</v>
      </c>
      <c r="E603" s="4">
        <f>269.831957259727 * CHOOSE(CONTROL!$C$10, $C$13, 100%, $E$13) + CHOOSE(CONTROL!$C$29, 0.0021, 0)</f>
        <v>269.83405725972699</v>
      </c>
    </row>
    <row r="604" spans="1:5" ht="15">
      <c r="A604" s="13">
        <v>59536</v>
      </c>
      <c r="B604" s="4">
        <f>41.4655 * CHOOSE(CONTROL!$C$10, $C$13, 100%, $E$13) + CHOOSE(CONTROL!$C$29, 0.0274, 0)</f>
        <v>41.492899999999999</v>
      </c>
      <c r="C604" s="4">
        <f>41.3093 * CHOOSE(CONTROL!$C$10, $C$13, 100%, $E$13) + CHOOSE(CONTROL!$C$29, 0.0274, 0)</f>
        <v>41.3367</v>
      </c>
      <c r="D604" s="4">
        <f>55.2028 * CHOOSE(CONTROL!$C$10, $C$13, 100%, $E$13) + CHOOSE(CONTROL!$C$29, 0.0021, 0)</f>
        <v>55.204900000000002</v>
      </c>
      <c r="E604" s="4">
        <f>265.60603064444 * CHOOSE(CONTROL!$C$10, $C$13, 100%, $E$13) + CHOOSE(CONTROL!$C$29, 0.0021, 0)</f>
        <v>265.60813064444</v>
      </c>
    </row>
    <row r="605" spans="1:5" ht="15">
      <c r="A605" s="13">
        <v>59567</v>
      </c>
      <c r="B605" s="4">
        <f>39.7621 * CHOOSE(CONTROL!$C$10, $C$13, 100%, $E$13) + CHOOSE(CONTROL!$C$29, 0.0274, 0)</f>
        <v>39.789499999999997</v>
      </c>
      <c r="C605" s="4">
        <f>39.6058 * CHOOSE(CONTROL!$C$10, $C$13, 100%, $E$13) + CHOOSE(CONTROL!$C$29, 0.0274, 0)</f>
        <v>39.633200000000002</v>
      </c>
      <c r="D605" s="4">
        <f>52.9459 * CHOOSE(CONTROL!$C$10, $C$13, 100%, $E$13) + CHOOSE(CONTROL!$C$29, 0.0021, 0)</f>
        <v>52.948</v>
      </c>
      <c r="E605" s="4">
        <f>254.542460201866 * CHOOSE(CONTROL!$C$10, $C$13, 100%, $E$13) + CHOOSE(CONTROL!$C$29, 0.0021, 0)</f>
        <v>254.54456020186601</v>
      </c>
    </row>
    <row r="606" spans="1:5" ht="15">
      <c r="A606" s="13">
        <v>59595</v>
      </c>
      <c r="B606" s="4">
        <f>40.6915 * CHOOSE(CONTROL!$C$10, $C$13, 100%, $E$13) + CHOOSE(CONTROL!$C$29, 0.0274, 0)</f>
        <v>40.718899999999998</v>
      </c>
      <c r="C606" s="4">
        <f>40.5353 * CHOOSE(CONTROL!$C$10, $C$13, 100%, $E$13) + CHOOSE(CONTROL!$C$29, 0.0274, 0)</f>
        <v>40.5627</v>
      </c>
      <c r="D606" s="4">
        <f>54.7442 * CHOOSE(CONTROL!$C$10, $C$13, 100%, $E$13) + CHOOSE(CONTROL!$C$29, 0.0021, 0)</f>
        <v>54.746299999999998</v>
      </c>
      <c r="E606" s="4">
        <f>260.586301335843 * CHOOSE(CONTROL!$C$10, $C$13, 100%, $E$13) + CHOOSE(CONTROL!$C$29, 0.0021, 0)</f>
        <v>260.588401335843</v>
      </c>
    </row>
    <row r="607" spans="1:5" ht="15">
      <c r="A607" s="13">
        <v>59626</v>
      </c>
      <c r="B607" s="4">
        <f>43.1323 * CHOOSE(CONTROL!$C$10, $C$13, 100%, $E$13) + CHOOSE(CONTROL!$C$29, 0.0274, 0)</f>
        <v>43.159700000000001</v>
      </c>
      <c r="C607" s="4">
        <f>42.9761 * CHOOSE(CONTROL!$C$10, $C$13, 100%, $E$13) + CHOOSE(CONTROL!$C$29, 0.0274, 0)</f>
        <v>43.003500000000003</v>
      </c>
      <c r="D607" s="4">
        <f>57.5592 * CHOOSE(CONTROL!$C$10, $C$13, 100%, $E$13) + CHOOSE(CONTROL!$C$29, 0.0021, 0)</f>
        <v>57.561299999999996</v>
      </c>
      <c r="E607" s="4">
        <f>276.45774934289 * CHOOSE(CONTROL!$C$10, $C$13, 100%, $E$13) + CHOOSE(CONTROL!$C$29, 0.0021, 0)</f>
        <v>276.45984934288998</v>
      </c>
    </row>
    <row r="608" spans="1:5" ht="15">
      <c r="A608" s="13">
        <v>59656</v>
      </c>
      <c r="B608" s="4">
        <f>44.8666 * CHOOSE(CONTROL!$C$10, $C$13, 100%, $E$13) + CHOOSE(CONTROL!$C$29, 0.0274, 0)</f>
        <v>44.893999999999998</v>
      </c>
      <c r="C608" s="4">
        <f>44.7103 * CHOOSE(CONTROL!$C$10, $C$13, 100%, $E$13) + CHOOSE(CONTROL!$C$29, 0.0274, 0)</f>
        <v>44.737699999999997</v>
      </c>
      <c r="D608" s="4">
        <f>59.1808 * CHOOSE(CONTROL!$C$10, $C$13, 100%, $E$13) + CHOOSE(CONTROL!$C$29, 0.0021, 0)</f>
        <v>59.182899999999997</v>
      </c>
      <c r="E608" s="4">
        <f>287.734624666752 * CHOOSE(CONTROL!$C$10, $C$13, 100%, $E$13) + CHOOSE(CONTROL!$C$29, 0.0021, 0)</f>
        <v>287.73672466675197</v>
      </c>
    </row>
    <row r="609" spans="1:5" ht="15">
      <c r="A609" s="13">
        <v>59687</v>
      </c>
      <c r="B609" s="4">
        <f>45.9261 * CHOOSE(CONTROL!$C$10, $C$13, 100%, $E$13) + CHOOSE(CONTROL!$C$29, 0.0274, 0)</f>
        <v>45.953499999999998</v>
      </c>
      <c r="C609" s="4">
        <f>45.7699 * CHOOSE(CONTROL!$C$10, $C$13, 100%, $E$13) + CHOOSE(CONTROL!$C$29, 0.0274, 0)</f>
        <v>45.7973</v>
      </c>
      <c r="D609" s="4">
        <f>58.54 * CHOOSE(CONTROL!$C$10, $C$13, 100%, $E$13) + CHOOSE(CONTROL!$C$29, 0.0021, 0)</f>
        <v>58.542099999999998</v>
      </c>
      <c r="E609" s="4">
        <f>294.62452522065 * CHOOSE(CONTROL!$C$10, $C$13, 100%, $E$13) + CHOOSE(CONTROL!$C$29, 0.0021, 0)</f>
        <v>294.62662522065</v>
      </c>
    </row>
    <row r="610" spans="1:5" ht="15">
      <c r="A610" s="13">
        <v>59717</v>
      </c>
      <c r="B610" s="4">
        <f>46.0695 * CHOOSE(CONTROL!$C$10, $C$13, 100%, $E$13) + CHOOSE(CONTROL!$C$29, 0.0274, 0)</f>
        <v>46.096899999999998</v>
      </c>
      <c r="C610" s="4">
        <f>45.9132 * CHOOSE(CONTROL!$C$10, $C$13, 100%, $E$13) + CHOOSE(CONTROL!$C$29, 0.0274, 0)</f>
        <v>45.940600000000003</v>
      </c>
      <c r="D610" s="4">
        <f>59.0619 * CHOOSE(CONTROL!$C$10, $C$13, 100%, $E$13) + CHOOSE(CONTROL!$C$29, 0.0021, 0)</f>
        <v>59.064</v>
      </c>
      <c r="E610" s="4">
        <f>295.556757359267 * CHOOSE(CONTROL!$C$10, $C$13, 100%, $E$13) + CHOOSE(CONTROL!$C$29, 0.0021, 0)</f>
        <v>295.55885735926699</v>
      </c>
    </row>
    <row r="611" spans="1:5" ht="15">
      <c r="A611" s="13">
        <v>59748</v>
      </c>
      <c r="B611" s="4">
        <f>46.055 * CHOOSE(CONTROL!$C$10, $C$13, 100%, $E$13) + CHOOSE(CONTROL!$C$29, 0.0274, 0)</f>
        <v>46.0824</v>
      </c>
      <c r="C611" s="4">
        <f>45.8988 * CHOOSE(CONTROL!$C$10, $C$13, 100%, $E$13) + CHOOSE(CONTROL!$C$29, 0.0274, 0)</f>
        <v>45.926200000000001</v>
      </c>
      <c r="D611" s="4">
        <f>60.0035 * CHOOSE(CONTROL!$C$10, $C$13, 100%, $E$13) + CHOOSE(CONTROL!$C$29, 0.0021, 0)</f>
        <v>60.005600000000001</v>
      </c>
      <c r="E611" s="4">
        <f>295.462750757054 * CHOOSE(CONTROL!$C$10, $C$13, 100%, $E$13) + CHOOSE(CONTROL!$C$29, 0.0021, 0)</f>
        <v>295.46485075705397</v>
      </c>
    </row>
    <row r="612" spans="1:5" ht="15">
      <c r="A612" s="13">
        <v>59779</v>
      </c>
      <c r="B612" s="4">
        <f>47.1429 * CHOOSE(CONTROL!$C$10, $C$13, 100%, $E$13) + CHOOSE(CONTROL!$C$29, 0.0274, 0)</f>
        <v>47.170299999999997</v>
      </c>
      <c r="C612" s="4">
        <f>46.9867 * CHOOSE(CONTROL!$C$10, $C$13, 100%, $E$13) + CHOOSE(CONTROL!$C$29, 0.0274, 0)</f>
        <v>47.014099999999999</v>
      </c>
      <c r="D612" s="4">
        <f>59.3816 * CHOOSE(CONTROL!$C$10, $C$13, 100%, $E$13) + CHOOSE(CONTROL!$C$29, 0.0021, 0)</f>
        <v>59.383699999999997</v>
      </c>
      <c r="E612" s="4">
        <f>302.53674757362 * CHOOSE(CONTROL!$C$10, $C$13, 100%, $E$13) + CHOOSE(CONTROL!$C$29, 0.0021, 0)</f>
        <v>302.53884757361999</v>
      </c>
    </row>
    <row r="613" spans="1:5" ht="15">
      <c r="A613" s="13">
        <v>59809</v>
      </c>
      <c r="B613" s="4">
        <f>45.2888 * CHOOSE(CONTROL!$C$10, $C$13, 100%, $E$13) + CHOOSE(CONTROL!$C$29, 0.0274, 0)</f>
        <v>45.316200000000002</v>
      </c>
      <c r="C613" s="4">
        <f>45.1326 * CHOOSE(CONTROL!$C$10, $C$13, 100%, $E$13) + CHOOSE(CONTROL!$C$29, 0.0274, 0)</f>
        <v>45.16</v>
      </c>
      <c r="D613" s="4">
        <f>59.0878 * CHOOSE(CONTROL!$C$10, $C$13, 100%, $E$13) + CHOOSE(CONTROL!$C$29, 0.0021, 0)</f>
        <v>59.0899</v>
      </c>
      <c r="E613" s="4">
        <f>290.480400839738 * CHOOSE(CONTROL!$C$10, $C$13, 100%, $E$13) + CHOOSE(CONTROL!$C$29, 0.0021, 0)</f>
        <v>290.48250083973801</v>
      </c>
    </row>
    <row r="614" spans="1:5" ht="15">
      <c r="A614" s="13">
        <v>59840</v>
      </c>
      <c r="B614" s="4">
        <f>43.8046 * CHOOSE(CONTROL!$C$10, $C$13, 100%, $E$13) + CHOOSE(CONTROL!$C$29, 0.0274, 0)</f>
        <v>43.832000000000001</v>
      </c>
      <c r="C614" s="4">
        <f>43.6483 * CHOOSE(CONTROL!$C$10, $C$13, 100%, $E$13) + CHOOSE(CONTROL!$C$29, 0.0274, 0)</f>
        <v>43.675699999999999</v>
      </c>
      <c r="D614" s="4">
        <f>58.3011 * CHOOSE(CONTROL!$C$10, $C$13, 100%, $E$13) + CHOOSE(CONTROL!$C$29, 0.0021, 0)</f>
        <v>58.303199999999997</v>
      </c>
      <c r="E614" s="4">
        <f>280.829056345818 * CHOOSE(CONTROL!$C$10, $C$13, 100%, $E$13) + CHOOSE(CONTROL!$C$29, 0.0021, 0)</f>
        <v>280.83115634581799</v>
      </c>
    </row>
    <row r="615" spans="1:5" ht="15">
      <c r="A615" s="13">
        <v>59870</v>
      </c>
      <c r="B615" s="4">
        <f>42.8486 * CHOOSE(CONTROL!$C$10, $C$13, 100%, $E$13) + CHOOSE(CONTROL!$C$29, 0.0274, 0)</f>
        <v>42.875999999999998</v>
      </c>
      <c r="C615" s="4">
        <f>42.6924 * CHOOSE(CONTROL!$C$10, $C$13, 100%, $E$13) + CHOOSE(CONTROL!$C$29, 0.0274, 0)</f>
        <v>42.719799999999999</v>
      </c>
      <c r="D615" s="4">
        <f>58.0307 * CHOOSE(CONTROL!$C$10, $C$13, 100%, $E$13) + CHOOSE(CONTROL!$C$29, 0.0021, 0)</f>
        <v>58.032800000000002</v>
      </c>
      <c r="E615" s="4">
        <f>274.61286977445 * CHOOSE(CONTROL!$C$10, $C$13, 100%, $E$13) + CHOOSE(CONTROL!$C$29, 0.0021, 0)</f>
        <v>274.61496977445</v>
      </c>
    </row>
    <row r="616" spans="1:5" ht="15">
      <c r="A616" s="13">
        <v>59901</v>
      </c>
      <c r="B616" s="4">
        <f>42.1872 * CHOOSE(CONTROL!$C$10, $C$13, 100%, $E$13) + CHOOSE(CONTROL!$C$29, 0.0274, 0)</f>
        <v>42.214599999999997</v>
      </c>
      <c r="C616" s="4">
        <f>42.031 * CHOOSE(CONTROL!$C$10, $C$13, 100%, $E$13) + CHOOSE(CONTROL!$C$29, 0.0274, 0)</f>
        <v>42.058399999999999</v>
      </c>
      <c r="D616" s="4">
        <f>56.0395 * CHOOSE(CONTROL!$C$10, $C$13, 100%, $E$13) + CHOOSE(CONTROL!$C$29, 0.0021, 0)</f>
        <v>56.041599999999995</v>
      </c>
      <c r="E616" s="4">
        <f>270.312067723182 * CHOOSE(CONTROL!$C$10, $C$13, 100%, $E$13) + CHOOSE(CONTROL!$C$29, 0.0021, 0)</f>
        <v>270.31416772318198</v>
      </c>
    </row>
    <row r="617" spans="1:5" ht="15">
      <c r="A617" s="13">
        <v>59932</v>
      </c>
      <c r="B617" s="4">
        <f>40.4537 * CHOOSE(CONTROL!$C$10, $C$13, 100%, $E$13) + CHOOSE(CONTROL!$C$29, 0.0274, 0)</f>
        <v>40.481099999999998</v>
      </c>
      <c r="C617" s="4">
        <f>40.2975 * CHOOSE(CONTROL!$C$10, $C$13, 100%, $E$13) + CHOOSE(CONTROL!$C$29, 0.0274, 0)</f>
        <v>40.3249</v>
      </c>
      <c r="D617" s="4">
        <f>53.7471 * CHOOSE(CONTROL!$C$10, $C$13, 100%, $E$13) + CHOOSE(CONTROL!$C$29, 0.0021, 0)</f>
        <v>53.749200000000002</v>
      </c>
      <c r="E617" s="4">
        <f>259.052471713719 * CHOOSE(CONTROL!$C$10, $C$13, 100%, $E$13) + CHOOSE(CONTROL!$C$29, 0.0021, 0)</f>
        <v>259.05457171371899</v>
      </c>
    </row>
    <row r="618" spans="1:5" ht="15">
      <c r="A618" s="13">
        <v>59961</v>
      </c>
      <c r="B618" s="4">
        <f>41.3996 * CHOOSE(CONTROL!$C$10, $C$13, 100%, $E$13) + CHOOSE(CONTROL!$C$29, 0.0274, 0)</f>
        <v>41.427</v>
      </c>
      <c r="C618" s="4">
        <f>41.2433 * CHOOSE(CONTROL!$C$10, $C$13, 100%, $E$13) + CHOOSE(CONTROL!$C$29, 0.0274, 0)</f>
        <v>41.270699999999998</v>
      </c>
      <c r="D618" s="4">
        <f>55.5737 * CHOOSE(CONTROL!$C$10, $C$13, 100%, $E$13) + CHOOSE(CONTROL!$C$29, 0.0021, 0)</f>
        <v>55.575800000000001</v>
      </c>
      <c r="E618" s="4">
        <f>265.203398294535 * CHOOSE(CONTROL!$C$10, $C$13, 100%, $E$13) + CHOOSE(CONTROL!$C$29, 0.0021, 0)</f>
        <v>265.205498294535</v>
      </c>
    </row>
    <row r="619" spans="1:5" ht="15">
      <c r="A619" s="13">
        <v>59992</v>
      </c>
      <c r="B619" s="4">
        <f>43.8835 * CHOOSE(CONTROL!$C$10, $C$13, 100%, $E$13) + CHOOSE(CONTROL!$C$29, 0.0274, 0)</f>
        <v>43.910899999999998</v>
      </c>
      <c r="C619" s="4">
        <f>43.7273 * CHOOSE(CONTROL!$C$10, $C$13, 100%, $E$13) + CHOOSE(CONTROL!$C$29, 0.0274, 0)</f>
        <v>43.7547</v>
      </c>
      <c r="D619" s="4">
        <f>58.433 * CHOOSE(CONTROL!$C$10, $C$13, 100%, $E$13) + CHOOSE(CONTROL!$C$29, 0.0021, 0)</f>
        <v>58.435099999999998</v>
      </c>
      <c r="E619" s="4">
        <f>281.356058375846 * CHOOSE(CONTROL!$C$10, $C$13, 100%, $E$13) + CHOOSE(CONTROL!$C$29, 0.0021, 0)</f>
        <v>281.35815837584596</v>
      </c>
    </row>
    <row r="620" spans="1:5" ht="15">
      <c r="A620" s="13">
        <v>60022</v>
      </c>
      <c r="B620" s="4">
        <f>45.6484 * CHOOSE(CONTROL!$C$10, $C$13, 100%, $E$13) + CHOOSE(CONTROL!$C$29, 0.0274, 0)</f>
        <v>45.675800000000002</v>
      </c>
      <c r="C620" s="4">
        <f>45.4921 * CHOOSE(CONTROL!$C$10, $C$13, 100%, $E$13) + CHOOSE(CONTROL!$C$29, 0.0274, 0)</f>
        <v>45.519500000000001</v>
      </c>
      <c r="D620" s="4">
        <f>60.08 * CHOOSE(CONTROL!$C$10, $C$13, 100%, $E$13) + CHOOSE(CONTROL!$C$29, 0.0021, 0)</f>
        <v>60.082099999999997</v>
      </c>
      <c r="E620" s="4">
        <f>292.832738626116 * CHOOSE(CONTROL!$C$10, $C$13, 100%, $E$13) + CHOOSE(CONTROL!$C$29, 0.0021, 0)</f>
        <v>292.83483862611598</v>
      </c>
    </row>
    <row r="621" spans="1:5" ht="15">
      <c r="A621" s="13">
        <v>60053</v>
      </c>
      <c r="B621" s="4">
        <f>46.7267 * CHOOSE(CONTROL!$C$10, $C$13, 100%, $E$13) + CHOOSE(CONTROL!$C$29, 0.0274, 0)</f>
        <v>46.754100000000001</v>
      </c>
      <c r="C621" s="4">
        <f>46.5704 * CHOOSE(CONTROL!$C$10, $C$13, 100%, $E$13) + CHOOSE(CONTROL!$C$29, 0.0274, 0)</f>
        <v>46.597799999999999</v>
      </c>
      <c r="D621" s="4">
        <f>59.4292 * CHOOSE(CONTROL!$C$10, $C$13, 100%, $E$13) + CHOOSE(CONTROL!$C$29, 0.0021, 0)</f>
        <v>59.4313</v>
      </c>
      <c r="E621" s="4">
        <f>299.844715201393 * CHOOSE(CONTROL!$C$10, $C$13, 100%, $E$13) + CHOOSE(CONTROL!$C$29, 0.0021, 0)</f>
        <v>299.84681520139299</v>
      </c>
    </row>
    <row r="622" spans="1:5" ht="15">
      <c r="A622" s="13">
        <v>60083</v>
      </c>
      <c r="B622" s="4">
        <f>46.8726 * CHOOSE(CONTROL!$C$10, $C$13, 100%, $E$13) + CHOOSE(CONTROL!$C$29, 0.0274, 0)</f>
        <v>46.9</v>
      </c>
      <c r="C622" s="4">
        <f>46.7163 * CHOOSE(CONTROL!$C$10, $C$13, 100%, $E$13) + CHOOSE(CONTROL!$C$29, 0.0274, 0)</f>
        <v>46.743699999999997</v>
      </c>
      <c r="D622" s="4">
        <f>59.9592 * CHOOSE(CONTROL!$C$10, $C$13, 100%, $E$13) + CHOOSE(CONTROL!$C$29, 0.0021, 0)</f>
        <v>59.961300000000001</v>
      </c>
      <c r="E622" s="4">
        <f>300.793464732329 * CHOOSE(CONTROL!$C$10, $C$13, 100%, $E$13) + CHOOSE(CONTROL!$C$29, 0.0021, 0)</f>
        <v>300.79556473232901</v>
      </c>
    </row>
    <row r="623" spans="1:5" ht="15">
      <c r="A623" s="13">
        <v>60114</v>
      </c>
      <c r="B623" s="4">
        <f>46.8578 * CHOOSE(CONTROL!$C$10, $C$13, 100%, $E$13) + CHOOSE(CONTROL!$C$29, 0.0274, 0)</f>
        <v>46.885199999999998</v>
      </c>
      <c r="C623" s="4">
        <f>46.7016 * CHOOSE(CONTROL!$C$10, $C$13, 100%, $E$13) + CHOOSE(CONTROL!$C$29, 0.0274, 0)</f>
        <v>46.728999999999999</v>
      </c>
      <c r="D623" s="4">
        <f>60.9157 * CHOOSE(CONTROL!$C$10, $C$13, 100%, $E$13) + CHOOSE(CONTROL!$C$29, 0.0021, 0)</f>
        <v>60.9178</v>
      </c>
      <c r="E623" s="4">
        <f>300.697792510722 * CHOOSE(CONTROL!$C$10, $C$13, 100%, $E$13) + CHOOSE(CONTROL!$C$29, 0.0021, 0)</f>
        <v>300.69989251072201</v>
      </c>
    </row>
    <row r="624" spans="1:5" ht="15">
      <c r="A624" s="13">
        <v>60145</v>
      </c>
      <c r="B624" s="4">
        <f>47.9649 * CHOOSE(CONTROL!$C$10, $C$13, 100%, $E$13) + CHOOSE(CONTROL!$C$29, 0.0274, 0)</f>
        <v>47.9923</v>
      </c>
      <c r="C624" s="4">
        <f>47.8087 * CHOOSE(CONTROL!$C$10, $C$13, 100%, $E$13) + CHOOSE(CONTROL!$C$29, 0.0274, 0)</f>
        <v>47.836100000000002</v>
      </c>
      <c r="D624" s="4">
        <f>60.284 * CHOOSE(CONTROL!$C$10, $C$13, 100%, $E$13) + CHOOSE(CONTROL!$C$29, 0.0021, 0)</f>
        <v>60.286099999999998</v>
      </c>
      <c r="E624" s="4">
        <f>307.897127186647 * CHOOSE(CONTROL!$C$10, $C$13, 100%, $E$13) + CHOOSE(CONTROL!$C$29, 0.0021, 0)</f>
        <v>307.89922718664701</v>
      </c>
    </row>
    <row r="625" spans="1:5" ht="15">
      <c r="A625" s="13">
        <v>60175</v>
      </c>
      <c r="B625" s="4">
        <f>46.0781 * CHOOSE(CONTROL!$C$10, $C$13, 100%, $E$13) + CHOOSE(CONTROL!$C$29, 0.0274, 0)</f>
        <v>46.105499999999999</v>
      </c>
      <c r="C625" s="4">
        <f>45.9218 * CHOOSE(CONTROL!$C$10, $C$13, 100%, $E$13) + CHOOSE(CONTROL!$C$29, 0.0274, 0)</f>
        <v>45.949199999999998</v>
      </c>
      <c r="D625" s="4">
        <f>59.9856 * CHOOSE(CONTROL!$C$10, $C$13, 100%, $E$13) + CHOOSE(CONTROL!$C$29, 0.0021, 0)</f>
        <v>59.987699999999997</v>
      </c>
      <c r="E625" s="4">
        <f>295.627164765553 * CHOOSE(CONTROL!$C$10, $C$13, 100%, $E$13) + CHOOSE(CONTROL!$C$29, 0.0021, 0)</f>
        <v>295.62926476555299</v>
      </c>
    </row>
    <row r="626" spans="1:5" ht="15">
      <c r="A626" s="13">
        <v>60206</v>
      </c>
      <c r="B626" s="4">
        <f>44.5676 * CHOOSE(CONTROL!$C$10, $C$13, 100%, $E$13) + CHOOSE(CONTROL!$C$29, 0.0274, 0)</f>
        <v>44.594999999999999</v>
      </c>
      <c r="C626" s="4">
        <f>44.4114 * CHOOSE(CONTROL!$C$10, $C$13, 100%, $E$13) + CHOOSE(CONTROL!$C$29, 0.0274, 0)</f>
        <v>44.438800000000001</v>
      </c>
      <c r="D626" s="4">
        <f>59.1866 * CHOOSE(CONTROL!$C$10, $C$13, 100%, $E$13) + CHOOSE(CONTROL!$C$29, 0.0021, 0)</f>
        <v>59.188699999999997</v>
      </c>
      <c r="E626" s="4">
        <f>285.80481668057 * CHOOSE(CONTROL!$C$10, $C$13, 100%, $E$13) + CHOOSE(CONTROL!$C$29, 0.0021, 0)</f>
        <v>285.80691668057</v>
      </c>
    </row>
    <row r="627" spans="1:5" ht="15">
      <c r="A627" s="13">
        <v>60236</v>
      </c>
      <c r="B627" s="4">
        <f>43.5948 * CHOOSE(CONTROL!$C$10, $C$13, 100%, $E$13) + CHOOSE(CONTROL!$C$29, 0.0274, 0)</f>
        <v>43.622199999999999</v>
      </c>
      <c r="C627" s="4">
        <f>43.4385 * CHOOSE(CONTROL!$C$10, $C$13, 100%, $E$13) + CHOOSE(CONTROL!$C$29, 0.0274, 0)</f>
        <v>43.465899999999998</v>
      </c>
      <c r="D627" s="4">
        <f>58.9118 * CHOOSE(CONTROL!$C$10, $C$13, 100%, $E$13) + CHOOSE(CONTROL!$C$29, 0.0021, 0)</f>
        <v>58.913899999999998</v>
      </c>
      <c r="E627" s="4">
        <f>279.478491026809 * CHOOSE(CONTROL!$C$10, $C$13, 100%, $E$13) + CHOOSE(CONTROL!$C$29, 0.0021, 0)</f>
        <v>279.48059102680901</v>
      </c>
    </row>
    <row r="628" spans="1:5" ht="15">
      <c r="A628" s="13">
        <v>60267</v>
      </c>
      <c r="B628" s="4">
        <f>42.9217 * CHOOSE(CONTROL!$C$10, $C$13, 100%, $E$13) + CHOOSE(CONTROL!$C$29, 0.0274, 0)</f>
        <v>42.949100000000001</v>
      </c>
      <c r="C628" s="4">
        <f>42.7654 * CHOOSE(CONTROL!$C$10, $C$13, 100%, $E$13) + CHOOSE(CONTROL!$C$29, 0.0274, 0)</f>
        <v>42.7928</v>
      </c>
      <c r="D628" s="4">
        <f>56.8894 * CHOOSE(CONTROL!$C$10, $C$13, 100%, $E$13) + CHOOSE(CONTROL!$C$29, 0.0021, 0)</f>
        <v>56.891500000000001</v>
      </c>
      <c r="E628" s="4">
        <f>275.10148688829 * CHOOSE(CONTROL!$C$10, $C$13, 100%, $E$13) + CHOOSE(CONTROL!$C$29, 0.0021, 0)</f>
        <v>275.10358688829001</v>
      </c>
    </row>
    <row r="629" spans="1:5" ht="15">
      <c r="A629" s="13">
        <v>60298</v>
      </c>
      <c r="B629" s="4">
        <f>41.1576 * CHOOSE(CONTROL!$C$10, $C$13, 100%, $E$13) + CHOOSE(CONTROL!$C$29, 0.0274, 0)</f>
        <v>41.185000000000002</v>
      </c>
      <c r="C629" s="4">
        <f>41.0013 * CHOOSE(CONTROL!$C$10, $C$13, 100%, $E$13) + CHOOSE(CONTROL!$C$29, 0.0274, 0)</f>
        <v>41.028700000000001</v>
      </c>
      <c r="D629" s="4">
        <f>54.5609 * CHOOSE(CONTROL!$C$10, $C$13, 100%, $E$13) + CHOOSE(CONTROL!$C$29, 0.0021, 0)</f>
        <v>54.562999999999995</v>
      </c>
      <c r="E629" s="4">
        <f>263.642392109226 * CHOOSE(CONTROL!$C$10, $C$13, 100%, $E$13) + CHOOSE(CONTROL!$C$29, 0.0021, 0)</f>
        <v>263.64449210922601</v>
      </c>
    </row>
    <row r="630" spans="1:5" ht="15">
      <c r="A630" s="13">
        <v>60326</v>
      </c>
      <c r="B630" s="4">
        <f>42.1201 * CHOOSE(CONTROL!$C$10, $C$13, 100%, $E$13) + CHOOSE(CONTROL!$C$29, 0.0274, 0)</f>
        <v>42.147500000000001</v>
      </c>
      <c r="C630" s="4">
        <f>41.9639 * CHOOSE(CONTROL!$C$10, $C$13, 100%, $E$13) + CHOOSE(CONTROL!$C$29, 0.0274, 0)</f>
        <v>41.991300000000003</v>
      </c>
      <c r="D630" s="4">
        <f>56.4162 * CHOOSE(CONTROL!$C$10, $C$13, 100%, $E$13) + CHOOSE(CONTROL!$C$29, 0.0021, 0)</f>
        <v>56.418300000000002</v>
      </c>
      <c r="E630" s="4">
        <f>269.902301488691 * CHOOSE(CONTROL!$C$10, $C$13, 100%, $E$13) + CHOOSE(CONTROL!$C$29, 0.0021, 0)</f>
        <v>269.90440148869101</v>
      </c>
    </row>
    <row r="631" spans="1:5" ht="15">
      <c r="A631" s="13">
        <v>60357</v>
      </c>
      <c r="B631" s="4">
        <f>44.648 * CHOOSE(CONTROL!$C$10, $C$13, 100%, $E$13) + CHOOSE(CONTROL!$C$29, 0.0274, 0)</f>
        <v>44.675400000000003</v>
      </c>
      <c r="C631" s="4">
        <f>44.4917 * CHOOSE(CONTROL!$C$10, $C$13, 100%, $E$13) + CHOOSE(CONTROL!$C$29, 0.0274, 0)</f>
        <v>44.519100000000002</v>
      </c>
      <c r="D631" s="4">
        <f>59.3205 * CHOOSE(CONTROL!$C$10, $C$13, 100%, $E$13) + CHOOSE(CONTROL!$C$29, 0.0021, 0)</f>
        <v>59.322600000000001</v>
      </c>
      <c r="E631" s="4">
        <f>286.341156190955 * CHOOSE(CONTROL!$C$10, $C$13, 100%, $E$13) + CHOOSE(CONTROL!$C$29, 0.0021, 0)</f>
        <v>286.343256190955</v>
      </c>
    </row>
    <row r="632" spans="1:5" ht="15">
      <c r="A632" s="13">
        <v>60387</v>
      </c>
      <c r="B632" s="4">
        <f>46.444 * CHOOSE(CONTROL!$C$10, $C$13, 100%, $E$13) + CHOOSE(CONTROL!$C$29, 0.0274, 0)</f>
        <v>46.471400000000003</v>
      </c>
      <c r="C632" s="4">
        <f>46.2877 * CHOOSE(CONTROL!$C$10, $C$13, 100%, $E$13) + CHOOSE(CONTROL!$C$29, 0.0274, 0)</f>
        <v>46.315100000000001</v>
      </c>
      <c r="D632" s="4">
        <f>60.9934 * CHOOSE(CONTROL!$C$10, $C$13, 100%, $E$13) + CHOOSE(CONTROL!$C$29, 0.0021, 0)</f>
        <v>60.9955</v>
      </c>
      <c r="E632" s="4">
        <f>298.021181533456 * CHOOSE(CONTROL!$C$10, $C$13, 100%, $E$13) + CHOOSE(CONTROL!$C$29, 0.0021, 0)</f>
        <v>298.02328153345599</v>
      </c>
    </row>
    <row r="633" spans="1:5" ht="15">
      <c r="A633" s="13">
        <v>60418</v>
      </c>
      <c r="B633" s="4">
        <f>47.5413 * CHOOSE(CONTROL!$C$10, $C$13, 100%, $E$13) + CHOOSE(CONTROL!$C$29, 0.0274, 0)</f>
        <v>47.5687</v>
      </c>
      <c r="C633" s="4">
        <f>47.3851 * CHOOSE(CONTROL!$C$10, $C$13, 100%, $E$13) + CHOOSE(CONTROL!$C$29, 0.0274, 0)</f>
        <v>47.412500000000001</v>
      </c>
      <c r="D633" s="4">
        <f>60.3323 * CHOOSE(CONTROL!$C$10, $C$13, 100%, $E$13) + CHOOSE(CONTROL!$C$29, 0.0021, 0)</f>
        <v>60.334399999999995</v>
      </c>
      <c r="E633" s="4">
        <f>305.157397086586 * CHOOSE(CONTROL!$C$10, $C$13, 100%, $E$13) + CHOOSE(CONTROL!$C$29, 0.0021, 0)</f>
        <v>305.15949708658599</v>
      </c>
    </row>
    <row r="634" spans="1:5" ht="15">
      <c r="A634" s="13">
        <v>60448</v>
      </c>
      <c r="B634" s="4">
        <f>47.6898 * CHOOSE(CONTROL!$C$10, $C$13, 100%, $E$13) + CHOOSE(CONTROL!$C$29, 0.0274, 0)</f>
        <v>47.717199999999998</v>
      </c>
      <c r="C634" s="4">
        <f>47.5336 * CHOOSE(CONTROL!$C$10, $C$13, 100%, $E$13) + CHOOSE(CONTROL!$C$29, 0.0274, 0)</f>
        <v>47.561</v>
      </c>
      <c r="D634" s="4">
        <f>60.8707 * CHOOSE(CONTROL!$C$10, $C$13, 100%, $E$13) + CHOOSE(CONTROL!$C$29, 0.0021, 0)</f>
        <v>60.872799999999998</v>
      </c>
      <c r="E634" s="4">
        <f>306.122956666827 * CHOOSE(CONTROL!$C$10, $C$13, 100%, $E$13) + CHOOSE(CONTROL!$C$29, 0.0021, 0)</f>
        <v>306.12505666682699</v>
      </c>
    </row>
    <row r="635" spans="1:5" ht="15">
      <c r="A635" s="13">
        <v>60479</v>
      </c>
      <c r="B635" s="4">
        <f>47.6748 * CHOOSE(CONTROL!$C$10, $C$13, 100%, $E$13) + CHOOSE(CONTROL!$C$29, 0.0274, 0)</f>
        <v>47.702199999999998</v>
      </c>
      <c r="C635" s="4">
        <f>47.5186 * CHOOSE(CONTROL!$C$10, $C$13, 100%, $E$13) + CHOOSE(CONTROL!$C$29, 0.0274, 0)</f>
        <v>47.545999999999999</v>
      </c>
      <c r="D635" s="4">
        <f>61.8422 * CHOOSE(CONTROL!$C$10, $C$13, 100%, $E$13) + CHOOSE(CONTROL!$C$29, 0.0021, 0)</f>
        <v>61.844299999999997</v>
      </c>
      <c r="E635" s="4">
        <f>306.025589314198 * CHOOSE(CONTROL!$C$10, $C$13, 100%, $E$13) + CHOOSE(CONTROL!$C$29, 0.0021, 0)</f>
        <v>306.02768931419797</v>
      </c>
    </row>
    <row r="636" spans="1:5" ht="15">
      <c r="A636" s="13">
        <v>60510</v>
      </c>
      <c r="B636" s="4">
        <f>48.8015 * CHOOSE(CONTROL!$C$10, $C$13, 100%, $E$13) + CHOOSE(CONTROL!$C$29, 0.0274, 0)</f>
        <v>48.828899999999997</v>
      </c>
      <c r="C636" s="4">
        <f>48.6452 * CHOOSE(CONTROL!$C$10, $C$13, 100%, $E$13) + CHOOSE(CONTROL!$C$29, 0.0274, 0)</f>
        <v>48.672600000000003</v>
      </c>
      <c r="D636" s="4">
        <f>61.2006 * CHOOSE(CONTROL!$C$10, $C$13, 100%, $E$13) + CHOOSE(CONTROL!$C$29, 0.0021, 0)</f>
        <v>61.2027</v>
      </c>
      <c r="E636" s="4">
        <f>313.35248259956 * CHOOSE(CONTROL!$C$10, $C$13, 100%, $E$13) + CHOOSE(CONTROL!$C$29, 0.0021, 0)</f>
        <v>313.35458259955999</v>
      </c>
    </row>
    <row r="637" spans="1:5" ht="15">
      <c r="A637" s="13">
        <v>60540</v>
      </c>
      <c r="B637" s="4">
        <f>46.8813 * CHOOSE(CONTROL!$C$10, $C$13, 100%, $E$13) + CHOOSE(CONTROL!$C$29, 0.0274, 0)</f>
        <v>46.908700000000003</v>
      </c>
      <c r="C637" s="4">
        <f>46.7251 * CHOOSE(CONTROL!$C$10, $C$13, 100%, $E$13) + CHOOSE(CONTROL!$C$29, 0.0274, 0)</f>
        <v>46.752499999999998</v>
      </c>
      <c r="D637" s="4">
        <f>60.8975 * CHOOSE(CONTROL!$C$10, $C$13, 100%, $E$13) + CHOOSE(CONTROL!$C$29, 0.0021, 0)</f>
        <v>60.8996</v>
      </c>
      <c r="E637" s="4">
        <f>300.86511962484 * CHOOSE(CONTROL!$C$10, $C$13, 100%, $E$13) + CHOOSE(CONTROL!$C$29, 0.0021, 0)</f>
        <v>300.86721962484</v>
      </c>
    </row>
    <row r="638" spans="1:5" ht="15">
      <c r="A638" s="13">
        <v>60571</v>
      </c>
      <c r="B638" s="4">
        <f>45.3442 * CHOOSE(CONTROL!$C$10, $C$13, 100%, $E$13) + CHOOSE(CONTROL!$C$29, 0.0274, 0)</f>
        <v>45.371600000000001</v>
      </c>
      <c r="C638" s="4">
        <f>45.1879 * CHOOSE(CONTROL!$C$10, $C$13, 100%, $E$13) + CHOOSE(CONTROL!$C$29, 0.0274, 0)</f>
        <v>45.215299999999999</v>
      </c>
      <c r="D638" s="4">
        <f>60.0859 * CHOOSE(CONTROL!$C$10, $C$13, 100%, $E$13) + CHOOSE(CONTROL!$C$29, 0.0021, 0)</f>
        <v>60.088000000000001</v>
      </c>
      <c r="E638" s="4">
        <f>290.868738088222 * CHOOSE(CONTROL!$C$10, $C$13, 100%, $E$13) + CHOOSE(CONTROL!$C$29, 0.0021, 0)</f>
        <v>290.870838088222</v>
      </c>
    </row>
    <row r="639" spans="1:5" ht="15">
      <c r="A639" s="13">
        <v>60601</v>
      </c>
      <c r="B639" s="4">
        <f>44.3541 * CHOOSE(CONTROL!$C$10, $C$13, 100%, $E$13) + CHOOSE(CONTROL!$C$29, 0.0274, 0)</f>
        <v>44.381500000000003</v>
      </c>
      <c r="C639" s="4">
        <f>44.1979 * CHOOSE(CONTROL!$C$10, $C$13, 100%, $E$13) + CHOOSE(CONTROL!$C$29, 0.0274, 0)</f>
        <v>44.225299999999997</v>
      </c>
      <c r="D639" s="4">
        <f>59.8069 * CHOOSE(CONTROL!$C$10, $C$13, 100%, $E$13) + CHOOSE(CONTROL!$C$29, 0.0021, 0)</f>
        <v>59.808999999999997</v>
      </c>
      <c r="E639" s="4">
        <f>284.430321895603 * CHOOSE(CONTROL!$C$10, $C$13, 100%, $E$13) + CHOOSE(CONTROL!$C$29, 0.0021, 0)</f>
        <v>284.432421895603</v>
      </c>
    </row>
    <row r="640" spans="1:5" ht="15">
      <c r="A640" s="13">
        <v>60632</v>
      </c>
      <c r="B640" s="4">
        <f>43.6691 * CHOOSE(CONTROL!$C$10, $C$13, 100%, $E$13) + CHOOSE(CONTROL!$C$29, 0.0274, 0)</f>
        <v>43.6965</v>
      </c>
      <c r="C640" s="4">
        <f>43.5129 * CHOOSE(CONTROL!$C$10, $C$13, 100%, $E$13) + CHOOSE(CONTROL!$C$29, 0.0274, 0)</f>
        <v>43.540300000000002</v>
      </c>
      <c r="D640" s="4">
        <f>57.7526 * CHOOSE(CONTROL!$C$10, $C$13, 100%, $E$13) + CHOOSE(CONTROL!$C$29, 0.0021, 0)</f>
        <v>57.7547</v>
      </c>
      <c r="E640" s="4">
        <f>279.975765512808 * CHOOSE(CONTROL!$C$10, $C$13, 100%, $E$13) + CHOOSE(CONTROL!$C$29, 0.0021, 0)</f>
        <v>279.97786551280797</v>
      </c>
    </row>
    <row r="641" spans="1:5" ht="15">
      <c r="A641" s="13">
        <v>60663</v>
      </c>
      <c r="B641" s="4">
        <f>41.8738 * CHOOSE(CONTROL!$C$10, $C$13, 100%, $E$13) + CHOOSE(CONTROL!$C$29, 0.0274, 0)</f>
        <v>41.901200000000003</v>
      </c>
      <c r="C641" s="4">
        <f>41.7176 * CHOOSE(CONTROL!$C$10, $C$13, 100%, $E$13) + CHOOSE(CONTROL!$C$29, 0.0274, 0)</f>
        <v>41.744999999999997</v>
      </c>
      <c r="D641" s="4">
        <f>55.3875 * CHOOSE(CONTROL!$C$10, $C$13, 100%, $E$13) + CHOOSE(CONTROL!$C$29, 0.0021, 0)</f>
        <v>55.389600000000002</v>
      </c>
      <c r="E641" s="4">
        <f>268.31363722284 * CHOOSE(CONTROL!$C$10, $C$13, 100%, $E$13) + CHOOSE(CONTROL!$C$29, 0.0021, 0)</f>
        <v>268.31573722283997</v>
      </c>
    </row>
    <row r="642" spans="1:5" ht="15">
      <c r="A642" s="13">
        <v>60691</v>
      </c>
      <c r="B642" s="4">
        <f>42.8534 * CHOOSE(CONTROL!$C$10, $C$13, 100%, $E$13) + CHOOSE(CONTROL!$C$29, 0.0274, 0)</f>
        <v>42.880800000000001</v>
      </c>
      <c r="C642" s="4">
        <f>42.6972 * CHOOSE(CONTROL!$C$10, $C$13, 100%, $E$13) + CHOOSE(CONTROL!$C$29, 0.0274, 0)</f>
        <v>42.724600000000002</v>
      </c>
      <c r="D642" s="4">
        <f>57.2719 * CHOOSE(CONTROL!$C$10, $C$13, 100%, $E$13) + CHOOSE(CONTROL!$C$29, 0.0021, 0)</f>
        <v>57.274000000000001</v>
      </c>
      <c r="E642" s="4">
        <f>274.684460370256 * CHOOSE(CONTROL!$C$10, $C$13, 100%, $E$13) + CHOOSE(CONTROL!$C$29, 0.0021, 0)</f>
        <v>274.68656037025596</v>
      </c>
    </row>
    <row r="643" spans="1:5" ht="15">
      <c r="A643" s="13">
        <v>60722</v>
      </c>
      <c r="B643" s="4">
        <f>45.4259 * CHOOSE(CONTROL!$C$10, $C$13, 100%, $E$13) + CHOOSE(CONTROL!$C$29, 0.0274, 0)</f>
        <v>45.453299999999999</v>
      </c>
      <c r="C643" s="4">
        <f>45.2697 * CHOOSE(CONTROL!$C$10, $C$13, 100%, $E$13) + CHOOSE(CONTROL!$C$29, 0.0274, 0)</f>
        <v>45.2971</v>
      </c>
      <c r="D643" s="4">
        <f>60.2219 * CHOOSE(CONTROL!$C$10, $C$13, 100%, $E$13) + CHOOSE(CONTROL!$C$29, 0.0021, 0)</f>
        <v>60.223999999999997</v>
      </c>
      <c r="E643" s="4">
        <f>291.414580521475 * CHOOSE(CONTROL!$C$10, $C$13, 100%, $E$13) + CHOOSE(CONTROL!$C$29, 0.0021, 0)</f>
        <v>291.41668052147497</v>
      </c>
    </row>
    <row r="644" spans="1:5" ht="15">
      <c r="A644" s="13">
        <v>60752</v>
      </c>
      <c r="B644" s="4">
        <f>47.2537 * CHOOSE(CONTROL!$C$10, $C$13, 100%, $E$13) + CHOOSE(CONTROL!$C$29, 0.0274, 0)</f>
        <v>47.281100000000002</v>
      </c>
      <c r="C644" s="4">
        <f>47.0974 * CHOOSE(CONTROL!$C$10, $C$13, 100%, $E$13) + CHOOSE(CONTROL!$C$29, 0.0274, 0)</f>
        <v>47.1248</v>
      </c>
      <c r="D644" s="4">
        <f>61.9212 * CHOOSE(CONTROL!$C$10, $C$13, 100%, $E$13) + CHOOSE(CONTROL!$C$29, 0.0021, 0)</f>
        <v>61.923299999999998</v>
      </c>
      <c r="E644" s="4">
        <f>303.301553847082 * CHOOSE(CONTROL!$C$10, $C$13, 100%, $E$13) + CHOOSE(CONTROL!$C$29, 0.0021, 0)</f>
        <v>303.30365384708199</v>
      </c>
    </row>
    <row r="645" spans="1:5" ht="15">
      <c r="A645" s="13">
        <v>60783</v>
      </c>
      <c r="B645" s="4">
        <f>48.3704 * CHOOSE(CONTROL!$C$10, $C$13, 100%, $E$13) + CHOOSE(CONTROL!$C$29, 0.0274, 0)</f>
        <v>48.397799999999997</v>
      </c>
      <c r="C645" s="4">
        <f>48.2142 * CHOOSE(CONTROL!$C$10, $C$13, 100%, $E$13) + CHOOSE(CONTROL!$C$29, 0.0274, 0)</f>
        <v>48.241599999999998</v>
      </c>
      <c r="D645" s="4">
        <f>61.2497 * CHOOSE(CONTROL!$C$10, $C$13, 100%, $E$13) + CHOOSE(CONTROL!$C$29, 0.0021, 0)</f>
        <v>61.251799999999996</v>
      </c>
      <c r="E645" s="4">
        <f>310.564209658038 * CHOOSE(CONTROL!$C$10, $C$13, 100%, $E$13) + CHOOSE(CONTROL!$C$29, 0.0021, 0)</f>
        <v>310.56630965803799</v>
      </c>
    </row>
    <row r="646" spans="1:5" ht="15">
      <c r="A646" s="13">
        <v>60813</v>
      </c>
      <c r="B646" s="4">
        <f>48.5215 * CHOOSE(CONTROL!$C$10, $C$13, 100%, $E$13) + CHOOSE(CONTROL!$C$29, 0.0274, 0)</f>
        <v>48.548900000000003</v>
      </c>
      <c r="C646" s="4">
        <f>48.3652 * CHOOSE(CONTROL!$C$10, $C$13, 100%, $E$13) + CHOOSE(CONTROL!$C$29, 0.0274, 0)</f>
        <v>48.392600000000002</v>
      </c>
      <c r="D646" s="4">
        <f>61.7965 * CHOOSE(CONTROL!$C$10, $C$13, 100%, $E$13) + CHOOSE(CONTROL!$C$29, 0.0021, 0)</f>
        <v>61.7986</v>
      </c>
      <c r="E646" s="4">
        <f>311.546877129901 * CHOOSE(CONTROL!$C$10, $C$13, 100%, $E$13) + CHOOSE(CONTROL!$C$29, 0.0021, 0)</f>
        <v>311.548977129901</v>
      </c>
    </row>
    <row r="647" spans="1:5" ht="15">
      <c r="A647" s="13">
        <v>60844</v>
      </c>
      <c r="B647" s="4">
        <f>48.5063 * CHOOSE(CONTROL!$C$10, $C$13, 100%, $E$13) + CHOOSE(CONTROL!$C$29, 0.0274, 0)</f>
        <v>48.533700000000003</v>
      </c>
      <c r="C647" s="4">
        <f>48.35 * CHOOSE(CONTROL!$C$10, $C$13, 100%, $E$13) + CHOOSE(CONTROL!$C$29, 0.0274, 0)</f>
        <v>48.377400000000002</v>
      </c>
      <c r="D647" s="4">
        <f>62.7833 * CHOOSE(CONTROL!$C$10, $C$13, 100%, $E$13) + CHOOSE(CONTROL!$C$29, 0.0021, 0)</f>
        <v>62.785399999999996</v>
      </c>
      <c r="E647" s="4">
        <f>311.44778461173 * CHOOSE(CONTROL!$C$10, $C$13, 100%, $E$13) + CHOOSE(CONTROL!$C$29, 0.0021, 0)</f>
        <v>311.44988461173</v>
      </c>
    </row>
    <row r="648" spans="1:5" ht="15">
      <c r="A648" s="13">
        <v>60875</v>
      </c>
      <c r="B648" s="4">
        <f>49.6528 * CHOOSE(CONTROL!$C$10, $C$13, 100%, $E$13) + CHOOSE(CONTROL!$C$29, 0.0274, 0)</f>
        <v>49.680199999999999</v>
      </c>
      <c r="C648" s="4">
        <f>49.4966 * CHOOSE(CONTROL!$C$10, $C$13, 100%, $E$13) + CHOOSE(CONTROL!$C$29, 0.0274, 0)</f>
        <v>49.524000000000001</v>
      </c>
      <c r="D648" s="4">
        <f>62.1316 * CHOOSE(CONTROL!$C$10, $C$13, 100%, $E$13) + CHOOSE(CONTROL!$C$29, 0.0021, 0)</f>
        <v>62.133699999999997</v>
      </c>
      <c r="E648" s="4">
        <f>318.904496604105 * CHOOSE(CONTROL!$C$10, $C$13, 100%, $E$13) + CHOOSE(CONTROL!$C$29, 0.0021, 0)</f>
        <v>318.906596604105</v>
      </c>
    </row>
    <row r="649" spans="1:5" ht="15">
      <c r="A649" s="13">
        <v>60905</v>
      </c>
      <c r="B649" s="4">
        <f>47.6987 * CHOOSE(CONTROL!$C$10, $C$13, 100%, $E$13) + CHOOSE(CONTROL!$C$29, 0.0274, 0)</f>
        <v>47.726100000000002</v>
      </c>
      <c r="C649" s="4">
        <f>47.5425 * CHOOSE(CONTROL!$C$10, $C$13, 100%, $E$13) + CHOOSE(CONTROL!$C$29, 0.0274, 0)</f>
        <v>47.569899999999997</v>
      </c>
      <c r="D649" s="4">
        <f>61.8237 * CHOOSE(CONTROL!$C$10, $C$13, 100%, $E$13) + CHOOSE(CONTROL!$C$29, 0.0021, 0)</f>
        <v>61.825800000000001</v>
      </c>
      <c r="E649" s="4">
        <f>306.195881148663 * CHOOSE(CONTROL!$C$10, $C$13, 100%, $E$13) + CHOOSE(CONTROL!$C$29, 0.0021, 0)</f>
        <v>306.19798114866296</v>
      </c>
    </row>
    <row r="650" spans="1:5" ht="15">
      <c r="A650" s="13">
        <v>60936</v>
      </c>
      <c r="B650" s="4">
        <f>46.1344 * CHOOSE(CONTROL!$C$10, $C$13, 100%, $E$13) + CHOOSE(CONTROL!$C$29, 0.0274, 0)</f>
        <v>46.161799999999999</v>
      </c>
      <c r="C650" s="4">
        <f>45.9782 * CHOOSE(CONTROL!$C$10, $C$13, 100%, $E$13) + CHOOSE(CONTROL!$C$29, 0.0274, 0)</f>
        <v>46.005600000000001</v>
      </c>
      <c r="D650" s="4">
        <f>60.9994 * CHOOSE(CONTROL!$C$10, $C$13, 100%, $E$13) + CHOOSE(CONTROL!$C$29, 0.0021, 0)</f>
        <v>61.0015</v>
      </c>
      <c r="E650" s="4">
        <f>296.022382616431 * CHOOSE(CONTROL!$C$10, $C$13, 100%, $E$13) + CHOOSE(CONTROL!$C$29, 0.0021, 0)</f>
        <v>296.02448261643099</v>
      </c>
    </row>
    <row r="651" spans="1:5" ht="15">
      <c r="A651" s="13">
        <v>60966</v>
      </c>
      <c r="B651" s="4">
        <f>45.1269 * CHOOSE(CONTROL!$C$10, $C$13, 100%, $E$13) + CHOOSE(CONTROL!$C$29, 0.0274, 0)</f>
        <v>45.154299999999999</v>
      </c>
      <c r="C651" s="4">
        <f>44.9706 * CHOOSE(CONTROL!$C$10, $C$13, 100%, $E$13) + CHOOSE(CONTROL!$C$29, 0.0274, 0)</f>
        <v>44.997999999999998</v>
      </c>
      <c r="D651" s="4">
        <f>60.716 * CHOOSE(CONTROL!$C$10, $C$13, 100%, $E$13) + CHOOSE(CONTROL!$C$29, 0.0021, 0)</f>
        <v>60.7181</v>
      </c>
      <c r="E651" s="4">
        <f>289.469889852368 * CHOOSE(CONTROL!$C$10, $C$13, 100%, $E$13) + CHOOSE(CONTROL!$C$29, 0.0021, 0)</f>
        <v>289.47198985236798</v>
      </c>
    </row>
    <row r="652" spans="1:5" ht="15">
      <c r="A652" s="13">
        <v>60997</v>
      </c>
      <c r="B652" s="4">
        <f>44.4298 * CHOOSE(CONTROL!$C$10, $C$13, 100%, $E$13) + CHOOSE(CONTROL!$C$29, 0.0274, 0)</f>
        <v>44.4572</v>
      </c>
      <c r="C652" s="4">
        <f>44.2735 * CHOOSE(CONTROL!$C$10, $C$13, 100%, $E$13) + CHOOSE(CONTROL!$C$29, 0.0274, 0)</f>
        <v>44.300899999999999</v>
      </c>
      <c r="D652" s="4">
        <f>58.6294 * CHOOSE(CONTROL!$C$10, $C$13, 100%, $E$13) + CHOOSE(CONTROL!$C$29, 0.0021, 0)</f>
        <v>58.631499999999996</v>
      </c>
      <c r="E652" s="4">
        <f>284.93640714604 * CHOOSE(CONTROL!$C$10, $C$13, 100%, $E$13) + CHOOSE(CONTROL!$C$29, 0.0021, 0)</f>
        <v>284.93850714603997</v>
      </c>
    </row>
    <row r="653" spans="1:5" ht="15">
      <c r="A653" s="13">
        <v>61028</v>
      </c>
      <c r="B653" s="4">
        <f>42.6028 * CHOOSE(CONTROL!$C$10, $C$13, 100%, $E$13) + CHOOSE(CONTROL!$C$29, 0.0274, 0)</f>
        <v>42.630200000000002</v>
      </c>
      <c r="C653" s="4">
        <f>42.4465 * CHOOSE(CONTROL!$C$10, $C$13, 100%, $E$13) + CHOOSE(CONTROL!$C$29, 0.0274, 0)</f>
        <v>42.4739</v>
      </c>
      <c r="D653" s="4">
        <f>56.2271 * CHOOSE(CONTROL!$C$10, $C$13, 100%, $E$13) + CHOOSE(CONTROL!$C$29, 0.0021, 0)</f>
        <v>56.229199999999999</v>
      </c>
      <c r="E653" s="4">
        <f>273.067647974927 * CHOOSE(CONTROL!$C$10, $C$13, 100%, $E$13) + CHOOSE(CONTROL!$C$29, 0.0021, 0)</f>
        <v>273.069747974927</v>
      </c>
    </row>
    <row r="654" spans="1:5" ht="15">
      <c r="A654" s="13">
        <v>61056</v>
      </c>
      <c r="B654" s="4">
        <f>43.5997 * CHOOSE(CONTROL!$C$10, $C$13, 100%, $E$13) + CHOOSE(CONTROL!$C$29, 0.0274, 0)</f>
        <v>43.627099999999999</v>
      </c>
      <c r="C654" s="4">
        <f>43.4434 * CHOOSE(CONTROL!$C$10, $C$13, 100%, $E$13) + CHOOSE(CONTROL!$C$29, 0.0274, 0)</f>
        <v>43.470799999999997</v>
      </c>
      <c r="D654" s="4">
        <f>58.1412 * CHOOSE(CONTROL!$C$10, $C$13, 100%, $E$13) + CHOOSE(CONTROL!$C$29, 0.0021, 0)</f>
        <v>58.143299999999996</v>
      </c>
      <c r="E654" s="4">
        <f>279.551350072724 * CHOOSE(CONTROL!$C$10, $C$13, 100%, $E$13) + CHOOSE(CONTROL!$C$29, 0.0021, 0)</f>
        <v>279.55345007272399</v>
      </c>
    </row>
    <row r="655" spans="1:5" ht="15">
      <c r="A655" s="13">
        <v>61087</v>
      </c>
      <c r="B655" s="4">
        <f>46.2176 * CHOOSE(CONTROL!$C$10, $C$13, 100%, $E$13) + CHOOSE(CONTROL!$C$29, 0.0274, 0)</f>
        <v>46.244999999999997</v>
      </c>
      <c r="C655" s="4">
        <f>46.0613 * CHOOSE(CONTROL!$C$10, $C$13, 100%, $E$13) + CHOOSE(CONTROL!$C$29, 0.0274, 0)</f>
        <v>46.088700000000003</v>
      </c>
      <c r="D655" s="4">
        <f>61.1375 * CHOOSE(CONTROL!$C$10, $C$13, 100%, $E$13) + CHOOSE(CONTROL!$C$29, 0.0021, 0)</f>
        <v>61.139600000000002</v>
      </c>
      <c r="E655" s="4">
        <f>296.577896346393 * CHOOSE(CONTROL!$C$10, $C$13, 100%, $E$13) + CHOOSE(CONTROL!$C$29, 0.0021, 0)</f>
        <v>296.57999634639299</v>
      </c>
    </row>
    <row r="656" spans="1:5" ht="15">
      <c r="A656" s="13">
        <v>61117</v>
      </c>
      <c r="B656" s="4">
        <f>48.0777 * CHOOSE(CONTROL!$C$10, $C$13, 100%, $E$13) + CHOOSE(CONTROL!$C$29, 0.0274, 0)</f>
        <v>48.1051</v>
      </c>
      <c r="C656" s="4">
        <f>47.9214 * CHOOSE(CONTROL!$C$10, $C$13, 100%, $E$13) + CHOOSE(CONTROL!$C$29, 0.0274, 0)</f>
        <v>47.948799999999999</v>
      </c>
      <c r="D656" s="4">
        <f>62.8635 * CHOOSE(CONTROL!$C$10, $C$13, 100%, $E$13) + CHOOSE(CONTROL!$C$29, 0.0021, 0)</f>
        <v>62.865600000000001</v>
      </c>
      <c r="E656" s="4">
        <f>308.675484382399 * CHOOSE(CONTROL!$C$10, $C$13, 100%, $E$13) + CHOOSE(CONTROL!$C$29, 0.0021, 0)</f>
        <v>308.677584382399</v>
      </c>
    </row>
    <row r="657" spans="1:5" ht="15">
      <c r="A657" s="13">
        <v>61148</v>
      </c>
      <c r="B657" s="4">
        <f>49.2141 * CHOOSE(CONTROL!$C$10, $C$13, 100%, $E$13) + CHOOSE(CONTROL!$C$29, 0.0274, 0)</f>
        <v>49.241500000000002</v>
      </c>
      <c r="C657" s="4">
        <f>49.0579 * CHOOSE(CONTROL!$C$10, $C$13, 100%, $E$13) + CHOOSE(CONTROL!$C$29, 0.0274, 0)</f>
        <v>49.085299999999997</v>
      </c>
      <c r="D657" s="4">
        <f>62.1815 * CHOOSE(CONTROL!$C$10, $C$13, 100%, $E$13) + CHOOSE(CONTROL!$C$29, 0.0021, 0)</f>
        <v>62.183599999999998</v>
      </c>
      <c r="E657" s="4">
        <f>316.066820733678 * CHOOSE(CONTROL!$C$10, $C$13, 100%, $E$13) + CHOOSE(CONTROL!$C$29, 0.0021, 0)</f>
        <v>316.068920733678</v>
      </c>
    </row>
    <row r="658" spans="1:5" ht="15">
      <c r="A658" s="13">
        <v>61178</v>
      </c>
      <c r="B658" s="4">
        <f>49.3679 * CHOOSE(CONTROL!$C$10, $C$13, 100%, $E$13) + CHOOSE(CONTROL!$C$29, 0.0274, 0)</f>
        <v>49.395299999999999</v>
      </c>
      <c r="C658" s="4">
        <f>49.2116 * CHOOSE(CONTROL!$C$10, $C$13, 100%, $E$13) + CHOOSE(CONTROL!$C$29, 0.0274, 0)</f>
        <v>49.238999999999997</v>
      </c>
      <c r="D658" s="4">
        <f>62.7369 * CHOOSE(CONTROL!$C$10, $C$13, 100%, $E$13) + CHOOSE(CONTROL!$C$29, 0.0021, 0)</f>
        <v>62.738999999999997</v>
      </c>
      <c r="E658" s="4">
        <f>317.066899216682 * CHOOSE(CONTROL!$C$10, $C$13, 100%, $E$13) + CHOOSE(CONTROL!$C$29, 0.0021, 0)</f>
        <v>317.06899921668196</v>
      </c>
    </row>
    <row r="659" spans="1:5" ht="15">
      <c r="A659" s="13">
        <v>61209</v>
      </c>
      <c r="B659" s="4">
        <f>49.3524 * CHOOSE(CONTROL!$C$10, $C$13, 100%, $E$13) + CHOOSE(CONTROL!$C$29, 0.0274, 0)</f>
        <v>49.379800000000003</v>
      </c>
      <c r="C659" s="4">
        <f>49.1961 * CHOOSE(CONTROL!$C$10, $C$13, 100%, $E$13) + CHOOSE(CONTROL!$C$29, 0.0274, 0)</f>
        <v>49.223500000000001</v>
      </c>
      <c r="D659" s="4">
        <f>63.7392 * CHOOSE(CONTROL!$C$10, $C$13, 100%, $E$13) + CHOOSE(CONTROL!$C$29, 0.0021, 0)</f>
        <v>63.741299999999995</v>
      </c>
      <c r="E659" s="4">
        <f>316.966050966295 * CHOOSE(CONTROL!$C$10, $C$13, 100%, $E$13) + CHOOSE(CONTROL!$C$29, 0.0021, 0)</f>
        <v>316.96815096629496</v>
      </c>
    </row>
    <row r="660" spans="1:5" ht="15">
      <c r="A660" s="13">
        <v>61240</v>
      </c>
      <c r="B660" s="4">
        <f>50.5192 * CHOOSE(CONTROL!$C$10, $C$13, 100%, $E$13) + CHOOSE(CONTROL!$C$29, 0.0274, 0)</f>
        <v>50.546599999999998</v>
      </c>
      <c r="C660" s="4">
        <f>50.363 * CHOOSE(CONTROL!$C$10, $C$13, 100%, $E$13) + CHOOSE(CONTROL!$C$29, 0.0274, 0)</f>
        <v>50.3904</v>
      </c>
      <c r="D660" s="4">
        <f>63.0773 * CHOOSE(CONTROL!$C$10, $C$13, 100%, $E$13) + CHOOSE(CONTROL!$C$29, 0.0021, 0)</f>
        <v>63.0794</v>
      </c>
      <c r="E660" s="4">
        <f>324.554881807916 * CHOOSE(CONTROL!$C$10, $C$13, 100%, $E$13) + CHOOSE(CONTROL!$C$29, 0.0021, 0)</f>
        <v>324.55698180791597</v>
      </c>
    </row>
    <row r="661" spans="1:5" ht="15">
      <c r="A661" s="13">
        <v>61270</v>
      </c>
      <c r="B661" s="4">
        <f>48.5306 * CHOOSE(CONTROL!$C$10, $C$13, 100%, $E$13) + CHOOSE(CONTROL!$C$29, 0.0274, 0)</f>
        <v>48.558</v>
      </c>
      <c r="C661" s="4">
        <f>48.3743 * CHOOSE(CONTROL!$C$10, $C$13, 100%, $E$13) + CHOOSE(CONTROL!$C$29, 0.0274, 0)</f>
        <v>48.401699999999998</v>
      </c>
      <c r="D661" s="4">
        <f>62.7646 * CHOOSE(CONTROL!$C$10, $C$13, 100%, $E$13) + CHOOSE(CONTROL!$C$29, 0.0021, 0)</f>
        <v>62.7667</v>
      </c>
      <c r="E661" s="4">
        <f>311.621093695785 * CHOOSE(CONTROL!$C$10, $C$13, 100%, $E$13) + CHOOSE(CONTROL!$C$29, 0.0021, 0)</f>
        <v>311.62319369578501</v>
      </c>
    </row>
    <row r="662" spans="1:5" ht="15">
      <c r="A662" s="13">
        <v>61301</v>
      </c>
      <c r="B662" s="4">
        <f>46.9386 * CHOOSE(CONTROL!$C$10, $C$13, 100%, $E$13) + CHOOSE(CONTROL!$C$29, 0.0274, 0)</f>
        <v>46.966000000000001</v>
      </c>
      <c r="C662" s="4">
        <f>46.7824 * CHOOSE(CONTROL!$C$10, $C$13, 100%, $E$13) + CHOOSE(CONTROL!$C$29, 0.0274, 0)</f>
        <v>46.809800000000003</v>
      </c>
      <c r="D662" s="4">
        <f>61.9272 * CHOOSE(CONTROL!$C$10, $C$13, 100%, $E$13) + CHOOSE(CONTROL!$C$29, 0.0021, 0)</f>
        <v>61.929299999999998</v>
      </c>
      <c r="E662" s="4">
        <f>301.267339989388 * CHOOSE(CONTROL!$C$10, $C$13, 100%, $E$13) + CHOOSE(CONTROL!$C$29, 0.0021, 0)</f>
        <v>301.26943998938799</v>
      </c>
    </row>
    <row r="663" spans="1:5" ht="15">
      <c r="A663" s="13">
        <v>61331</v>
      </c>
      <c r="B663" s="4">
        <f>45.9133 * CHOOSE(CONTROL!$C$10, $C$13, 100%, $E$13) + CHOOSE(CONTROL!$C$29, 0.0274, 0)</f>
        <v>45.9407</v>
      </c>
      <c r="C663" s="4">
        <f>45.757 * CHOOSE(CONTROL!$C$10, $C$13, 100%, $E$13) + CHOOSE(CONTROL!$C$29, 0.0274, 0)</f>
        <v>45.784399999999998</v>
      </c>
      <c r="D663" s="4">
        <f>61.6393 * CHOOSE(CONTROL!$C$10, $C$13, 100%, $E$13) + CHOOSE(CONTROL!$C$29, 0.0021, 0)</f>
        <v>61.641399999999997</v>
      </c>
      <c r="E663" s="4">
        <f>294.598749432549 * CHOOSE(CONTROL!$C$10, $C$13, 100%, $E$13) + CHOOSE(CONTROL!$C$29, 0.0021, 0)</f>
        <v>294.60084943254901</v>
      </c>
    </row>
    <row r="664" spans="1:5" ht="15">
      <c r="A664" s="13">
        <v>61362</v>
      </c>
      <c r="B664" s="4">
        <f>45.2039 * CHOOSE(CONTROL!$C$10, $C$13, 100%, $E$13) + CHOOSE(CONTROL!$C$29, 0.0274, 0)</f>
        <v>45.231299999999997</v>
      </c>
      <c r="C664" s="4">
        <f>45.0476 * CHOOSE(CONTROL!$C$10, $C$13, 100%, $E$13) + CHOOSE(CONTROL!$C$29, 0.0274, 0)</f>
        <v>45.075000000000003</v>
      </c>
      <c r="D664" s="4">
        <f>59.52 * CHOOSE(CONTROL!$C$10, $C$13, 100%, $E$13) + CHOOSE(CONTROL!$C$29, 0.0021, 0)</f>
        <v>59.522100000000002</v>
      </c>
      <c r="E664" s="4">
        <f>289.984941977344 * CHOOSE(CONTROL!$C$10, $C$13, 100%, $E$13) + CHOOSE(CONTROL!$C$29, 0.0021, 0)</f>
        <v>289.98704197734401</v>
      </c>
    </row>
    <row r="665" spans="1:5" ht="15">
      <c r="A665" s="13">
        <v>61393</v>
      </c>
      <c r="B665" s="4">
        <f>43.3446 * CHOOSE(CONTROL!$C$10, $C$13, 100%, $E$13) + CHOOSE(CONTROL!$C$29, 0.0274, 0)</f>
        <v>43.372</v>
      </c>
      <c r="C665" s="4">
        <f>43.1883 * CHOOSE(CONTROL!$C$10, $C$13, 100%, $E$13) + CHOOSE(CONTROL!$C$29, 0.0274, 0)</f>
        <v>43.215699999999998</v>
      </c>
      <c r="D665" s="4">
        <f>57.0799 * CHOOSE(CONTROL!$C$10, $C$13, 100%, $E$13) + CHOOSE(CONTROL!$C$29, 0.0021, 0)</f>
        <v>57.082000000000001</v>
      </c>
      <c r="E665" s="4">
        <f>277.90589081624 * CHOOSE(CONTROL!$C$10, $C$13, 100%, $E$13) + CHOOSE(CONTROL!$C$29, 0.0021, 0)</f>
        <v>277.90799081623999</v>
      </c>
    </row>
    <row r="666" spans="1:5" ht="15">
      <c r="A666" s="13">
        <v>61422</v>
      </c>
      <c r="B666" s="4">
        <f>44.3591 * CHOOSE(CONTROL!$C$10, $C$13, 100%, $E$13) + CHOOSE(CONTROL!$C$29, 0.0274, 0)</f>
        <v>44.386499999999998</v>
      </c>
      <c r="C666" s="4">
        <f>44.2028 * CHOOSE(CONTROL!$C$10, $C$13, 100%, $E$13) + CHOOSE(CONTROL!$C$29, 0.0274, 0)</f>
        <v>44.230200000000004</v>
      </c>
      <c r="D666" s="4">
        <f>59.0241 * CHOOSE(CONTROL!$C$10, $C$13, 100%, $E$13) + CHOOSE(CONTROL!$C$29, 0.0021, 0)</f>
        <v>59.026199999999996</v>
      </c>
      <c r="E666" s="4">
        <f>284.504471866166 * CHOOSE(CONTROL!$C$10, $C$13, 100%, $E$13) + CHOOSE(CONTROL!$C$29, 0.0021, 0)</f>
        <v>284.50657186616598</v>
      </c>
    </row>
    <row r="667" spans="1:5" ht="15">
      <c r="A667" s="13">
        <v>61453</v>
      </c>
      <c r="B667" s="4">
        <f>47.0233 * CHOOSE(CONTROL!$C$10, $C$13, 100%, $E$13) + CHOOSE(CONTROL!$C$29, 0.0274, 0)</f>
        <v>47.050699999999999</v>
      </c>
      <c r="C667" s="4">
        <f>46.867 * CHOOSE(CONTROL!$C$10, $C$13, 100%, $E$13) + CHOOSE(CONTROL!$C$29, 0.0274, 0)</f>
        <v>46.894399999999997</v>
      </c>
      <c r="D667" s="4">
        <f>62.0675 * CHOOSE(CONTROL!$C$10, $C$13, 100%, $E$13) + CHOOSE(CONTROL!$C$29, 0.0021, 0)</f>
        <v>62.069600000000001</v>
      </c>
      <c r="E667" s="4">
        <f>301.832696373166 * CHOOSE(CONTROL!$C$10, $C$13, 100%, $E$13) + CHOOSE(CONTROL!$C$29, 0.0021, 0)</f>
        <v>301.834796373166</v>
      </c>
    </row>
    <row r="668" spans="1:5" ht="15">
      <c r="A668" s="13">
        <v>61483</v>
      </c>
      <c r="B668" s="4">
        <f>48.9162 * CHOOSE(CONTROL!$C$10, $C$13, 100%, $E$13) + CHOOSE(CONTROL!$C$29, 0.0274, 0)</f>
        <v>48.943600000000004</v>
      </c>
      <c r="C668" s="4">
        <f>48.76 * CHOOSE(CONTROL!$C$10, $C$13, 100%, $E$13) + CHOOSE(CONTROL!$C$29, 0.0274, 0)</f>
        <v>48.787399999999998</v>
      </c>
      <c r="D668" s="4">
        <f>63.8206 * CHOOSE(CONTROL!$C$10, $C$13, 100%, $E$13) + CHOOSE(CONTROL!$C$29, 0.0021, 0)</f>
        <v>63.822699999999998</v>
      </c>
      <c r="E668" s="4">
        <f>314.144630814344 * CHOOSE(CONTROL!$C$10, $C$13, 100%, $E$13) + CHOOSE(CONTROL!$C$29, 0.0021, 0)</f>
        <v>314.14673081434398</v>
      </c>
    </row>
    <row r="669" spans="1:5" ht="15">
      <c r="A669" s="13">
        <v>61514</v>
      </c>
      <c r="B669" s="4">
        <f>50.0727 * CHOOSE(CONTROL!$C$10, $C$13, 100%, $E$13) + CHOOSE(CONTROL!$C$29, 0.0274, 0)</f>
        <v>50.100099999999998</v>
      </c>
      <c r="C669" s="4">
        <f>49.9165 * CHOOSE(CONTROL!$C$10, $C$13, 100%, $E$13) + CHOOSE(CONTROL!$C$29, 0.0274, 0)</f>
        <v>49.943899999999999</v>
      </c>
      <c r="D669" s="4">
        <f>63.1279 * CHOOSE(CONTROL!$C$10, $C$13, 100%, $E$13) + CHOOSE(CONTROL!$C$29, 0.0021, 0)</f>
        <v>63.129999999999995</v>
      </c>
      <c r="E669" s="4">
        <f>321.666927682018 * CHOOSE(CONTROL!$C$10, $C$13, 100%, $E$13) + CHOOSE(CONTROL!$C$29, 0.0021, 0)</f>
        <v>321.669027682018</v>
      </c>
    </row>
    <row r="670" spans="1:5" ht="15">
      <c r="A670" s="13">
        <v>61544</v>
      </c>
      <c r="B670" s="4">
        <f>50.2292 * CHOOSE(CONTROL!$C$10, $C$13, 100%, $E$13) + CHOOSE(CONTROL!$C$29, 0.0274, 0)</f>
        <v>50.256599999999999</v>
      </c>
      <c r="C670" s="4">
        <f>50.073 * CHOOSE(CONTROL!$C$10, $C$13, 100%, $E$13) + CHOOSE(CONTROL!$C$29, 0.0274, 0)</f>
        <v>50.1004</v>
      </c>
      <c r="D670" s="4">
        <f>63.6921 * CHOOSE(CONTROL!$C$10, $C$13, 100%, $E$13) + CHOOSE(CONTROL!$C$29, 0.0021, 0)</f>
        <v>63.694200000000002</v>
      </c>
      <c r="E670" s="4">
        <f>322.684725666387 * CHOOSE(CONTROL!$C$10, $C$13, 100%, $E$13) + CHOOSE(CONTROL!$C$29, 0.0021, 0)</f>
        <v>322.68682566638699</v>
      </c>
    </row>
    <row r="671" spans="1:5" ht="15">
      <c r="A671" s="13">
        <v>61575</v>
      </c>
      <c r="B671" s="4">
        <f>50.2134 * CHOOSE(CONTROL!$C$10, $C$13, 100%, $E$13) + CHOOSE(CONTROL!$C$29, 0.0274, 0)</f>
        <v>50.2408</v>
      </c>
      <c r="C671" s="4">
        <f>50.0572 * CHOOSE(CONTROL!$C$10, $C$13, 100%, $E$13) + CHOOSE(CONTROL!$C$29, 0.0274, 0)</f>
        <v>50.084600000000002</v>
      </c>
      <c r="D671" s="4">
        <f>64.7101 * CHOOSE(CONTROL!$C$10, $C$13, 100%, $E$13) + CHOOSE(CONTROL!$C$29, 0.0021, 0)</f>
        <v>64.712199999999996</v>
      </c>
      <c r="E671" s="4">
        <f>322.582090575526 * CHOOSE(CONTROL!$C$10, $C$13, 100%, $E$13) + CHOOSE(CONTROL!$C$29, 0.0021, 0)</f>
        <v>322.58419057552601</v>
      </c>
    </row>
    <row r="672" spans="1:5" ht="15">
      <c r="A672" s="13">
        <v>61606</v>
      </c>
      <c r="B672" s="4">
        <f>51.4009 * CHOOSE(CONTROL!$C$10, $C$13, 100%, $E$13) + CHOOSE(CONTROL!$C$29, 0.0274, 0)</f>
        <v>51.4283</v>
      </c>
      <c r="C672" s="4">
        <f>51.2446 * CHOOSE(CONTROL!$C$10, $C$13, 100%, $E$13) + CHOOSE(CONTROL!$C$29, 0.0274, 0)</f>
        <v>51.271999999999998</v>
      </c>
      <c r="D672" s="4">
        <f>64.0378 * CHOOSE(CONTROL!$C$10, $C$13, 100%, $E$13) + CHOOSE(CONTROL!$C$29, 0.0021, 0)</f>
        <v>64.039900000000003</v>
      </c>
      <c r="E672" s="4">
        <f>330.305381162802 * CHOOSE(CONTROL!$C$10, $C$13, 100%, $E$13) + CHOOSE(CONTROL!$C$29, 0.0021, 0)</f>
        <v>330.30748116280199</v>
      </c>
    </row>
    <row r="673" spans="1:5" ht="15">
      <c r="A673" s="13">
        <v>61636</v>
      </c>
      <c r="B673" s="4">
        <f>49.3771 * CHOOSE(CONTROL!$C$10, $C$13, 100%, $E$13) + CHOOSE(CONTROL!$C$29, 0.0274, 0)</f>
        <v>49.404499999999999</v>
      </c>
      <c r="C673" s="4">
        <f>49.2209 * CHOOSE(CONTROL!$C$10, $C$13, 100%, $E$13) + CHOOSE(CONTROL!$C$29, 0.0274, 0)</f>
        <v>49.2483</v>
      </c>
      <c r="D673" s="4">
        <f>63.7202 * CHOOSE(CONTROL!$C$10, $C$13, 100%, $E$13) + CHOOSE(CONTROL!$C$29, 0.0021, 0)</f>
        <v>63.722299999999997</v>
      </c>
      <c r="E673" s="4">
        <f>317.142430759904 * CHOOSE(CONTROL!$C$10, $C$13, 100%, $E$13) + CHOOSE(CONTROL!$C$29, 0.0021, 0)</f>
        <v>317.144530759904</v>
      </c>
    </row>
    <row r="674" spans="1:5" ht="15">
      <c r="A674" s="13">
        <v>61667</v>
      </c>
      <c r="B674" s="4">
        <f>47.757 * CHOOSE(CONTROL!$C$10, $C$13, 100%, $E$13) + CHOOSE(CONTROL!$C$29, 0.0274, 0)</f>
        <v>47.784399999999998</v>
      </c>
      <c r="C674" s="4">
        <f>47.6008 * CHOOSE(CONTROL!$C$10, $C$13, 100%, $E$13) + CHOOSE(CONTROL!$C$29, 0.0274, 0)</f>
        <v>47.6282</v>
      </c>
      <c r="D674" s="4">
        <f>62.8696 * CHOOSE(CONTROL!$C$10, $C$13, 100%, $E$13) + CHOOSE(CONTROL!$C$29, 0.0021, 0)</f>
        <v>62.871699999999997</v>
      </c>
      <c r="E674" s="4">
        <f>306.605228098194 * CHOOSE(CONTROL!$C$10, $C$13, 100%, $E$13) + CHOOSE(CONTROL!$C$29, 0.0021, 0)</f>
        <v>306.60732809819399</v>
      </c>
    </row>
    <row r="675" spans="1:5" ht="15">
      <c r="A675" s="13">
        <v>61697</v>
      </c>
      <c r="B675" s="4">
        <f>46.7136 * CHOOSE(CONTROL!$C$10, $C$13, 100%, $E$13) + CHOOSE(CONTROL!$C$29, 0.0274, 0)</f>
        <v>46.741</v>
      </c>
      <c r="C675" s="4">
        <f>46.5573 * CHOOSE(CONTROL!$C$10, $C$13, 100%, $E$13) + CHOOSE(CONTROL!$C$29, 0.0274, 0)</f>
        <v>46.584699999999998</v>
      </c>
      <c r="D675" s="4">
        <f>62.5772 * CHOOSE(CONTROL!$C$10, $C$13, 100%, $E$13) + CHOOSE(CONTROL!$C$29, 0.0021, 0)</f>
        <v>62.579299999999996</v>
      </c>
      <c r="E675" s="4">
        <f>299.818482715023 * CHOOSE(CONTROL!$C$10, $C$13, 100%, $E$13) + CHOOSE(CONTROL!$C$29, 0.0021, 0)</f>
        <v>299.82058271502297</v>
      </c>
    </row>
    <row r="676" spans="1:5" ht="15">
      <c r="A676" s="13">
        <v>61728</v>
      </c>
      <c r="B676" s="4">
        <f>45.9917 * CHOOSE(CONTROL!$C$10, $C$13, 100%, $E$13) + CHOOSE(CONTROL!$C$29, 0.0274, 0)</f>
        <v>46.019100000000002</v>
      </c>
      <c r="C676" s="4">
        <f>45.8354 * CHOOSE(CONTROL!$C$10, $C$13, 100%, $E$13) + CHOOSE(CONTROL!$C$29, 0.0274, 0)</f>
        <v>45.8628</v>
      </c>
      <c r="D676" s="4">
        <f>60.4245 * CHOOSE(CONTROL!$C$10, $C$13, 100%, $E$13) + CHOOSE(CONTROL!$C$29, 0.0021, 0)</f>
        <v>60.426600000000001</v>
      </c>
      <c r="E676" s="4">
        <f>295.122927308141 * CHOOSE(CONTROL!$C$10, $C$13, 100%, $E$13) + CHOOSE(CONTROL!$C$29, 0.0021, 0)</f>
        <v>295.125027308141</v>
      </c>
    </row>
    <row r="677" spans="1:5" ht="15">
      <c r="A677" s="13">
        <v>61759</v>
      </c>
      <c r="B677" s="4">
        <f>44.0995 * CHOOSE(CONTROL!$C$10, $C$13, 100%, $E$13) + CHOOSE(CONTROL!$C$29, 0.0274, 0)</f>
        <v>44.126899999999999</v>
      </c>
      <c r="C677" s="4">
        <f>43.9433 * CHOOSE(CONTROL!$C$10, $C$13, 100%, $E$13) + CHOOSE(CONTROL!$C$29, 0.0274, 0)</f>
        <v>43.970700000000001</v>
      </c>
      <c r="D677" s="4">
        <f>57.9461 * CHOOSE(CONTROL!$C$10, $C$13, 100%, $E$13) + CHOOSE(CONTROL!$C$29, 0.0021, 0)</f>
        <v>57.9482</v>
      </c>
      <c r="E677" s="4">
        <f>282.829858180267 * CHOOSE(CONTROL!$C$10, $C$13, 100%, $E$13) + CHOOSE(CONTROL!$C$29, 0.0021, 0)</f>
        <v>282.83195818026701</v>
      </c>
    </row>
    <row r="678" spans="1:5" ht="15">
      <c r="A678" s="13">
        <v>61787</v>
      </c>
      <c r="B678" s="4">
        <f>45.1319 * CHOOSE(CONTROL!$C$10, $C$13, 100%, $E$13) + CHOOSE(CONTROL!$C$29, 0.0274, 0)</f>
        <v>45.159300000000002</v>
      </c>
      <c r="C678" s="4">
        <f>44.9757 * CHOOSE(CONTROL!$C$10, $C$13, 100%, $E$13) + CHOOSE(CONTROL!$C$29, 0.0274, 0)</f>
        <v>45.003100000000003</v>
      </c>
      <c r="D678" s="4">
        <f>59.9209 * CHOOSE(CONTROL!$C$10, $C$13, 100%, $E$13) + CHOOSE(CONTROL!$C$29, 0.0021, 0)</f>
        <v>59.923000000000002</v>
      </c>
      <c r="E678" s="4">
        <f>289.545353620325 * CHOOSE(CONTROL!$C$10, $C$13, 100%, $E$13) + CHOOSE(CONTROL!$C$29, 0.0021, 0)</f>
        <v>289.54745362032497</v>
      </c>
    </row>
    <row r="679" spans="1:5" ht="15">
      <c r="A679" s="13">
        <v>61818</v>
      </c>
      <c r="B679" s="4">
        <f>47.8432 * CHOOSE(CONTROL!$C$10, $C$13, 100%, $E$13) + CHOOSE(CONTROL!$C$29, 0.0274, 0)</f>
        <v>47.870600000000003</v>
      </c>
      <c r="C679" s="4">
        <f>47.6869 * CHOOSE(CONTROL!$C$10, $C$13, 100%, $E$13) + CHOOSE(CONTROL!$C$29, 0.0274, 0)</f>
        <v>47.714300000000001</v>
      </c>
      <c r="D679" s="4">
        <f>63.0122 * CHOOSE(CONTROL!$C$10, $C$13, 100%, $E$13) + CHOOSE(CONTROL!$C$29, 0.0021, 0)</f>
        <v>63.014299999999999</v>
      </c>
      <c r="E679" s="4">
        <f>307.180601529018 * CHOOSE(CONTROL!$C$10, $C$13, 100%, $E$13) + CHOOSE(CONTROL!$C$29, 0.0021, 0)</f>
        <v>307.182701529018</v>
      </c>
    </row>
    <row r="680" spans="1:5" ht="15">
      <c r="A680" s="13">
        <v>61848</v>
      </c>
      <c r="B680" s="4">
        <f>49.7696 * CHOOSE(CONTROL!$C$10, $C$13, 100%, $E$13) + CHOOSE(CONTROL!$C$29, 0.0274, 0)</f>
        <v>49.796999999999997</v>
      </c>
      <c r="C680" s="4">
        <f>49.6133 * CHOOSE(CONTROL!$C$10, $C$13, 100%, $E$13) + CHOOSE(CONTROL!$C$29, 0.0274, 0)</f>
        <v>49.640700000000002</v>
      </c>
      <c r="D680" s="4">
        <f>64.7929 * CHOOSE(CONTROL!$C$10, $C$13, 100%, $E$13) + CHOOSE(CONTROL!$C$29, 0.0021, 0)</f>
        <v>64.795000000000002</v>
      </c>
      <c r="E680" s="4">
        <f>319.710680188724 * CHOOSE(CONTROL!$C$10, $C$13, 100%, $E$13) + CHOOSE(CONTROL!$C$29, 0.0021, 0)</f>
        <v>319.71278018872397</v>
      </c>
    </row>
    <row r="681" spans="1:5" ht="15">
      <c r="A681" s="13">
        <v>61879</v>
      </c>
      <c r="B681" s="4">
        <f>50.9465 * CHOOSE(CONTROL!$C$10, $C$13, 100%, $E$13) + CHOOSE(CONTROL!$C$29, 0.0274, 0)</f>
        <v>50.9739</v>
      </c>
      <c r="C681" s="4">
        <f>50.7903 * CHOOSE(CONTROL!$C$10, $C$13, 100%, $E$13) + CHOOSE(CONTROL!$C$29, 0.0274, 0)</f>
        <v>50.817700000000002</v>
      </c>
      <c r="D681" s="4">
        <f>64.0892 * CHOOSE(CONTROL!$C$10, $C$13, 100%, $E$13) + CHOOSE(CONTROL!$C$29, 0.0021, 0)</f>
        <v>64.091300000000004</v>
      </c>
      <c r="E681" s="4">
        <f>327.366257945731 * CHOOSE(CONTROL!$C$10, $C$13, 100%, $E$13) + CHOOSE(CONTROL!$C$29, 0.0021, 0)</f>
        <v>327.36835794573096</v>
      </c>
    </row>
    <row r="682" spans="1:5" ht="15">
      <c r="A682" s="13">
        <v>61909</v>
      </c>
      <c r="B682" s="4">
        <f>51.1058 * CHOOSE(CONTROL!$C$10, $C$13, 100%, $E$13) + CHOOSE(CONTROL!$C$29, 0.0274, 0)</f>
        <v>51.133200000000002</v>
      </c>
      <c r="C682" s="4">
        <f>50.9495 * CHOOSE(CONTROL!$C$10, $C$13, 100%, $E$13) + CHOOSE(CONTROL!$C$29, 0.0274, 0)</f>
        <v>50.976900000000001</v>
      </c>
      <c r="D682" s="4">
        <f>64.6623 * CHOOSE(CONTROL!$C$10, $C$13, 100%, $E$13) + CHOOSE(CONTROL!$C$29, 0.0021, 0)</f>
        <v>64.664400000000001</v>
      </c>
      <c r="E682" s="4">
        <f>328.402089387554 * CHOOSE(CONTROL!$C$10, $C$13, 100%, $E$13) + CHOOSE(CONTROL!$C$29, 0.0021, 0)</f>
        <v>328.40418938755397</v>
      </c>
    </row>
    <row r="683" spans="1:5" ht="15">
      <c r="A683" s="13">
        <v>61940</v>
      </c>
      <c r="B683" s="4">
        <f>51.0897 * CHOOSE(CONTROL!$C$10, $C$13, 100%, $E$13) + CHOOSE(CONTROL!$C$29, 0.0274, 0)</f>
        <v>51.117100000000001</v>
      </c>
      <c r="C683" s="4">
        <f>50.9335 * CHOOSE(CONTROL!$C$10, $C$13, 100%, $E$13) + CHOOSE(CONTROL!$C$29, 0.0274, 0)</f>
        <v>50.960900000000002</v>
      </c>
      <c r="D683" s="4">
        <f>65.6963 * CHOOSE(CONTROL!$C$10, $C$13, 100%, $E$13) + CHOOSE(CONTROL!$C$29, 0.0021, 0)</f>
        <v>65.698399999999992</v>
      </c>
      <c r="E683" s="4">
        <f>328.297635796782 * CHOOSE(CONTROL!$C$10, $C$13, 100%, $E$13) + CHOOSE(CONTROL!$C$29, 0.0021, 0)</f>
        <v>328.29973579678199</v>
      </c>
    </row>
    <row r="684" spans="1:5" ht="15">
      <c r="A684" s="13">
        <v>61971</v>
      </c>
      <c r="B684" s="4">
        <f>52.2981 * CHOOSE(CONTROL!$C$10, $C$13, 100%, $E$13) + CHOOSE(CONTROL!$C$29, 0.0274, 0)</f>
        <v>52.325499999999998</v>
      </c>
      <c r="C684" s="4">
        <f>52.1419 * CHOOSE(CONTROL!$C$10, $C$13, 100%, $E$13) + CHOOSE(CONTROL!$C$29, 0.0274, 0)</f>
        <v>52.1693</v>
      </c>
      <c r="D684" s="4">
        <f>65.0134 * CHOOSE(CONTROL!$C$10, $C$13, 100%, $E$13) + CHOOSE(CONTROL!$C$29, 0.0021, 0)</f>
        <v>65.015500000000003</v>
      </c>
      <c r="E684" s="4">
        <f>336.157768502384 * CHOOSE(CONTROL!$C$10, $C$13, 100%, $E$13) + CHOOSE(CONTROL!$C$29, 0.0021, 0)</f>
        <v>336.15986850238397</v>
      </c>
    </row>
    <row r="685" spans="1:5" ht="15">
      <c r="A685" s="13">
        <v>62001</v>
      </c>
      <c r="B685" s="4">
        <f>50.2386 * CHOOSE(CONTROL!$C$10, $C$13, 100%, $E$13) + CHOOSE(CONTROL!$C$29, 0.0274, 0)</f>
        <v>50.265999999999998</v>
      </c>
      <c r="C685" s="4">
        <f>50.0824 * CHOOSE(CONTROL!$C$10, $C$13, 100%, $E$13) + CHOOSE(CONTROL!$C$29, 0.0274, 0)</f>
        <v>50.1098</v>
      </c>
      <c r="D685" s="4">
        <f>64.6908 * CHOOSE(CONTROL!$C$10, $C$13, 100%, $E$13) + CHOOSE(CONTROL!$C$29, 0.0021, 0)</f>
        <v>64.692899999999995</v>
      </c>
      <c r="E685" s="4">
        <f>322.76159548586 * CHOOSE(CONTROL!$C$10, $C$13, 100%, $E$13) + CHOOSE(CONTROL!$C$29, 0.0021, 0)</f>
        <v>322.76369548586001</v>
      </c>
    </row>
    <row r="686" spans="1:5" ht="15">
      <c r="A686" s="13">
        <v>62032</v>
      </c>
      <c r="B686" s="4">
        <f>48.5899 * CHOOSE(CONTROL!$C$10, $C$13, 100%, $E$13) + CHOOSE(CONTROL!$C$29, 0.0274, 0)</f>
        <v>48.6173</v>
      </c>
      <c r="C686" s="4">
        <f>48.4337 * CHOOSE(CONTROL!$C$10, $C$13, 100%, $E$13) + CHOOSE(CONTROL!$C$29, 0.0274, 0)</f>
        <v>48.461100000000002</v>
      </c>
      <c r="D686" s="4">
        <f>63.8269 * CHOOSE(CONTROL!$C$10, $C$13, 100%, $E$13) + CHOOSE(CONTROL!$C$29, 0.0021, 0)</f>
        <v>63.829000000000001</v>
      </c>
      <c r="E686" s="4">
        <f>312.037693499922 * CHOOSE(CONTROL!$C$10, $C$13, 100%, $E$13) + CHOOSE(CONTROL!$C$29, 0.0021, 0)</f>
        <v>312.03979349992198</v>
      </c>
    </row>
    <row r="687" spans="1:5" ht="15">
      <c r="A687" s="13">
        <v>62062</v>
      </c>
      <c r="B687" s="4">
        <f>47.528 * CHOOSE(CONTROL!$C$10, $C$13, 100%, $E$13) + CHOOSE(CONTROL!$C$29, 0.0274, 0)</f>
        <v>47.555399999999999</v>
      </c>
      <c r="C687" s="4">
        <f>47.3718 * CHOOSE(CONTROL!$C$10, $C$13, 100%, $E$13) + CHOOSE(CONTROL!$C$29, 0.0274, 0)</f>
        <v>47.3992</v>
      </c>
      <c r="D687" s="4">
        <f>63.5299 * CHOOSE(CONTROL!$C$10, $C$13, 100%, $E$13) + CHOOSE(CONTROL!$C$29, 0.0021, 0)</f>
        <v>63.531999999999996</v>
      </c>
      <c r="E687" s="4">
        <f>305.130699810115 * CHOOSE(CONTROL!$C$10, $C$13, 100%, $E$13) + CHOOSE(CONTROL!$C$29, 0.0021, 0)</f>
        <v>305.13279981011499</v>
      </c>
    </row>
    <row r="688" spans="1:5" ht="15">
      <c r="A688" s="13">
        <v>62093</v>
      </c>
      <c r="B688" s="4">
        <f>46.7934 * CHOOSE(CONTROL!$C$10, $C$13, 100%, $E$13) + CHOOSE(CONTROL!$C$29, 0.0274, 0)</f>
        <v>46.820799999999998</v>
      </c>
      <c r="C688" s="4">
        <f>46.6371 * CHOOSE(CONTROL!$C$10, $C$13, 100%, $E$13) + CHOOSE(CONTROL!$C$29, 0.0274, 0)</f>
        <v>46.664499999999997</v>
      </c>
      <c r="D688" s="4">
        <f>61.3433 * CHOOSE(CONTROL!$C$10, $C$13, 100%, $E$13) + CHOOSE(CONTROL!$C$29, 0.0021, 0)</f>
        <v>61.345399999999998</v>
      </c>
      <c r="E688" s="4">
        <f>300.35194803229 * CHOOSE(CONTROL!$C$10, $C$13, 100%, $E$13) + CHOOSE(CONTROL!$C$29, 0.0021, 0)</f>
        <v>300.35404803229</v>
      </c>
    </row>
    <row r="689" spans="1:5" ht="15">
      <c r="A689" s="13">
        <v>62124</v>
      </c>
      <c r="B689" s="4">
        <f>44.8678 * CHOOSE(CONTROL!$C$10, $C$13, 100%, $E$13) + CHOOSE(CONTROL!$C$29, 0.0274, 0)</f>
        <v>44.895200000000003</v>
      </c>
      <c r="C689" s="4">
        <f>44.7115 * CHOOSE(CONTROL!$C$10, $C$13, 100%, $E$13) + CHOOSE(CONTROL!$C$29, 0.0274, 0)</f>
        <v>44.738900000000001</v>
      </c>
      <c r="D689" s="4">
        <f>58.8259 * CHOOSE(CONTROL!$C$10, $C$13, 100%, $E$13) + CHOOSE(CONTROL!$C$29, 0.0021, 0)</f>
        <v>58.827999999999996</v>
      </c>
      <c r="E689" s="4">
        <f>287.8410689436 * CHOOSE(CONTROL!$C$10, $C$13, 100%, $E$13) + CHOOSE(CONTROL!$C$29, 0.0021, 0)</f>
        <v>287.84316894360001</v>
      </c>
    </row>
    <row r="690" spans="1:5" ht="15">
      <c r="A690" s="13">
        <v>62152</v>
      </c>
      <c r="B690" s="4">
        <f>45.9184 * CHOOSE(CONTROL!$C$10, $C$13, 100%, $E$13) + CHOOSE(CONTROL!$C$29, 0.0274, 0)</f>
        <v>45.945799999999998</v>
      </c>
      <c r="C690" s="4">
        <f>45.7622 * CHOOSE(CONTROL!$C$10, $C$13, 100%, $E$13) + CHOOSE(CONTROL!$C$29, 0.0274, 0)</f>
        <v>45.7896</v>
      </c>
      <c r="D690" s="4">
        <f>60.8317 * CHOOSE(CONTROL!$C$10, $C$13, 100%, $E$13) + CHOOSE(CONTROL!$C$29, 0.0021, 0)</f>
        <v>60.833799999999997</v>
      </c>
      <c r="E690" s="4">
        <f>294.675550275907 * CHOOSE(CONTROL!$C$10, $C$13, 100%, $E$13) + CHOOSE(CONTROL!$C$29, 0.0021, 0)</f>
        <v>294.67765027590701</v>
      </c>
    </row>
    <row r="691" spans="1:5" ht="15">
      <c r="A691" s="13">
        <v>62183</v>
      </c>
      <c r="B691" s="4">
        <f>48.6776 * CHOOSE(CONTROL!$C$10, $C$13, 100%, $E$13) + CHOOSE(CONTROL!$C$29, 0.0274, 0)</f>
        <v>48.704999999999998</v>
      </c>
      <c r="C691" s="4">
        <f>48.5213 * CHOOSE(CONTROL!$C$10, $C$13, 100%, $E$13) + CHOOSE(CONTROL!$C$29, 0.0274, 0)</f>
        <v>48.548699999999997</v>
      </c>
      <c r="D691" s="4">
        <f>63.9717 * CHOOSE(CONTROL!$C$10, $C$13, 100%, $E$13) + CHOOSE(CONTROL!$C$29, 0.0021, 0)</f>
        <v>63.973799999999997</v>
      </c>
      <c r="E691" s="4">
        <f>312.623261460942 * CHOOSE(CONTROL!$C$10, $C$13, 100%, $E$13) + CHOOSE(CONTROL!$C$29, 0.0021, 0)</f>
        <v>312.62536146094197</v>
      </c>
    </row>
    <row r="692" spans="1:5" ht="15">
      <c r="A692" s="13">
        <v>62213</v>
      </c>
      <c r="B692" s="4">
        <f>50.638 * CHOOSE(CONTROL!$C$10, $C$13, 100%, $E$13) + CHOOSE(CONTROL!$C$29, 0.0274, 0)</f>
        <v>50.665399999999998</v>
      </c>
      <c r="C692" s="4">
        <f>50.4818 * CHOOSE(CONTROL!$C$10, $C$13, 100%, $E$13) + CHOOSE(CONTROL!$C$29, 0.0274, 0)</f>
        <v>50.5092</v>
      </c>
      <c r="D692" s="4">
        <f>65.7803 * CHOOSE(CONTROL!$C$10, $C$13, 100%, $E$13) + CHOOSE(CONTROL!$C$29, 0.0021, 0)</f>
        <v>65.782399999999996</v>
      </c>
      <c r="E692" s="4">
        <f>325.375349442609 * CHOOSE(CONTROL!$C$10, $C$13, 100%, $E$13) + CHOOSE(CONTROL!$C$29, 0.0021, 0)</f>
        <v>325.37744944260896</v>
      </c>
    </row>
    <row r="693" spans="1:5" ht="15">
      <c r="A693" s="13">
        <v>62244</v>
      </c>
      <c r="B693" s="4">
        <f>51.8358 * CHOOSE(CONTROL!$C$10, $C$13, 100%, $E$13) + CHOOSE(CONTROL!$C$29, 0.0274, 0)</f>
        <v>51.863199999999999</v>
      </c>
      <c r="C693" s="4">
        <f>51.6795 * CHOOSE(CONTROL!$C$10, $C$13, 100%, $E$13) + CHOOSE(CONTROL!$C$29, 0.0274, 0)</f>
        <v>51.706899999999997</v>
      </c>
      <c r="D693" s="4">
        <f>65.0656 * CHOOSE(CONTROL!$C$10, $C$13, 100%, $E$13) + CHOOSE(CONTROL!$C$29, 0.0021, 0)</f>
        <v>65.067700000000002</v>
      </c>
      <c r="E693" s="4">
        <f>333.166569574513 * CHOOSE(CONTROL!$C$10, $C$13, 100%, $E$13) + CHOOSE(CONTROL!$C$29, 0.0021, 0)</f>
        <v>333.16866957451299</v>
      </c>
    </row>
    <row r="694" spans="1:5" ht="15">
      <c r="A694" s="13">
        <v>62274</v>
      </c>
      <c r="B694" s="4">
        <f>51.9978 * CHOOSE(CONTROL!$C$10, $C$13, 100%, $E$13) + CHOOSE(CONTROL!$C$29, 0.0274, 0)</f>
        <v>52.025199999999998</v>
      </c>
      <c r="C694" s="4">
        <f>51.8416 * CHOOSE(CONTROL!$C$10, $C$13, 100%, $E$13) + CHOOSE(CONTROL!$C$29, 0.0274, 0)</f>
        <v>51.869</v>
      </c>
      <c r="D694" s="4">
        <f>65.6477 * CHOOSE(CONTROL!$C$10, $C$13, 100%, $E$13) + CHOOSE(CONTROL!$C$29, 0.0021, 0)</f>
        <v>65.649799999999999</v>
      </c>
      <c r="E694" s="4">
        <f>334.220753992587 * CHOOSE(CONTROL!$C$10, $C$13, 100%, $E$13) + CHOOSE(CONTROL!$C$29, 0.0021, 0)</f>
        <v>334.22285399258698</v>
      </c>
    </row>
    <row r="695" spans="1:5" ht="15">
      <c r="A695" s="13">
        <v>62305</v>
      </c>
      <c r="B695" s="4">
        <f>51.9815 * CHOOSE(CONTROL!$C$10, $C$13, 100%, $E$13) + CHOOSE(CONTROL!$C$29, 0.0274, 0)</f>
        <v>52.008899999999997</v>
      </c>
      <c r="C695" s="4">
        <f>51.8252 * CHOOSE(CONTROL!$C$10, $C$13, 100%, $E$13) + CHOOSE(CONTROL!$C$29, 0.0274, 0)</f>
        <v>51.852600000000002</v>
      </c>
      <c r="D695" s="4">
        <f>66.698 * CHOOSE(CONTROL!$C$10, $C$13, 100%, $E$13) + CHOOSE(CONTROL!$C$29, 0.0021, 0)</f>
        <v>66.700099999999992</v>
      </c>
      <c r="E695" s="4">
        <f>334.114449681521 * CHOOSE(CONTROL!$C$10, $C$13, 100%, $E$13) + CHOOSE(CONTROL!$C$29, 0.0021, 0)</f>
        <v>334.11654968152101</v>
      </c>
    </row>
    <row r="696" spans="1:5" ht="15">
      <c r="A696" s="13">
        <v>62336</v>
      </c>
      <c r="B696" s="4">
        <f>53.2113 * CHOOSE(CONTROL!$C$10, $C$13, 100%, $E$13) + CHOOSE(CONTROL!$C$29, 0.0274, 0)</f>
        <v>53.238700000000001</v>
      </c>
      <c r="C696" s="4">
        <f>53.055 * CHOOSE(CONTROL!$C$10, $C$13, 100%, $E$13) + CHOOSE(CONTROL!$C$29, 0.0274, 0)</f>
        <v>53.0824</v>
      </c>
      <c r="D696" s="4">
        <f>66.0044 * CHOOSE(CONTROL!$C$10, $C$13, 100%, $E$13) + CHOOSE(CONTROL!$C$29, 0.0021, 0)</f>
        <v>66.006500000000003</v>
      </c>
      <c r="E696" s="4">
        <f>342.113849089264 * CHOOSE(CONTROL!$C$10, $C$13, 100%, $E$13) + CHOOSE(CONTROL!$C$29, 0.0021, 0)</f>
        <v>342.11594908926401</v>
      </c>
    </row>
    <row r="697" spans="1:5" ht="15">
      <c r="A697" s="13">
        <v>62366</v>
      </c>
      <c r="B697" s="4">
        <f>51.1153 * CHOOSE(CONTROL!$C$10, $C$13, 100%, $E$13) + CHOOSE(CONTROL!$C$29, 0.0274, 0)</f>
        <v>51.142699999999998</v>
      </c>
      <c r="C697" s="4">
        <f>50.9591 * CHOOSE(CONTROL!$C$10, $C$13, 100%, $E$13) + CHOOSE(CONTROL!$C$29, 0.0274, 0)</f>
        <v>50.986499999999999</v>
      </c>
      <c r="D697" s="4">
        <f>65.6767 * CHOOSE(CONTROL!$C$10, $C$13, 100%, $E$13) + CHOOSE(CONTROL!$C$29, 0.0021, 0)</f>
        <v>65.678799999999995</v>
      </c>
      <c r="E697" s="4">
        <f>328.480321195005 * CHOOSE(CONTROL!$C$10, $C$13, 100%, $E$13) + CHOOSE(CONTROL!$C$29, 0.0021, 0)</f>
        <v>328.48242119500497</v>
      </c>
    </row>
    <row r="698" spans="1:5" ht="15">
      <c r="A698" s="13">
        <v>62397</v>
      </c>
      <c r="B698" s="4">
        <f>49.4375 * CHOOSE(CONTROL!$C$10, $C$13, 100%, $E$13) + CHOOSE(CONTROL!$C$29, 0.0274, 0)</f>
        <v>49.4649</v>
      </c>
      <c r="C698" s="4">
        <f>49.2813 * CHOOSE(CONTROL!$C$10, $C$13, 100%, $E$13) + CHOOSE(CONTROL!$C$29, 0.0274, 0)</f>
        <v>49.308700000000002</v>
      </c>
      <c r="D698" s="4">
        <f>64.7992 * CHOOSE(CONTROL!$C$10, $C$13, 100%, $E$13) + CHOOSE(CONTROL!$C$29, 0.0021, 0)</f>
        <v>64.801299999999998</v>
      </c>
      <c r="E698" s="4">
        <f>317.566411925527 * CHOOSE(CONTROL!$C$10, $C$13, 100%, $E$13) + CHOOSE(CONTROL!$C$29, 0.0021, 0)</f>
        <v>317.56851192552699</v>
      </c>
    </row>
    <row r="699" spans="1:5" ht="15">
      <c r="A699" s="13">
        <v>62427</v>
      </c>
      <c r="B699" s="4">
        <f>48.3569 * CHOOSE(CONTROL!$C$10, $C$13, 100%, $E$13) + CHOOSE(CONTROL!$C$29, 0.0274, 0)</f>
        <v>48.384300000000003</v>
      </c>
      <c r="C699" s="4">
        <f>48.2006 * CHOOSE(CONTROL!$C$10, $C$13, 100%, $E$13) + CHOOSE(CONTROL!$C$29, 0.0274, 0)</f>
        <v>48.228000000000002</v>
      </c>
      <c r="D699" s="4">
        <f>64.4975 * CHOOSE(CONTROL!$C$10, $C$13, 100%, $E$13) + CHOOSE(CONTROL!$C$29, 0.0021, 0)</f>
        <v>64.499600000000001</v>
      </c>
      <c r="E699" s="4">
        <f>310.537039356265 * CHOOSE(CONTROL!$C$10, $C$13, 100%, $E$13) + CHOOSE(CONTROL!$C$29, 0.0021, 0)</f>
        <v>310.53913935626497</v>
      </c>
    </row>
    <row r="700" spans="1:5" ht="15">
      <c r="A700" s="13">
        <v>62458</v>
      </c>
      <c r="B700" s="4">
        <f>47.6092 * CHOOSE(CONTROL!$C$10, $C$13, 100%, $E$13) + CHOOSE(CONTROL!$C$29, 0.0274, 0)</f>
        <v>47.636600000000001</v>
      </c>
      <c r="C700" s="4">
        <f>47.453 * CHOOSE(CONTROL!$C$10, $C$13, 100%, $E$13) + CHOOSE(CONTROL!$C$29, 0.0274, 0)</f>
        <v>47.480400000000003</v>
      </c>
      <c r="D700" s="4">
        <f>62.2766 * CHOOSE(CONTROL!$C$10, $C$13, 100%, $E$13) + CHOOSE(CONTROL!$C$29, 0.0021, 0)</f>
        <v>62.278700000000001</v>
      </c>
      <c r="E700" s="4">
        <f>305.67361712498 * CHOOSE(CONTROL!$C$10, $C$13, 100%, $E$13) + CHOOSE(CONTROL!$C$29, 0.0021, 0)</f>
        <v>305.67571712498</v>
      </c>
    </row>
    <row r="701" spans="1:5" ht="15">
      <c r="A701" s="13">
        <v>62489</v>
      </c>
      <c r="B701" s="4">
        <f>45.6496 * CHOOSE(CONTROL!$C$10, $C$13, 100%, $E$13) + CHOOSE(CONTROL!$C$29, 0.0274, 0)</f>
        <v>45.677</v>
      </c>
      <c r="C701" s="4">
        <f>45.4933 * CHOOSE(CONTROL!$C$10, $C$13, 100%, $E$13) + CHOOSE(CONTROL!$C$29, 0.0274, 0)</f>
        <v>45.520699999999998</v>
      </c>
      <c r="D701" s="4">
        <f>59.7196 * CHOOSE(CONTROL!$C$10, $C$13, 100%, $E$13) + CHOOSE(CONTROL!$C$29, 0.0021, 0)</f>
        <v>59.721699999999998</v>
      </c>
      <c r="E701" s="4">
        <f>292.941068894455 * CHOOSE(CONTROL!$C$10, $C$13, 100%, $E$13) + CHOOSE(CONTROL!$C$29, 0.0021, 0)</f>
        <v>292.94316889445497</v>
      </c>
    </row>
    <row r="702" spans="1:5" ht="15">
      <c r="A702" s="13">
        <v>62517</v>
      </c>
      <c r="B702" s="4">
        <f>46.7188 * CHOOSE(CONTROL!$C$10, $C$13, 100%, $E$13) + CHOOSE(CONTROL!$C$29, 0.0274, 0)</f>
        <v>46.746200000000002</v>
      </c>
      <c r="C702" s="4">
        <f>46.5626 * CHOOSE(CONTROL!$C$10, $C$13, 100%, $E$13) + CHOOSE(CONTROL!$C$29, 0.0274, 0)</f>
        <v>46.59</v>
      </c>
      <c r="D702" s="4">
        <f>61.7569 * CHOOSE(CONTROL!$C$10, $C$13, 100%, $E$13) + CHOOSE(CONTROL!$C$29, 0.0021, 0)</f>
        <v>61.759</v>
      </c>
      <c r="E702" s="4">
        <f>299.896644324233 * CHOOSE(CONTROL!$C$10, $C$13, 100%, $E$13) + CHOOSE(CONTROL!$C$29, 0.0021, 0)</f>
        <v>299.89874432423301</v>
      </c>
    </row>
    <row r="703" spans="1:5" ht="15">
      <c r="A703" s="13">
        <v>62548</v>
      </c>
      <c r="B703" s="4">
        <f>49.5267 * CHOOSE(CONTROL!$C$10, $C$13, 100%, $E$13) + CHOOSE(CONTROL!$C$29, 0.0274, 0)</f>
        <v>49.554099999999998</v>
      </c>
      <c r="C703" s="4">
        <f>49.3705 * CHOOSE(CONTROL!$C$10, $C$13, 100%, $E$13) + CHOOSE(CONTROL!$C$29, 0.0274, 0)</f>
        <v>49.3979</v>
      </c>
      <c r="D703" s="4">
        <f>64.9462 * CHOOSE(CONTROL!$C$10, $C$13, 100%, $E$13) + CHOOSE(CONTROL!$C$29, 0.0021, 0)</f>
        <v>64.948300000000003</v>
      </c>
      <c r="E703" s="4">
        <f>318.162355044558 * CHOOSE(CONTROL!$C$10, $C$13, 100%, $E$13) + CHOOSE(CONTROL!$C$29, 0.0021, 0)</f>
        <v>318.164455044558</v>
      </c>
    </row>
    <row r="704" spans="1:5" ht="15">
      <c r="A704" s="13">
        <v>62578</v>
      </c>
      <c r="B704" s="4">
        <f>51.5218 * CHOOSE(CONTROL!$C$10, $C$13, 100%, $E$13) + CHOOSE(CONTROL!$C$29, 0.0274, 0)</f>
        <v>51.549199999999999</v>
      </c>
      <c r="C704" s="4">
        <f>51.3655 * CHOOSE(CONTROL!$C$10, $C$13, 100%, $E$13) + CHOOSE(CONTROL!$C$29, 0.0274, 0)</f>
        <v>51.392899999999997</v>
      </c>
      <c r="D704" s="4">
        <f>66.7834 * CHOOSE(CONTROL!$C$10, $C$13, 100%, $E$13) + CHOOSE(CONTROL!$C$29, 0.0021, 0)</f>
        <v>66.785499999999999</v>
      </c>
      <c r="E704" s="4">
        <f>331.14038593395 * CHOOSE(CONTROL!$C$10, $C$13, 100%, $E$13) + CHOOSE(CONTROL!$C$29, 0.0021, 0)</f>
        <v>331.14248593394996</v>
      </c>
    </row>
    <row r="705" spans="1:5" ht="15">
      <c r="A705" s="13">
        <v>62609</v>
      </c>
      <c r="B705" s="4">
        <f>52.7407 * CHOOSE(CONTROL!$C$10, $C$13, 100%, $E$13) + CHOOSE(CONTROL!$C$29, 0.0274, 0)</f>
        <v>52.768099999999997</v>
      </c>
      <c r="C705" s="4">
        <f>52.5845 * CHOOSE(CONTROL!$C$10, $C$13, 100%, $E$13) + CHOOSE(CONTROL!$C$29, 0.0274, 0)</f>
        <v>52.611899999999999</v>
      </c>
      <c r="D705" s="4">
        <f>66.0574 * CHOOSE(CONTROL!$C$10, $C$13, 100%, $E$13) + CHOOSE(CONTROL!$C$29, 0.0021, 0)</f>
        <v>66.0595</v>
      </c>
      <c r="E705" s="4">
        <f>339.069651767379 * CHOOSE(CONTROL!$C$10, $C$13, 100%, $E$13) + CHOOSE(CONTROL!$C$29, 0.0021, 0)</f>
        <v>339.071751767379</v>
      </c>
    </row>
    <row r="706" spans="1:5" ht="15">
      <c r="A706" s="13">
        <v>62639</v>
      </c>
      <c r="B706" s="4">
        <f>52.9056 * CHOOSE(CONTROL!$C$10, $C$13, 100%, $E$13) + CHOOSE(CONTROL!$C$29, 0.0274, 0)</f>
        <v>52.933</v>
      </c>
      <c r="C706" s="4">
        <f>52.7494 * CHOOSE(CONTROL!$C$10, $C$13, 100%, $E$13) + CHOOSE(CONTROL!$C$29, 0.0274, 0)</f>
        <v>52.776800000000001</v>
      </c>
      <c r="D706" s="4">
        <f>66.6486 * CHOOSE(CONTROL!$C$10, $C$13, 100%, $E$13) + CHOOSE(CONTROL!$C$29, 0.0021, 0)</f>
        <v>66.650700000000001</v>
      </c>
      <c r="E706" s="4">
        <f>340.142514341771 * CHOOSE(CONTROL!$C$10, $C$13, 100%, $E$13) + CHOOSE(CONTROL!$C$29, 0.0021, 0)</f>
        <v>340.14461434177099</v>
      </c>
    </row>
    <row r="707" spans="1:5" ht="15">
      <c r="A707" s="13">
        <v>62670</v>
      </c>
      <c r="B707" s="4">
        <f>52.889 * CHOOSE(CONTROL!$C$10, $C$13, 100%, $E$13) + CHOOSE(CONTROL!$C$29, 0.0274, 0)</f>
        <v>52.916400000000003</v>
      </c>
      <c r="C707" s="4">
        <f>52.7328 * CHOOSE(CONTROL!$C$10, $C$13, 100%, $E$13) + CHOOSE(CONTROL!$C$29, 0.0274, 0)</f>
        <v>52.760199999999998</v>
      </c>
      <c r="D707" s="4">
        <f>67.7154 * CHOOSE(CONTROL!$C$10, $C$13, 100%, $E$13) + CHOOSE(CONTROL!$C$29, 0.0021, 0)</f>
        <v>67.717500000000001</v>
      </c>
      <c r="E707" s="4">
        <f>340.034326519143 * CHOOSE(CONTROL!$C$10, $C$13, 100%, $E$13) + CHOOSE(CONTROL!$C$29, 0.0021, 0)</f>
        <v>340.03642651914299</v>
      </c>
    </row>
    <row r="708" spans="1:5" ht="15">
      <c r="A708" s="13">
        <v>62701</v>
      </c>
      <c r="B708" s="4">
        <f>54.1405 * CHOOSE(CONTROL!$C$10, $C$13, 100%, $E$13) + CHOOSE(CONTROL!$C$29, 0.0274, 0)</f>
        <v>54.167900000000003</v>
      </c>
      <c r="C708" s="4">
        <f>53.9843 * CHOOSE(CONTROL!$C$10, $C$13, 100%, $E$13) + CHOOSE(CONTROL!$C$29, 0.0274, 0)</f>
        <v>54.011699999999998</v>
      </c>
      <c r="D708" s="4">
        <f>67.0109 * CHOOSE(CONTROL!$C$10, $C$13, 100%, $E$13) + CHOOSE(CONTROL!$C$29, 0.0021, 0)</f>
        <v>67.013000000000005</v>
      </c>
      <c r="E708" s="4">
        <f>348.175460171884 * CHOOSE(CONTROL!$C$10, $C$13, 100%, $E$13) + CHOOSE(CONTROL!$C$29, 0.0021, 0)</f>
        <v>348.17756017188401</v>
      </c>
    </row>
    <row r="709" spans="1:5" ht="15">
      <c r="A709" s="13">
        <v>62731</v>
      </c>
      <c r="B709" s="4">
        <f>52.0076 * CHOOSE(CONTROL!$C$10, $C$13, 100%, $E$13) + CHOOSE(CONTROL!$C$29, 0.0274, 0)</f>
        <v>52.034999999999997</v>
      </c>
      <c r="C709" s="4">
        <f>51.8513 * CHOOSE(CONTROL!$C$10, $C$13, 100%, $E$13) + CHOOSE(CONTROL!$C$29, 0.0274, 0)</f>
        <v>51.878700000000002</v>
      </c>
      <c r="D709" s="4">
        <f>66.6781 * CHOOSE(CONTROL!$C$10, $C$13, 100%, $E$13) + CHOOSE(CONTROL!$C$29, 0.0021, 0)</f>
        <v>66.680199999999999</v>
      </c>
      <c r="E709" s="4">
        <f>334.30037191987 * CHOOSE(CONTROL!$C$10, $C$13, 100%, $E$13) + CHOOSE(CONTROL!$C$29, 0.0021, 0)</f>
        <v>334.30247191986996</v>
      </c>
    </row>
    <row r="710" spans="1:5" ht="15">
      <c r="A710" s="13">
        <v>62762</v>
      </c>
      <c r="B710" s="4">
        <f>50.3001 * CHOOSE(CONTROL!$C$10, $C$13, 100%, $E$13) + CHOOSE(CONTROL!$C$29, 0.0274, 0)</f>
        <v>50.327500000000001</v>
      </c>
      <c r="C710" s="4">
        <f>50.1438 * CHOOSE(CONTROL!$C$10, $C$13, 100%, $E$13) + CHOOSE(CONTROL!$C$29, 0.0274, 0)</f>
        <v>50.171199999999999</v>
      </c>
      <c r="D710" s="4">
        <f>65.7868 * CHOOSE(CONTROL!$C$10, $C$13, 100%, $E$13) + CHOOSE(CONTROL!$C$29, 0.0021, 0)</f>
        <v>65.788899999999998</v>
      </c>
      <c r="E710" s="4">
        <f>323.19308879675 * CHOOSE(CONTROL!$C$10, $C$13, 100%, $E$13) + CHOOSE(CONTROL!$C$29, 0.0021, 0)</f>
        <v>323.19518879674996</v>
      </c>
    </row>
    <row r="711" spans="1:5" ht="15">
      <c r="A711" s="13">
        <v>62792</v>
      </c>
      <c r="B711" s="4">
        <f>49.2004 * CHOOSE(CONTROL!$C$10, $C$13, 100%, $E$13) + CHOOSE(CONTROL!$C$29, 0.0274, 0)</f>
        <v>49.227800000000002</v>
      </c>
      <c r="C711" s="4">
        <f>49.0441 * CHOOSE(CONTROL!$C$10, $C$13, 100%, $E$13) + CHOOSE(CONTROL!$C$29, 0.0274, 0)</f>
        <v>49.0715</v>
      </c>
      <c r="D711" s="4">
        <f>65.4804 * CHOOSE(CONTROL!$C$10, $C$13, 100%, $E$13) + CHOOSE(CONTROL!$C$29, 0.0021, 0)</f>
        <v>65.482500000000002</v>
      </c>
      <c r="E711" s="4">
        <f>316.039169025488 * CHOOSE(CONTROL!$C$10, $C$13, 100%, $E$13) + CHOOSE(CONTROL!$C$29, 0.0021, 0)</f>
        <v>316.04126902548796</v>
      </c>
    </row>
    <row r="712" spans="1:5" ht="15">
      <c r="A712" s="13">
        <v>62823</v>
      </c>
      <c r="B712" s="4">
        <f>48.4395 * CHOOSE(CONTROL!$C$10, $C$13, 100%, $E$13) + CHOOSE(CONTROL!$C$29, 0.0274, 0)</f>
        <v>48.466900000000003</v>
      </c>
      <c r="C712" s="4">
        <f>48.2832 * CHOOSE(CONTROL!$C$10, $C$13, 100%, $E$13) + CHOOSE(CONTROL!$C$29, 0.0274, 0)</f>
        <v>48.310600000000001</v>
      </c>
      <c r="D712" s="4">
        <f>63.2245 * CHOOSE(CONTROL!$C$10, $C$13, 100%, $E$13) + CHOOSE(CONTROL!$C$29, 0.0021, 0)</f>
        <v>63.226599999999998</v>
      </c>
      <c r="E712" s="4">
        <f>311.089576140266 * CHOOSE(CONTROL!$C$10, $C$13, 100%, $E$13) + CHOOSE(CONTROL!$C$29, 0.0021, 0)</f>
        <v>311.09167614026597</v>
      </c>
    </row>
    <row r="713" spans="1:5" ht="15">
      <c r="A713" s="13">
        <v>62854</v>
      </c>
      <c r="B713" s="4">
        <f>46.4452 * CHOOSE(CONTROL!$C$10, $C$13, 100%, $E$13) + CHOOSE(CONTROL!$C$29, 0.0274, 0)</f>
        <v>46.4726</v>
      </c>
      <c r="C713" s="4">
        <f>46.289 * CHOOSE(CONTROL!$C$10, $C$13, 100%, $E$13) + CHOOSE(CONTROL!$C$29, 0.0274, 0)</f>
        <v>46.316400000000002</v>
      </c>
      <c r="D713" s="4">
        <f>60.6273 * CHOOSE(CONTROL!$C$10, $C$13, 100%, $E$13) + CHOOSE(CONTROL!$C$29, 0.0021, 0)</f>
        <v>60.629399999999997</v>
      </c>
      <c r="E713" s="4">
        <f>298.131431209492 * CHOOSE(CONTROL!$C$10, $C$13, 100%, $E$13) + CHOOSE(CONTROL!$C$29, 0.0021, 0)</f>
        <v>298.13353120949199</v>
      </c>
    </row>
    <row r="714" spans="1:5" ht="15">
      <c r="A714" s="13">
        <v>62883</v>
      </c>
      <c r="B714" s="4">
        <f>47.5334 * CHOOSE(CONTROL!$C$10, $C$13, 100%, $E$13) + CHOOSE(CONTROL!$C$29, 0.0274, 0)</f>
        <v>47.5608</v>
      </c>
      <c r="C714" s="4">
        <f>47.3771 * CHOOSE(CONTROL!$C$10, $C$13, 100%, $E$13) + CHOOSE(CONTROL!$C$29, 0.0274, 0)</f>
        <v>47.404499999999999</v>
      </c>
      <c r="D714" s="4">
        <f>62.6967 * CHOOSE(CONTROL!$C$10, $C$13, 100%, $E$13) + CHOOSE(CONTROL!$C$29, 0.0021, 0)</f>
        <v>62.698799999999999</v>
      </c>
      <c r="E714" s="4">
        <f>305.210246295377 * CHOOSE(CONTROL!$C$10, $C$13, 100%, $E$13) + CHOOSE(CONTROL!$C$29, 0.0021, 0)</f>
        <v>305.21234629537696</v>
      </c>
    </row>
    <row r="715" spans="1:5" ht="15">
      <c r="A715" s="13">
        <v>62914</v>
      </c>
      <c r="B715" s="4">
        <f>50.3909 * CHOOSE(CONTROL!$C$10, $C$13, 100%, $E$13) + CHOOSE(CONTROL!$C$29, 0.0274, 0)</f>
        <v>50.418300000000002</v>
      </c>
      <c r="C715" s="4">
        <f>50.2346 * CHOOSE(CONTROL!$C$10, $C$13, 100%, $E$13) + CHOOSE(CONTROL!$C$29, 0.0274, 0)</f>
        <v>50.262</v>
      </c>
      <c r="D715" s="4">
        <f>65.9361 * CHOOSE(CONTROL!$C$10, $C$13, 100%, $E$13) + CHOOSE(CONTROL!$C$29, 0.0021, 0)</f>
        <v>65.938199999999995</v>
      </c>
      <c r="E715" s="4">
        <f>323.799590901992 * CHOOSE(CONTROL!$C$10, $C$13, 100%, $E$13) + CHOOSE(CONTROL!$C$29, 0.0021, 0)</f>
        <v>323.801690901992</v>
      </c>
    </row>
    <row r="716" spans="1:5" ht="15">
      <c r="A716" s="13">
        <v>62944</v>
      </c>
      <c r="B716" s="4">
        <f>52.4212 * CHOOSE(CONTROL!$C$10, $C$13, 100%, $E$13) + CHOOSE(CONTROL!$C$29, 0.0274, 0)</f>
        <v>52.448599999999999</v>
      </c>
      <c r="C716" s="4">
        <f>52.2649 * CHOOSE(CONTROL!$C$10, $C$13, 100%, $E$13) + CHOOSE(CONTROL!$C$29, 0.0274, 0)</f>
        <v>52.292299999999997</v>
      </c>
      <c r="D716" s="4">
        <f>67.8022 * CHOOSE(CONTROL!$C$10, $C$13, 100%, $E$13) + CHOOSE(CONTROL!$C$29, 0.0021, 0)</f>
        <v>67.804299999999998</v>
      </c>
      <c r="E716" s="4">
        <f>337.007567980582 * CHOOSE(CONTROL!$C$10, $C$13, 100%, $E$13) + CHOOSE(CONTROL!$C$29, 0.0021, 0)</f>
        <v>337.00966798058198</v>
      </c>
    </row>
    <row r="717" spans="1:5" ht="15">
      <c r="A717" s="13">
        <v>62975</v>
      </c>
      <c r="B717" s="4">
        <f>53.6616 * CHOOSE(CONTROL!$C$10, $C$13, 100%, $E$13) + CHOOSE(CONTROL!$C$29, 0.0274, 0)</f>
        <v>53.689</v>
      </c>
      <c r="C717" s="4">
        <f>53.5054 * CHOOSE(CONTROL!$C$10, $C$13, 100%, $E$13) + CHOOSE(CONTROL!$C$29, 0.0274, 0)</f>
        <v>53.532800000000002</v>
      </c>
      <c r="D717" s="4">
        <f>67.0648 * CHOOSE(CONTROL!$C$10, $C$13, 100%, $E$13) + CHOOSE(CONTROL!$C$29, 0.0021, 0)</f>
        <v>67.066900000000004</v>
      </c>
      <c r="E717" s="4">
        <f>345.077325424569 * CHOOSE(CONTROL!$C$10, $C$13, 100%, $E$13) + CHOOSE(CONTROL!$C$29, 0.0021, 0)</f>
        <v>345.07942542456897</v>
      </c>
    </row>
    <row r="718" spans="1:5" ht="15">
      <c r="A718" s="13">
        <v>63005</v>
      </c>
      <c r="B718" s="4">
        <f>53.8295 * CHOOSE(CONTROL!$C$10, $C$13, 100%, $E$13) + CHOOSE(CONTROL!$C$29, 0.0274, 0)</f>
        <v>53.856900000000003</v>
      </c>
      <c r="C718" s="4">
        <f>53.6732 * CHOOSE(CONTROL!$C$10, $C$13, 100%, $E$13) + CHOOSE(CONTROL!$C$29, 0.0274, 0)</f>
        <v>53.700600000000001</v>
      </c>
      <c r="D718" s="4">
        <f>67.6653 * CHOOSE(CONTROL!$C$10, $C$13, 100%, $E$13) + CHOOSE(CONTROL!$C$29, 0.0021, 0)</f>
        <v>67.667400000000001</v>
      </c>
      <c r="E718" s="4">
        <f>346.169197096921 * CHOOSE(CONTROL!$C$10, $C$13, 100%, $E$13) + CHOOSE(CONTROL!$C$29, 0.0021, 0)</f>
        <v>346.17129709692097</v>
      </c>
    </row>
    <row r="719" spans="1:5" ht="15">
      <c r="A719" s="13">
        <v>63036</v>
      </c>
      <c r="B719" s="4">
        <f>53.8126 * CHOOSE(CONTROL!$C$10, $C$13, 100%, $E$13) + CHOOSE(CONTROL!$C$29, 0.0274, 0)</f>
        <v>53.84</v>
      </c>
      <c r="C719" s="4">
        <f>53.6563 * CHOOSE(CONTROL!$C$10, $C$13, 100%, $E$13) + CHOOSE(CONTROL!$C$29, 0.0274, 0)</f>
        <v>53.683700000000002</v>
      </c>
      <c r="D719" s="4">
        <f>68.7489 * CHOOSE(CONTROL!$C$10, $C$13, 100%, $E$13) + CHOOSE(CONTROL!$C$29, 0.0021, 0)</f>
        <v>68.751000000000005</v>
      </c>
      <c r="E719" s="4">
        <f>346.059092390466 * CHOOSE(CONTROL!$C$10, $C$13, 100%, $E$13) + CHOOSE(CONTROL!$C$29, 0.0021, 0)</f>
        <v>346.06119239046598</v>
      </c>
    </row>
    <row r="720" spans="1:5" ht="15">
      <c r="A720" s="13">
        <v>63067</v>
      </c>
      <c r="B720" s="4">
        <f>55.0862 * CHOOSE(CONTROL!$C$10, $C$13, 100%, $E$13) + CHOOSE(CONTROL!$C$29, 0.0274, 0)</f>
        <v>55.113599999999998</v>
      </c>
      <c r="C720" s="4">
        <f>54.9299 * CHOOSE(CONTROL!$C$10, $C$13, 100%, $E$13) + CHOOSE(CONTROL!$C$29, 0.0274, 0)</f>
        <v>54.957300000000004</v>
      </c>
      <c r="D720" s="4">
        <f>68.0333 * CHOOSE(CONTROL!$C$10, $C$13, 100%, $E$13) + CHOOSE(CONTROL!$C$29, 0.0021, 0)</f>
        <v>68.035399999999996</v>
      </c>
      <c r="E720" s="4">
        <f>354.344471551262 * CHOOSE(CONTROL!$C$10, $C$13, 100%, $E$13) + CHOOSE(CONTROL!$C$29, 0.0021, 0)</f>
        <v>354.346571551262</v>
      </c>
    </row>
    <row r="721" spans="1:5" ht="15">
      <c r="A721" s="13">
        <v>63097</v>
      </c>
      <c r="B721" s="4">
        <f>52.9155 * CHOOSE(CONTROL!$C$10, $C$13, 100%, $E$13) + CHOOSE(CONTROL!$C$29, 0.0274, 0)</f>
        <v>52.942900000000002</v>
      </c>
      <c r="C721" s="4">
        <f>52.7593 * CHOOSE(CONTROL!$C$10, $C$13, 100%, $E$13) + CHOOSE(CONTROL!$C$29, 0.0274, 0)</f>
        <v>52.786700000000003</v>
      </c>
      <c r="D721" s="4">
        <f>67.6952 * CHOOSE(CONTROL!$C$10, $C$13, 100%, $E$13) + CHOOSE(CONTROL!$C$29, 0.0021, 0)</f>
        <v>67.697299999999998</v>
      </c>
      <c r="E721" s="4">
        <f>340.22354294831 * CHOOSE(CONTROL!$C$10, $C$13, 100%, $E$13) + CHOOSE(CONTROL!$C$29, 0.0021, 0)</f>
        <v>340.22564294831</v>
      </c>
    </row>
    <row r="722" spans="1:5" ht="15">
      <c r="A722" s="13">
        <v>63128</v>
      </c>
      <c r="B722" s="4">
        <f>51.1779 * CHOOSE(CONTROL!$C$10, $C$13, 100%, $E$13) + CHOOSE(CONTROL!$C$29, 0.0274, 0)</f>
        <v>51.205300000000001</v>
      </c>
      <c r="C722" s="4">
        <f>51.0216 * CHOOSE(CONTROL!$C$10, $C$13, 100%, $E$13) + CHOOSE(CONTROL!$C$29, 0.0274, 0)</f>
        <v>51.048999999999999</v>
      </c>
      <c r="D722" s="4">
        <f>66.7899 * CHOOSE(CONTROL!$C$10, $C$13, 100%, $E$13) + CHOOSE(CONTROL!$C$29, 0.0021, 0)</f>
        <v>66.792000000000002</v>
      </c>
      <c r="E722" s="4">
        <f>328.919459752185 * CHOOSE(CONTROL!$C$10, $C$13, 100%, $E$13) + CHOOSE(CONTROL!$C$29, 0.0021, 0)</f>
        <v>328.92155975218498</v>
      </c>
    </row>
    <row r="723" spans="1:5" ht="15">
      <c r="A723" s="13">
        <v>63158</v>
      </c>
      <c r="B723" s="4">
        <f>50.0587 * CHOOSE(CONTROL!$C$10, $C$13, 100%, $E$13) + CHOOSE(CONTROL!$C$29, 0.0274, 0)</f>
        <v>50.086100000000002</v>
      </c>
      <c r="C723" s="4">
        <f>49.9025 * CHOOSE(CONTROL!$C$10, $C$13, 100%, $E$13) + CHOOSE(CONTROL!$C$29, 0.0274, 0)</f>
        <v>49.929900000000004</v>
      </c>
      <c r="D723" s="4">
        <f>66.4787 * CHOOSE(CONTROL!$C$10, $C$13, 100%, $E$13) + CHOOSE(CONTROL!$C$29, 0.0021, 0)</f>
        <v>66.480800000000002</v>
      </c>
      <c r="E723" s="4">
        <f>321.638786037798 * CHOOSE(CONTROL!$C$10, $C$13, 100%, $E$13) + CHOOSE(CONTROL!$C$29, 0.0021, 0)</f>
        <v>321.640886037798</v>
      </c>
    </row>
    <row r="724" spans="1:5" ht="15">
      <c r="A724" s="13">
        <v>63189</v>
      </c>
      <c r="B724" s="4">
        <f>49.2844 * CHOOSE(CONTROL!$C$10, $C$13, 100%, $E$13) + CHOOSE(CONTROL!$C$29, 0.0274, 0)</f>
        <v>49.311799999999998</v>
      </c>
      <c r="C724" s="4">
        <f>49.1282 * CHOOSE(CONTROL!$C$10, $C$13, 100%, $E$13) + CHOOSE(CONTROL!$C$29, 0.0274, 0)</f>
        <v>49.1556</v>
      </c>
      <c r="D724" s="4">
        <f>64.1874 * CHOOSE(CONTROL!$C$10, $C$13, 100%, $E$13) + CHOOSE(CONTROL!$C$29, 0.0021, 0)</f>
        <v>64.189499999999995</v>
      </c>
      <c r="E724" s="4">
        <f>316.601495717447 * CHOOSE(CONTROL!$C$10, $C$13, 100%, $E$13) + CHOOSE(CONTROL!$C$29, 0.0021, 0)</f>
        <v>316.60359571744698</v>
      </c>
    </row>
    <row r="725" spans="1:5" ht="15">
      <c r="A725" s="13">
        <v>63220</v>
      </c>
      <c r="B725" s="4">
        <f>47.2549 * CHOOSE(CONTROL!$C$10, $C$13, 100%, $E$13) + CHOOSE(CONTROL!$C$29, 0.0274, 0)</f>
        <v>47.282299999999999</v>
      </c>
      <c r="C725" s="4">
        <f>47.0987 * CHOOSE(CONTROL!$C$10, $C$13, 100%, $E$13) + CHOOSE(CONTROL!$C$29, 0.0274, 0)</f>
        <v>47.126100000000001</v>
      </c>
      <c r="D725" s="4">
        <f>61.5493 * CHOOSE(CONTROL!$C$10, $C$13, 100%, $E$13) + CHOOSE(CONTROL!$C$29, 0.0021, 0)</f>
        <v>61.551400000000001</v>
      </c>
      <c r="E725" s="4">
        <f>303.413756939093 * CHOOSE(CONTROL!$C$10, $C$13, 100%, $E$13) + CHOOSE(CONTROL!$C$29, 0.0021, 0)</f>
        <v>303.41585693909298</v>
      </c>
    </row>
    <row r="726" spans="1:5" ht="15">
      <c r="A726" s="13">
        <v>63248</v>
      </c>
      <c r="B726" s="4">
        <f>48.3623 * CHOOSE(CONTROL!$C$10, $C$13, 100%, $E$13) + CHOOSE(CONTROL!$C$29, 0.0274, 0)</f>
        <v>48.389699999999998</v>
      </c>
      <c r="C726" s="4">
        <f>48.2061 * CHOOSE(CONTROL!$C$10, $C$13, 100%, $E$13) + CHOOSE(CONTROL!$C$29, 0.0274, 0)</f>
        <v>48.233499999999999</v>
      </c>
      <c r="D726" s="4">
        <f>63.6512 * CHOOSE(CONTROL!$C$10, $C$13, 100%, $E$13) + CHOOSE(CONTROL!$C$29, 0.0021, 0)</f>
        <v>63.653300000000002</v>
      </c>
      <c r="E726" s="4">
        <f>310.617995254966 * CHOOSE(CONTROL!$C$10, $C$13, 100%, $E$13) + CHOOSE(CONTROL!$C$29, 0.0021, 0)</f>
        <v>310.62009525496597</v>
      </c>
    </row>
    <row r="727" spans="1:5" ht="15">
      <c r="A727" s="13">
        <v>63279</v>
      </c>
      <c r="B727" s="4">
        <f>51.2703 * CHOOSE(CONTROL!$C$10, $C$13, 100%, $E$13) + CHOOSE(CONTROL!$C$29, 0.0274, 0)</f>
        <v>51.297699999999999</v>
      </c>
      <c r="C727" s="4">
        <f>51.1141 * CHOOSE(CONTROL!$C$10, $C$13, 100%, $E$13) + CHOOSE(CONTROL!$C$29, 0.0274, 0)</f>
        <v>51.141500000000001</v>
      </c>
      <c r="D727" s="4">
        <f>66.9416 * CHOOSE(CONTROL!$C$10, $C$13, 100%, $E$13) + CHOOSE(CONTROL!$C$29, 0.0021, 0)</f>
        <v>66.943699999999993</v>
      </c>
      <c r="E727" s="4">
        <f>329.536707928925 * CHOOSE(CONTROL!$C$10, $C$13, 100%, $E$13) + CHOOSE(CONTROL!$C$29, 0.0021, 0)</f>
        <v>329.538807928925</v>
      </c>
    </row>
    <row r="728" spans="1:5" ht="15">
      <c r="A728" s="13">
        <v>63309</v>
      </c>
      <c r="B728" s="4">
        <f>53.3365 * CHOOSE(CONTROL!$C$10, $C$13, 100%, $E$13) + CHOOSE(CONTROL!$C$29, 0.0274, 0)</f>
        <v>53.363900000000001</v>
      </c>
      <c r="C728" s="4">
        <f>53.1802 * CHOOSE(CONTROL!$C$10, $C$13, 100%, $E$13) + CHOOSE(CONTROL!$C$29, 0.0274, 0)</f>
        <v>53.207599999999999</v>
      </c>
      <c r="D728" s="4">
        <f>68.837 * CHOOSE(CONTROL!$C$10, $C$13, 100%, $E$13) + CHOOSE(CONTROL!$C$29, 0.0021, 0)</f>
        <v>68.839100000000002</v>
      </c>
      <c r="E728" s="4">
        <f>342.978705408769 * CHOOSE(CONTROL!$C$10, $C$13, 100%, $E$13) + CHOOSE(CONTROL!$C$29, 0.0021, 0)</f>
        <v>342.98080540876896</v>
      </c>
    </row>
    <row r="729" spans="1:5" ht="15">
      <c r="A729" s="13">
        <v>63340</v>
      </c>
      <c r="B729" s="4">
        <f>54.5989 * CHOOSE(CONTROL!$C$10, $C$13, 100%, $E$13) + CHOOSE(CONTROL!$C$29, 0.0274, 0)</f>
        <v>54.626300000000001</v>
      </c>
      <c r="C729" s="4">
        <f>54.4426 * CHOOSE(CONTROL!$C$10, $C$13, 100%, $E$13) + CHOOSE(CONTROL!$C$29, 0.0274, 0)</f>
        <v>54.47</v>
      </c>
      <c r="D729" s="4">
        <f>68.088 * CHOOSE(CONTROL!$C$10, $C$13, 100%, $E$13) + CHOOSE(CONTROL!$C$29, 0.0021, 0)</f>
        <v>68.090099999999993</v>
      </c>
      <c r="E729" s="4">
        <f>351.191443709236 * CHOOSE(CONTROL!$C$10, $C$13, 100%, $E$13) + CHOOSE(CONTROL!$C$29, 0.0021, 0)</f>
        <v>351.193543709236</v>
      </c>
    </row>
    <row r="730" spans="1:5" ht="15">
      <c r="A730" s="13">
        <v>63370</v>
      </c>
      <c r="B730" s="4">
        <f>54.7697 * CHOOSE(CONTROL!$C$10, $C$13, 100%, $E$13) + CHOOSE(CONTROL!$C$29, 0.0274, 0)</f>
        <v>54.7971</v>
      </c>
      <c r="C730" s="4">
        <f>54.6134 * CHOOSE(CONTROL!$C$10, $C$13, 100%, $E$13) + CHOOSE(CONTROL!$C$29, 0.0274, 0)</f>
        <v>54.640799999999999</v>
      </c>
      <c r="D730" s="4">
        <f>68.698 * CHOOSE(CONTROL!$C$10, $C$13, 100%, $E$13) + CHOOSE(CONTROL!$C$29, 0.0021, 0)</f>
        <v>68.700099999999992</v>
      </c>
      <c r="E730" s="4">
        <f>352.302661284853 * CHOOSE(CONTROL!$C$10, $C$13, 100%, $E$13) + CHOOSE(CONTROL!$C$29, 0.0021, 0)</f>
        <v>352.30476128485299</v>
      </c>
    </row>
    <row r="731" spans="1:5" ht="15">
      <c r="A731" s="13">
        <v>63401</v>
      </c>
      <c r="B731" s="4">
        <f>54.7524 * CHOOSE(CONTROL!$C$10, $C$13, 100%, $E$13) + CHOOSE(CONTROL!$C$29, 0.0274, 0)</f>
        <v>54.779800000000002</v>
      </c>
      <c r="C731" s="4">
        <f>54.5962 * CHOOSE(CONTROL!$C$10, $C$13, 100%, $E$13) + CHOOSE(CONTROL!$C$29, 0.0274, 0)</f>
        <v>54.623600000000003</v>
      </c>
      <c r="D731" s="4">
        <f>69.7986 * CHOOSE(CONTROL!$C$10, $C$13, 100%, $E$13) + CHOOSE(CONTROL!$C$29, 0.0021, 0)</f>
        <v>69.800699999999992</v>
      </c>
      <c r="E731" s="4">
        <f>352.19060573101 * CHOOSE(CONTROL!$C$10, $C$13, 100%, $E$13) + CHOOSE(CONTROL!$C$29, 0.0021, 0)</f>
        <v>352.19270573100999</v>
      </c>
    </row>
    <row r="732" spans="1:5" ht="15">
      <c r="A732" s="13">
        <v>63432</v>
      </c>
      <c r="B732" s="4">
        <f>56.0485 * CHOOSE(CONTROL!$C$10, $C$13, 100%, $E$13) + CHOOSE(CONTROL!$C$29, 0.0274, 0)</f>
        <v>56.075899999999997</v>
      </c>
      <c r="C732" s="4">
        <f>55.8923 * CHOOSE(CONTROL!$C$10, $C$13, 100%, $E$13) + CHOOSE(CONTROL!$C$29, 0.0274, 0)</f>
        <v>55.919699999999999</v>
      </c>
      <c r="D732" s="4">
        <f>69.0717 * CHOOSE(CONTROL!$C$10, $C$13, 100%, $E$13) + CHOOSE(CONTROL!$C$29, 0.0021, 0)</f>
        <v>69.073800000000006</v>
      </c>
      <c r="E732" s="4">
        <f>360.622786157754 * CHOOSE(CONTROL!$C$10, $C$13, 100%, $E$13) + CHOOSE(CONTROL!$C$29, 0.0021, 0)</f>
        <v>360.62488615775396</v>
      </c>
    </row>
    <row r="733" spans="1:5" ht="15">
      <c r="A733" s="13">
        <v>63462</v>
      </c>
      <c r="B733" s="4">
        <f>53.8396 * CHOOSE(CONTROL!$C$10, $C$13, 100%, $E$13) + CHOOSE(CONTROL!$C$29, 0.0274, 0)</f>
        <v>53.866999999999997</v>
      </c>
      <c r="C733" s="4">
        <f>53.6833 * CHOOSE(CONTROL!$C$10, $C$13, 100%, $E$13) + CHOOSE(CONTROL!$C$29, 0.0274, 0)</f>
        <v>53.710700000000003</v>
      </c>
      <c r="D733" s="4">
        <f>68.7283 * CHOOSE(CONTROL!$C$10, $C$13, 100%, $E$13) + CHOOSE(CONTROL!$C$29, 0.0021, 0)</f>
        <v>68.730400000000003</v>
      </c>
      <c r="E733" s="4">
        <f>346.251661377289 * CHOOSE(CONTROL!$C$10, $C$13, 100%, $E$13) + CHOOSE(CONTROL!$C$29, 0.0021, 0)</f>
        <v>346.25376137728898</v>
      </c>
    </row>
    <row r="734" spans="1:5" ht="15">
      <c r="A734" s="13">
        <v>63493</v>
      </c>
      <c r="B734" s="4">
        <f>52.0712 * CHOOSE(CONTROL!$C$10, $C$13, 100%, $E$13) + CHOOSE(CONTROL!$C$29, 0.0274, 0)</f>
        <v>52.098599999999998</v>
      </c>
      <c r="C734" s="4">
        <f>51.915 * CHOOSE(CONTROL!$C$10, $C$13, 100%, $E$13) + CHOOSE(CONTROL!$C$29, 0.0274, 0)</f>
        <v>51.942399999999999</v>
      </c>
      <c r="D734" s="4">
        <f>67.8088 * CHOOSE(CONTROL!$C$10, $C$13, 100%, $E$13) + CHOOSE(CONTROL!$C$29, 0.0021, 0)</f>
        <v>67.810900000000004</v>
      </c>
      <c r="E734" s="4">
        <f>334.747291182661 * CHOOSE(CONTROL!$C$10, $C$13, 100%, $E$13) + CHOOSE(CONTROL!$C$29, 0.0021, 0)</f>
        <v>334.74939118266099</v>
      </c>
    </row>
    <row r="735" spans="1:5" ht="15">
      <c r="A735" s="13">
        <v>63523</v>
      </c>
      <c r="B735" s="4">
        <f>50.9323 * CHOOSE(CONTROL!$C$10, $C$13, 100%, $E$13) + CHOOSE(CONTROL!$C$29, 0.0274, 0)</f>
        <v>50.959699999999998</v>
      </c>
      <c r="C735" s="4">
        <f>50.776 * CHOOSE(CONTROL!$C$10, $C$13, 100%, $E$13) + CHOOSE(CONTROL!$C$29, 0.0274, 0)</f>
        <v>50.803400000000003</v>
      </c>
      <c r="D735" s="4">
        <f>67.4927 * CHOOSE(CONTROL!$C$10, $C$13, 100%, $E$13) + CHOOSE(CONTROL!$C$29, 0.0021, 0)</f>
        <v>67.494799999999998</v>
      </c>
      <c r="E735" s="4">
        <f>327.337617684741 * CHOOSE(CONTROL!$C$10, $C$13, 100%, $E$13) + CHOOSE(CONTROL!$C$29, 0.0021, 0)</f>
        <v>327.339717684741</v>
      </c>
    </row>
    <row r="736" spans="1:5" ht="15">
      <c r="A736" s="13">
        <v>63554</v>
      </c>
      <c r="B736" s="4">
        <f>50.1443 * CHOOSE(CONTROL!$C$10, $C$13, 100%, $E$13) + CHOOSE(CONTROL!$C$29, 0.0274, 0)</f>
        <v>50.171700000000001</v>
      </c>
      <c r="C736" s="4">
        <f>49.988 * CHOOSE(CONTROL!$C$10, $C$13, 100%, $E$13) + CHOOSE(CONTROL!$C$29, 0.0274, 0)</f>
        <v>50.0154</v>
      </c>
      <c r="D736" s="4">
        <f>65.1653 * CHOOSE(CONTROL!$C$10, $C$13, 100%, $E$13) + CHOOSE(CONTROL!$C$29, 0.0021, 0)</f>
        <v>65.167400000000001</v>
      </c>
      <c r="E736" s="4">
        <f>322.211076096388 * CHOOSE(CONTROL!$C$10, $C$13, 100%, $E$13) + CHOOSE(CONTROL!$C$29, 0.0021, 0)</f>
        <v>322.213176096388</v>
      </c>
    </row>
    <row r="737" spans="1:5" ht="15">
      <c r="A737" s="13">
        <v>63585</v>
      </c>
      <c r="B737" s="4">
        <f>48.0789 * CHOOSE(CONTROL!$C$10, $C$13, 100%, $E$13) + CHOOSE(CONTROL!$C$29, 0.0274, 0)</f>
        <v>48.106299999999997</v>
      </c>
      <c r="C737" s="4">
        <f>47.9227 * CHOOSE(CONTROL!$C$10, $C$13, 100%, $E$13) + CHOOSE(CONTROL!$C$29, 0.0274, 0)</f>
        <v>47.950099999999999</v>
      </c>
      <c r="D737" s="4">
        <f>62.4858 * CHOOSE(CONTROL!$C$10, $C$13, 100%, $E$13) + CHOOSE(CONTROL!$C$29, 0.0021, 0)</f>
        <v>62.487899999999996</v>
      </c>
      <c r="E737" s="4">
        <f>308.789675501225 * CHOOSE(CONTROL!$C$10, $C$13, 100%, $E$13) + CHOOSE(CONTROL!$C$29, 0.0021, 0)</f>
        <v>308.791775501225</v>
      </c>
    </row>
    <row r="738" spans="1:5" ht="15">
      <c r="A738" s="13">
        <v>63613</v>
      </c>
      <c r="B738" s="4">
        <f>49.2059 * CHOOSE(CONTROL!$C$10, $C$13, 100%, $E$13) + CHOOSE(CONTROL!$C$29, 0.0274, 0)</f>
        <v>49.2333</v>
      </c>
      <c r="C738" s="4">
        <f>49.0496 * CHOOSE(CONTROL!$C$10, $C$13, 100%, $E$13) + CHOOSE(CONTROL!$C$29, 0.0274, 0)</f>
        <v>49.076999999999998</v>
      </c>
      <c r="D738" s="4">
        <f>64.6208 * CHOOSE(CONTROL!$C$10, $C$13, 100%, $E$13) + CHOOSE(CONTROL!$C$29, 0.0021, 0)</f>
        <v>64.622900000000001</v>
      </c>
      <c r="E738" s="4">
        <f>316.121559309772 * CHOOSE(CONTROL!$C$10, $C$13, 100%, $E$13) + CHOOSE(CONTROL!$C$29, 0.0021, 0)</f>
        <v>316.12365930977199</v>
      </c>
    </row>
    <row r="739" spans="1:5" ht="15">
      <c r="A739" s="13">
        <v>63644</v>
      </c>
      <c r="B739" s="4">
        <f>52.1653 * CHOOSE(CONTROL!$C$10, $C$13, 100%, $E$13) + CHOOSE(CONTROL!$C$29, 0.0274, 0)</f>
        <v>52.192700000000002</v>
      </c>
      <c r="C739" s="4">
        <f>52.009 * CHOOSE(CONTROL!$C$10, $C$13, 100%, $E$13) + CHOOSE(CONTROL!$C$29, 0.0274, 0)</f>
        <v>52.0364</v>
      </c>
      <c r="D739" s="4">
        <f>67.9629 * CHOOSE(CONTROL!$C$10, $C$13, 100%, $E$13) + CHOOSE(CONTROL!$C$29, 0.0021, 0)</f>
        <v>67.965000000000003</v>
      </c>
      <c r="E739" s="4">
        <f>335.375475830984 * CHOOSE(CONTROL!$C$10, $C$13, 100%, $E$13) + CHOOSE(CONTROL!$C$29, 0.0021, 0)</f>
        <v>335.37757583098397</v>
      </c>
    </row>
    <row r="740" spans="1:5" ht="15">
      <c r="A740" s="13">
        <v>63674</v>
      </c>
      <c r="B740" s="4">
        <f>54.2679 * CHOOSE(CONTROL!$C$10, $C$13, 100%, $E$13) + CHOOSE(CONTROL!$C$29, 0.0274, 0)</f>
        <v>54.295299999999997</v>
      </c>
      <c r="C740" s="4">
        <f>54.1117 * CHOOSE(CONTROL!$C$10, $C$13, 100%, $E$13) + CHOOSE(CONTROL!$C$29, 0.0274, 0)</f>
        <v>54.139099999999999</v>
      </c>
      <c r="D740" s="4">
        <f>69.8881 * CHOOSE(CONTROL!$C$10, $C$13, 100%, $E$13) + CHOOSE(CONTROL!$C$29, 0.0021, 0)</f>
        <v>69.890199999999993</v>
      </c>
      <c r="E740" s="4">
        <f>349.05564011148 * CHOOSE(CONTROL!$C$10, $C$13, 100%, $E$13) + CHOOSE(CONTROL!$C$29, 0.0021, 0)</f>
        <v>349.05774011147997</v>
      </c>
    </row>
    <row r="741" spans="1:5" ht="15">
      <c r="A741" s="13">
        <v>63705</v>
      </c>
      <c r="B741" s="4">
        <f>55.5526 * CHOOSE(CONTROL!$C$10, $C$13, 100%, $E$13) + CHOOSE(CONTROL!$C$29, 0.0274, 0)</f>
        <v>55.58</v>
      </c>
      <c r="C741" s="4">
        <f>55.3964 * CHOOSE(CONTROL!$C$10, $C$13, 100%, $E$13) + CHOOSE(CONTROL!$C$29, 0.0274, 0)</f>
        <v>55.4238</v>
      </c>
      <c r="D741" s="4">
        <f>69.1273 * CHOOSE(CONTROL!$C$10, $C$13, 100%, $E$13) + CHOOSE(CONTROL!$C$29, 0.0021, 0)</f>
        <v>69.129400000000004</v>
      </c>
      <c r="E741" s="4">
        <f>357.413892619084 * CHOOSE(CONTROL!$C$10, $C$13, 100%, $E$13) + CHOOSE(CONTROL!$C$29, 0.0021, 0)</f>
        <v>357.41599261908397</v>
      </c>
    </row>
    <row r="742" spans="1:5" ht="15">
      <c r="A742" s="13">
        <v>63735</v>
      </c>
      <c r="B742" s="4">
        <f>55.7264 * CHOOSE(CONTROL!$C$10, $C$13, 100%, $E$13) + CHOOSE(CONTROL!$C$29, 0.0274, 0)</f>
        <v>55.753799999999998</v>
      </c>
      <c r="C742" s="4">
        <f>55.5702 * CHOOSE(CONTROL!$C$10, $C$13, 100%, $E$13) + CHOOSE(CONTROL!$C$29, 0.0274, 0)</f>
        <v>55.5976</v>
      </c>
      <c r="D742" s="4">
        <f>69.7469 * CHOOSE(CONTROL!$C$10, $C$13, 100%, $E$13) + CHOOSE(CONTROL!$C$29, 0.0021, 0)</f>
        <v>69.748999999999995</v>
      </c>
      <c r="E742" s="4">
        <f>358.544798870824 * CHOOSE(CONTROL!$C$10, $C$13, 100%, $E$13) + CHOOSE(CONTROL!$C$29, 0.0021, 0)</f>
        <v>358.54689887082401</v>
      </c>
    </row>
    <row r="743" spans="1:5" ht="15">
      <c r="A743" s="13">
        <v>63766</v>
      </c>
      <c r="B743" s="4">
        <f>55.7089 * CHOOSE(CONTROL!$C$10, $C$13, 100%, $E$13) + CHOOSE(CONTROL!$C$29, 0.0274, 0)</f>
        <v>55.7363</v>
      </c>
      <c r="C743" s="4">
        <f>55.5527 * CHOOSE(CONTROL!$C$10, $C$13, 100%, $E$13) + CHOOSE(CONTROL!$C$29, 0.0274, 0)</f>
        <v>55.580100000000002</v>
      </c>
      <c r="D743" s="4">
        <f>70.8648 * CHOOSE(CONTROL!$C$10, $C$13, 100%, $E$13) + CHOOSE(CONTROL!$C$29, 0.0021, 0)</f>
        <v>70.866900000000001</v>
      </c>
      <c r="E743" s="4">
        <f>358.430757904262 * CHOOSE(CONTROL!$C$10, $C$13, 100%, $E$13) + CHOOSE(CONTROL!$C$29, 0.0021, 0)</f>
        <v>358.43285790426199</v>
      </c>
    </row>
    <row r="744" spans="1:5" ht="15">
      <c r="A744" s="13">
        <v>63797</v>
      </c>
      <c r="B744" s="4">
        <f>57.0279 * CHOOSE(CONTROL!$C$10, $C$13, 100%, $E$13) + CHOOSE(CONTROL!$C$29, 0.0274, 0)</f>
        <v>57.055300000000003</v>
      </c>
      <c r="C744" s="4">
        <f>56.8717 * CHOOSE(CONTROL!$C$10, $C$13, 100%, $E$13) + CHOOSE(CONTROL!$C$29, 0.0274, 0)</f>
        <v>56.899099999999997</v>
      </c>
      <c r="D744" s="4">
        <f>70.1265 * CHOOSE(CONTROL!$C$10, $C$13, 100%, $E$13) + CHOOSE(CONTROL!$C$29, 0.0021, 0)</f>
        <v>70.128599999999992</v>
      </c>
      <c r="E744" s="4">
        <f>367.01234063805 * CHOOSE(CONTROL!$C$10, $C$13, 100%, $E$13) + CHOOSE(CONTROL!$C$29, 0.0021, 0)</f>
        <v>367.01444063804996</v>
      </c>
    </row>
    <row r="745" spans="1:5" ht="15">
      <c r="A745" s="13">
        <v>63827</v>
      </c>
      <c r="B745" s="4">
        <f>54.7799 * CHOOSE(CONTROL!$C$10, $C$13, 100%, $E$13) + CHOOSE(CONTROL!$C$29, 0.0274, 0)</f>
        <v>54.807299999999998</v>
      </c>
      <c r="C745" s="4">
        <f>54.6237 * CHOOSE(CONTROL!$C$10, $C$13, 100%, $E$13) + CHOOSE(CONTROL!$C$29, 0.0274, 0)</f>
        <v>54.6511</v>
      </c>
      <c r="D745" s="4">
        <f>69.7777 * CHOOSE(CONTROL!$C$10, $C$13, 100%, $E$13) + CHOOSE(CONTROL!$C$29, 0.0021, 0)</f>
        <v>69.779799999999994</v>
      </c>
      <c r="E745" s="4">
        <f>352.386586676477 * CHOOSE(CONTROL!$C$10, $C$13, 100%, $E$13) + CHOOSE(CONTROL!$C$29, 0.0021, 0)</f>
        <v>352.38868667647699</v>
      </c>
    </row>
    <row r="746" spans="1:5" ht="15">
      <c r="A746" s="13">
        <v>63858</v>
      </c>
      <c r="B746" s="4">
        <f>52.9803 * CHOOSE(CONTROL!$C$10, $C$13, 100%, $E$13) + CHOOSE(CONTROL!$C$29, 0.0274, 0)</f>
        <v>53.0077</v>
      </c>
      <c r="C746" s="4">
        <f>52.8241 * CHOOSE(CONTROL!$C$10, $C$13, 100%, $E$13) + CHOOSE(CONTROL!$C$29, 0.0274, 0)</f>
        <v>52.851500000000001</v>
      </c>
      <c r="D746" s="4">
        <f>68.8437 * CHOOSE(CONTROL!$C$10, $C$13, 100%, $E$13) + CHOOSE(CONTROL!$C$29, 0.0021, 0)</f>
        <v>68.845799999999997</v>
      </c>
      <c r="E746" s="4">
        <f>340.678380776115 * CHOOSE(CONTROL!$C$10, $C$13, 100%, $E$13) + CHOOSE(CONTROL!$C$29, 0.0021, 0)</f>
        <v>340.68048077611496</v>
      </c>
    </row>
    <row r="747" spans="1:5" ht="15">
      <c r="A747" s="13">
        <v>63888</v>
      </c>
      <c r="B747" s="4">
        <f>51.8213 * CHOOSE(CONTROL!$C$10, $C$13, 100%, $E$13) + CHOOSE(CONTROL!$C$29, 0.0274, 0)</f>
        <v>51.848700000000001</v>
      </c>
      <c r="C747" s="4">
        <f>51.665 * CHOOSE(CONTROL!$C$10, $C$13, 100%, $E$13) + CHOOSE(CONTROL!$C$29, 0.0274, 0)</f>
        <v>51.692399999999999</v>
      </c>
      <c r="D747" s="4">
        <f>68.5226 * CHOOSE(CONTROL!$C$10, $C$13, 100%, $E$13) + CHOOSE(CONTROL!$C$29, 0.0021, 0)</f>
        <v>68.524699999999996</v>
      </c>
      <c r="E747" s="4">
        <f>333.137421862205 * CHOOSE(CONTROL!$C$10, $C$13, 100%, $E$13) + CHOOSE(CONTROL!$C$29, 0.0021, 0)</f>
        <v>333.13952186220496</v>
      </c>
    </row>
    <row r="748" spans="1:5" ht="15">
      <c r="A748" s="13">
        <v>63919</v>
      </c>
      <c r="B748" s="4">
        <f>51.0193 * CHOOSE(CONTROL!$C$10, $C$13, 100%, $E$13) + CHOOSE(CONTROL!$C$29, 0.0274, 0)</f>
        <v>51.046700000000001</v>
      </c>
      <c r="C748" s="4">
        <f>50.8631 * CHOOSE(CONTROL!$C$10, $C$13, 100%, $E$13) + CHOOSE(CONTROL!$C$29, 0.0274, 0)</f>
        <v>50.890500000000003</v>
      </c>
      <c r="D748" s="4">
        <f>66.1587 * CHOOSE(CONTROL!$C$10, $C$13, 100%, $E$13) + CHOOSE(CONTROL!$C$29, 0.0021, 0)</f>
        <v>66.160799999999995</v>
      </c>
      <c r="E748" s="4">
        <f>327.920047641995 * CHOOSE(CONTROL!$C$10, $C$13, 100%, $E$13) + CHOOSE(CONTROL!$C$29, 0.0021, 0)</f>
        <v>327.92214764199497</v>
      </c>
    </row>
    <row r="749" spans="1:5" ht="15">
      <c r="A749" s="13">
        <v>63950</v>
      </c>
      <c r="B749" s="4">
        <f>48.9175 * CHOOSE(CONTROL!$C$10, $C$13, 100%, $E$13) + CHOOSE(CONTROL!$C$29, 0.0274, 0)</f>
        <v>48.944899999999997</v>
      </c>
      <c r="C749" s="4">
        <f>48.7613 * CHOOSE(CONTROL!$C$10, $C$13, 100%, $E$13) + CHOOSE(CONTROL!$C$29, 0.0274, 0)</f>
        <v>48.788699999999999</v>
      </c>
      <c r="D749" s="4">
        <f>63.437 * CHOOSE(CONTROL!$C$10, $C$13, 100%, $E$13) + CHOOSE(CONTROL!$C$29, 0.0021, 0)</f>
        <v>63.439099999999996</v>
      </c>
      <c r="E749" s="4">
        <f>314.260845184066 * CHOOSE(CONTROL!$C$10, $C$13, 100%, $E$13) + CHOOSE(CONTROL!$C$29, 0.0021, 0)</f>
        <v>314.26294518406598</v>
      </c>
    </row>
    <row r="750" spans="1:5" ht="15">
      <c r="A750" s="13">
        <v>63978</v>
      </c>
      <c r="B750" s="4">
        <f>50.0644 * CHOOSE(CONTROL!$C$10, $C$13, 100%, $E$13) + CHOOSE(CONTROL!$C$29, 0.0274, 0)</f>
        <v>50.091799999999999</v>
      </c>
      <c r="C750" s="4">
        <f>49.9081 * CHOOSE(CONTROL!$C$10, $C$13, 100%, $E$13) + CHOOSE(CONTROL!$C$29, 0.0274, 0)</f>
        <v>49.935499999999998</v>
      </c>
      <c r="D750" s="4">
        <f>65.6056 * CHOOSE(CONTROL!$C$10, $C$13, 100%, $E$13) + CHOOSE(CONTROL!$C$29, 0.0021, 0)</f>
        <v>65.607699999999994</v>
      </c>
      <c r="E750" s="4">
        <f>321.722636122267 * CHOOSE(CONTROL!$C$10, $C$13, 100%, $E$13) + CHOOSE(CONTROL!$C$29, 0.0021, 0)</f>
        <v>321.72473612226696</v>
      </c>
    </row>
    <row r="751" spans="1:5" ht="15">
      <c r="A751" s="13">
        <v>64009</v>
      </c>
      <c r="B751" s="4">
        <f>53.076 * CHOOSE(CONTROL!$C$10, $C$13, 100%, $E$13) + CHOOSE(CONTROL!$C$29, 0.0274, 0)</f>
        <v>53.103400000000001</v>
      </c>
      <c r="C751" s="4">
        <f>52.9198 * CHOOSE(CONTROL!$C$10, $C$13, 100%, $E$13) + CHOOSE(CONTROL!$C$29, 0.0274, 0)</f>
        <v>52.947200000000002</v>
      </c>
      <c r="D751" s="4">
        <f>69.0002 * CHOOSE(CONTROL!$C$10, $C$13, 100%, $E$13) + CHOOSE(CONTROL!$C$29, 0.0021, 0)</f>
        <v>69.002300000000005</v>
      </c>
      <c r="E751" s="4">
        <f>341.317695669637 * CHOOSE(CONTROL!$C$10, $C$13, 100%, $E$13) + CHOOSE(CONTROL!$C$29, 0.0021, 0)</f>
        <v>341.31979566963696</v>
      </c>
    </row>
    <row r="752" spans="1:5" ht="15">
      <c r="A752" s="13">
        <v>64039</v>
      </c>
      <c r="B752" s="4">
        <f>55.2158 * CHOOSE(CONTROL!$C$10, $C$13, 100%, $E$13) + CHOOSE(CONTROL!$C$29, 0.0274, 0)</f>
        <v>55.243200000000002</v>
      </c>
      <c r="C752" s="4">
        <f>55.0596 * CHOOSE(CONTROL!$C$10, $C$13, 100%, $E$13) + CHOOSE(CONTROL!$C$29, 0.0274, 0)</f>
        <v>55.087000000000003</v>
      </c>
      <c r="D752" s="4">
        <f>70.9557 * CHOOSE(CONTROL!$C$10, $C$13, 100%, $E$13) + CHOOSE(CONTROL!$C$29, 0.0021, 0)</f>
        <v>70.957799999999992</v>
      </c>
      <c r="E752" s="4">
        <f>355.240246616547 * CHOOSE(CONTROL!$C$10, $C$13, 100%, $E$13) + CHOOSE(CONTROL!$C$29, 0.0021, 0)</f>
        <v>355.24234661654697</v>
      </c>
    </row>
    <row r="753" spans="1:5" ht="15">
      <c r="A753" s="13">
        <v>64070</v>
      </c>
      <c r="B753" s="4">
        <f>56.5232 * CHOOSE(CONTROL!$C$10, $C$13, 100%, $E$13) + CHOOSE(CONTROL!$C$29, 0.0274, 0)</f>
        <v>56.550600000000003</v>
      </c>
      <c r="C753" s="4">
        <f>56.367 * CHOOSE(CONTROL!$C$10, $C$13, 100%, $E$13) + CHOOSE(CONTROL!$C$29, 0.0274, 0)</f>
        <v>56.394399999999997</v>
      </c>
      <c r="D753" s="4">
        <f>70.183 * CHOOSE(CONTROL!$C$10, $C$13, 100%, $E$13) + CHOOSE(CONTROL!$C$29, 0.0021, 0)</f>
        <v>70.185100000000006</v>
      </c>
      <c r="E753" s="4">
        <f>363.746591568132 * CHOOSE(CONTROL!$C$10, $C$13, 100%, $E$13) + CHOOSE(CONTROL!$C$29, 0.0021, 0)</f>
        <v>363.74869156813196</v>
      </c>
    </row>
    <row r="754" spans="1:5" ht="15">
      <c r="A754" s="13">
        <v>64100</v>
      </c>
      <c r="B754" s="4">
        <f>56.7001 * CHOOSE(CONTROL!$C$10, $C$13, 100%, $E$13) + CHOOSE(CONTROL!$C$29, 0.0274, 0)</f>
        <v>56.727499999999999</v>
      </c>
      <c r="C754" s="4">
        <f>56.5439 * CHOOSE(CONTROL!$C$10, $C$13, 100%, $E$13) + CHOOSE(CONTROL!$C$29, 0.0274, 0)</f>
        <v>56.571300000000001</v>
      </c>
      <c r="D754" s="4">
        <f>70.8123 * CHOOSE(CONTROL!$C$10, $C$13, 100%, $E$13) + CHOOSE(CONTROL!$C$29, 0.0021, 0)</f>
        <v>70.814399999999992</v>
      </c>
      <c r="E754" s="4">
        <f>364.897535342139 * CHOOSE(CONTROL!$C$10, $C$13, 100%, $E$13) + CHOOSE(CONTROL!$C$29, 0.0021, 0)</f>
        <v>364.89963534213899</v>
      </c>
    </row>
    <row r="755" spans="1:5" ht="15">
      <c r="A755" s="13">
        <v>64131</v>
      </c>
      <c r="B755" s="4">
        <f>56.6823 * CHOOSE(CONTROL!$C$10, $C$13, 100%, $E$13) + CHOOSE(CONTROL!$C$29, 0.0274, 0)</f>
        <v>56.709699999999998</v>
      </c>
      <c r="C755" s="4">
        <f>56.526 * CHOOSE(CONTROL!$C$10, $C$13, 100%, $E$13) + CHOOSE(CONTROL!$C$29, 0.0274, 0)</f>
        <v>56.553400000000003</v>
      </c>
      <c r="D755" s="4">
        <f>71.9478 * CHOOSE(CONTROL!$C$10, $C$13, 100%, $E$13) + CHOOSE(CONTROL!$C$29, 0.0021, 0)</f>
        <v>71.9499</v>
      </c>
      <c r="E755" s="4">
        <f>364.781473785096 * CHOOSE(CONTROL!$C$10, $C$13, 100%, $E$13) + CHOOSE(CONTROL!$C$29, 0.0021, 0)</f>
        <v>364.783573785096</v>
      </c>
    </row>
    <row r="756" spans="1:5" ht="15">
      <c r="A756" s="13">
        <v>64162</v>
      </c>
      <c r="B756" s="4">
        <f>58.0246 * CHOOSE(CONTROL!$C$10, $C$13, 100%, $E$13) + CHOOSE(CONTROL!$C$29, 0.0274, 0)</f>
        <v>58.052</v>
      </c>
      <c r="C756" s="4">
        <f>57.8684 * CHOOSE(CONTROL!$C$10, $C$13, 100%, $E$13) + CHOOSE(CONTROL!$C$29, 0.0274, 0)</f>
        <v>57.895800000000001</v>
      </c>
      <c r="D756" s="4">
        <f>71.1979 * CHOOSE(CONTROL!$C$10, $C$13, 100%, $E$13) + CHOOSE(CONTROL!$C$29, 0.0021, 0)</f>
        <v>71.2</v>
      </c>
      <c r="E756" s="4">
        <f>373.515105952557 * CHOOSE(CONTROL!$C$10, $C$13, 100%, $E$13) + CHOOSE(CONTROL!$C$29, 0.0021, 0)</f>
        <v>373.51720595255699</v>
      </c>
    </row>
    <row r="757" spans="1:5" ht="15">
      <c r="A757" s="13">
        <v>64192</v>
      </c>
      <c r="B757" s="4">
        <f>55.7369 * CHOOSE(CONTROL!$C$10, $C$13, 100%, $E$13) + CHOOSE(CONTROL!$C$29, 0.0274, 0)</f>
        <v>55.764299999999999</v>
      </c>
      <c r="C757" s="4">
        <f>55.5806 * CHOOSE(CONTROL!$C$10, $C$13, 100%, $E$13) + CHOOSE(CONTROL!$C$29, 0.0274, 0)</f>
        <v>55.607999999999997</v>
      </c>
      <c r="D757" s="4">
        <f>70.8436 * CHOOSE(CONTROL!$C$10, $C$13, 100%, $E$13) + CHOOSE(CONTROL!$C$29, 0.0021, 0)</f>
        <v>70.845699999999994</v>
      </c>
      <c r="E757" s="4">
        <f>358.630211261835 * CHOOSE(CONTROL!$C$10, $C$13, 100%, $E$13) + CHOOSE(CONTROL!$C$29, 0.0021, 0)</f>
        <v>358.63231126183496</v>
      </c>
    </row>
    <row r="758" spans="1:5" ht="15">
      <c r="A758" s="13">
        <v>64223</v>
      </c>
      <c r="B758" s="4">
        <f>53.9055 * CHOOSE(CONTROL!$C$10, $C$13, 100%, $E$13) + CHOOSE(CONTROL!$C$29, 0.0274, 0)</f>
        <v>53.932900000000004</v>
      </c>
      <c r="C758" s="4">
        <f>53.7492 * CHOOSE(CONTROL!$C$10, $C$13, 100%, $E$13) + CHOOSE(CONTROL!$C$29, 0.0274, 0)</f>
        <v>53.776600000000002</v>
      </c>
      <c r="D758" s="4">
        <f>69.8949 * CHOOSE(CONTROL!$C$10, $C$13, 100%, $E$13) + CHOOSE(CONTROL!$C$29, 0.0021, 0)</f>
        <v>69.897000000000006</v>
      </c>
      <c r="E758" s="4">
        <f>346.714558072121 * CHOOSE(CONTROL!$C$10, $C$13, 100%, $E$13) + CHOOSE(CONTROL!$C$29, 0.0021, 0)</f>
        <v>346.71665807212099</v>
      </c>
    </row>
    <row r="759" spans="1:5" ht="15">
      <c r="A759" s="13">
        <v>64253</v>
      </c>
      <c r="B759" s="4">
        <f>52.7259 * CHOOSE(CONTROL!$C$10, $C$13, 100%, $E$13) + CHOOSE(CONTROL!$C$29, 0.0274, 0)</f>
        <v>52.753300000000003</v>
      </c>
      <c r="C759" s="4">
        <f>52.5697 * CHOOSE(CONTROL!$C$10, $C$13, 100%, $E$13) + CHOOSE(CONTROL!$C$29, 0.0274, 0)</f>
        <v>52.597099999999998</v>
      </c>
      <c r="D759" s="4">
        <f>69.5688 * CHOOSE(CONTROL!$C$10, $C$13, 100%, $E$13) + CHOOSE(CONTROL!$C$29, 0.0021, 0)</f>
        <v>69.570899999999995</v>
      </c>
      <c r="E759" s="4">
        <f>339.039987612675 * CHOOSE(CONTROL!$C$10, $C$13, 100%, $E$13) + CHOOSE(CONTROL!$C$29, 0.0021, 0)</f>
        <v>339.042087612675</v>
      </c>
    </row>
    <row r="760" spans="1:5" ht="15">
      <c r="A760" s="13">
        <v>64284</v>
      </c>
      <c r="B760" s="4">
        <f>51.9099 * CHOOSE(CONTROL!$C$10, $C$13, 100%, $E$13) + CHOOSE(CONTROL!$C$29, 0.0274, 0)</f>
        <v>51.9373</v>
      </c>
      <c r="C760" s="4">
        <f>51.7536 * CHOOSE(CONTROL!$C$10, $C$13, 100%, $E$13) + CHOOSE(CONTROL!$C$29, 0.0274, 0)</f>
        <v>51.780999999999999</v>
      </c>
      <c r="D760" s="4">
        <f>67.1676 * CHOOSE(CONTROL!$C$10, $C$13, 100%, $E$13) + CHOOSE(CONTROL!$C$29, 0.0021, 0)</f>
        <v>67.169699999999992</v>
      </c>
      <c r="E760" s="4">
        <f>333.730171377973 * CHOOSE(CONTROL!$C$10, $C$13, 100%, $E$13) + CHOOSE(CONTROL!$C$29, 0.0021, 0)</f>
        <v>333.73227137797301</v>
      </c>
    </row>
    <row r="761" spans="1:5" ht="15">
      <c r="A761" s="13">
        <v>64315</v>
      </c>
      <c r="B761" s="4">
        <f>49.7709 * CHOOSE(CONTROL!$C$10, $C$13, 100%, $E$13) + CHOOSE(CONTROL!$C$29, 0.0274, 0)</f>
        <v>49.798299999999998</v>
      </c>
      <c r="C761" s="4">
        <f>49.6147 * CHOOSE(CONTROL!$C$10, $C$13, 100%, $E$13) + CHOOSE(CONTROL!$C$29, 0.0274, 0)</f>
        <v>49.642099999999999</v>
      </c>
      <c r="D761" s="4">
        <f>64.4032 * CHOOSE(CONTROL!$C$10, $C$13, 100%, $E$13) + CHOOSE(CONTROL!$C$29, 0.0021, 0)</f>
        <v>64.405299999999997</v>
      </c>
      <c r="E761" s="4">
        <f>319.828953657525 * CHOOSE(CONTROL!$C$10, $C$13, 100%, $E$13) + CHOOSE(CONTROL!$C$29, 0.0021, 0)</f>
        <v>319.83105365752499</v>
      </c>
    </row>
    <row r="762" spans="1:5" ht="15">
      <c r="A762" s="13">
        <v>64344</v>
      </c>
      <c r="B762" s="4">
        <f>50.938 * CHOOSE(CONTROL!$C$10, $C$13, 100%, $E$13) + CHOOSE(CONTROL!$C$29, 0.0274, 0)</f>
        <v>50.965400000000002</v>
      </c>
      <c r="C762" s="4">
        <f>50.7818 * CHOOSE(CONTROL!$C$10, $C$13, 100%, $E$13) + CHOOSE(CONTROL!$C$29, 0.0274, 0)</f>
        <v>50.809199999999997</v>
      </c>
      <c r="D762" s="4">
        <f>66.6058 * CHOOSE(CONTROL!$C$10, $C$13, 100%, $E$13) + CHOOSE(CONTROL!$C$29, 0.0021, 0)</f>
        <v>66.607900000000001</v>
      </c>
      <c r="E762" s="4">
        <f>327.422953434297 * CHOOSE(CONTROL!$C$10, $C$13, 100%, $E$13) + CHOOSE(CONTROL!$C$29, 0.0021, 0)</f>
        <v>327.42505343429701</v>
      </c>
    </row>
    <row r="763" spans="1:5" ht="15">
      <c r="A763" s="13">
        <v>64375</v>
      </c>
      <c r="B763" s="4">
        <f>54.0029 * CHOOSE(CONTROL!$C$10, $C$13, 100%, $E$13) + CHOOSE(CONTROL!$C$29, 0.0274, 0)</f>
        <v>54.030299999999997</v>
      </c>
      <c r="C763" s="4">
        <f>53.8466 * CHOOSE(CONTROL!$C$10, $C$13, 100%, $E$13) + CHOOSE(CONTROL!$C$29, 0.0274, 0)</f>
        <v>53.874000000000002</v>
      </c>
      <c r="D763" s="4">
        <f>70.0539 * CHOOSE(CONTROL!$C$10, $C$13, 100%, $E$13) + CHOOSE(CONTROL!$C$29, 0.0021, 0)</f>
        <v>70.055999999999997</v>
      </c>
      <c r="E763" s="4">
        <f>347.365200417759 * CHOOSE(CONTROL!$C$10, $C$13, 100%, $E$13) + CHOOSE(CONTROL!$C$29, 0.0021, 0)</f>
        <v>347.367300417759</v>
      </c>
    </row>
    <row r="764" spans="1:5" ht="15">
      <c r="A764" s="13">
        <v>64405</v>
      </c>
      <c r="B764" s="4">
        <f>56.1805 * CHOOSE(CONTROL!$C$10, $C$13, 100%, $E$13) + CHOOSE(CONTROL!$C$29, 0.0274, 0)</f>
        <v>56.207900000000002</v>
      </c>
      <c r="C764" s="4">
        <f>56.0243 * CHOOSE(CONTROL!$C$10, $C$13, 100%, $E$13) + CHOOSE(CONTROL!$C$29, 0.0274, 0)</f>
        <v>56.051699999999997</v>
      </c>
      <c r="D764" s="4">
        <f>72.0401 * CHOOSE(CONTROL!$C$10, $C$13, 100%, $E$13) + CHOOSE(CONTROL!$C$29, 0.0021, 0)</f>
        <v>72.042199999999994</v>
      </c>
      <c r="E764" s="4">
        <f>361.534432664893 * CHOOSE(CONTROL!$C$10, $C$13, 100%, $E$13) + CHOOSE(CONTROL!$C$29, 0.0021, 0)</f>
        <v>361.536532664893</v>
      </c>
    </row>
    <row r="765" spans="1:5" ht="15">
      <c r="A765" s="13">
        <v>64436</v>
      </c>
      <c r="B765" s="4">
        <f>57.511 * CHOOSE(CONTROL!$C$10, $C$13, 100%, $E$13) + CHOOSE(CONTROL!$C$29, 0.0274, 0)</f>
        <v>57.538400000000003</v>
      </c>
      <c r="C765" s="4">
        <f>57.3547 * CHOOSE(CONTROL!$C$10, $C$13, 100%, $E$13) + CHOOSE(CONTROL!$C$29, 0.0274, 0)</f>
        <v>57.382100000000001</v>
      </c>
      <c r="D765" s="4">
        <f>71.2552 * CHOOSE(CONTROL!$C$10, $C$13, 100%, $E$13) + CHOOSE(CONTROL!$C$29, 0.0021, 0)</f>
        <v>71.257300000000001</v>
      </c>
      <c r="E765" s="4">
        <f>370.19149397879 * CHOOSE(CONTROL!$C$10, $C$13, 100%, $E$13) + CHOOSE(CONTROL!$C$29, 0.0021, 0)</f>
        <v>370.19359397878998</v>
      </c>
    </row>
    <row r="766" spans="1:5" ht="15">
      <c r="A766" s="13">
        <v>64466</v>
      </c>
      <c r="B766" s="4">
        <f>57.691 * CHOOSE(CONTROL!$C$10, $C$13, 100%, $E$13) + CHOOSE(CONTROL!$C$29, 0.0274, 0)</f>
        <v>57.718400000000003</v>
      </c>
      <c r="C766" s="4">
        <f>57.5348 * CHOOSE(CONTROL!$C$10, $C$13, 100%, $E$13) + CHOOSE(CONTROL!$C$29, 0.0274, 0)</f>
        <v>57.562199999999997</v>
      </c>
      <c r="D766" s="4">
        <f>71.8944 * CHOOSE(CONTROL!$C$10, $C$13, 100%, $E$13) + CHOOSE(CONTROL!$C$29, 0.0021, 0)</f>
        <v>71.896500000000003</v>
      </c>
      <c r="E766" s="4">
        <f>371.362830302103 * CHOOSE(CONTROL!$C$10, $C$13, 100%, $E$13) + CHOOSE(CONTROL!$C$29, 0.0021, 0)</f>
        <v>371.36493030210301</v>
      </c>
    </row>
    <row r="767" spans="1:5" ht="15">
      <c r="A767" s="13">
        <v>64497</v>
      </c>
      <c r="B767" s="4">
        <f>57.6729 * CHOOSE(CONTROL!$C$10, $C$13, 100%, $E$13) + CHOOSE(CONTROL!$C$29, 0.0274, 0)</f>
        <v>57.700299999999999</v>
      </c>
      <c r="C767" s="4">
        <f>57.5166 * CHOOSE(CONTROL!$C$10, $C$13, 100%, $E$13) + CHOOSE(CONTROL!$C$29, 0.0274, 0)</f>
        <v>57.543999999999997</v>
      </c>
      <c r="D767" s="4">
        <f>73.0478 * CHOOSE(CONTROL!$C$10, $C$13, 100%, $E$13) + CHOOSE(CONTROL!$C$29, 0.0021, 0)</f>
        <v>73.049899999999994</v>
      </c>
      <c r="E767" s="4">
        <f>371.244712353534 * CHOOSE(CONTROL!$C$10, $C$13, 100%, $E$13) + CHOOSE(CONTROL!$C$29, 0.0021, 0)</f>
        <v>371.24681235353398</v>
      </c>
    </row>
    <row r="768" spans="1:5" ht="15">
      <c r="A768" s="13">
        <v>64528</v>
      </c>
      <c r="B768" s="4">
        <f>59.0389 * CHOOSE(CONTROL!$C$10, $C$13, 100%, $E$13) + CHOOSE(CONTROL!$C$29, 0.0274, 0)</f>
        <v>59.066299999999998</v>
      </c>
      <c r="C768" s="4">
        <f>58.8826 * CHOOSE(CONTROL!$C$10, $C$13, 100%, $E$13) + CHOOSE(CONTROL!$C$29, 0.0274, 0)</f>
        <v>58.91</v>
      </c>
      <c r="D768" s="4">
        <f>72.2861 * CHOOSE(CONTROL!$C$10, $C$13, 100%, $E$13) + CHOOSE(CONTROL!$C$29, 0.0021, 0)</f>
        <v>72.288200000000003</v>
      </c>
      <c r="E768" s="4">
        <f>380.133087983379 * CHOOSE(CONTROL!$C$10, $C$13, 100%, $E$13) + CHOOSE(CONTROL!$C$29, 0.0021, 0)</f>
        <v>380.13518798337901</v>
      </c>
    </row>
    <row r="769" spans="1:5" ht="15">
      <c r="A769" s="13">
        <v>64558</v>
      </c>
      <c r="B769" s="4">
        <f>56.7107 * CHOOSE(CONTROL!$C$10, $C$13, 100%, $E$13) + CHOOSE(CONTROL!$C$29, 0.0274, 0)</f>
        <v>56.738100000000003</v>
      </c>
      <c r="C769" s="4">
        <f>56.5545 * CHOOSE(CONTROL!$C$10, $C$13, 100%, $E$13) + CHOOSE(CONTROL!$C$29, 0.0274, 0)</f>
        <v>56.581899999999997</v>
      </c>
      <c r="D769" s="4">
        <f>71.9262 * CHOOSE(CONTROL!$C$10, $C$13, 100%, $E$13) + CHOOSE(CONTROL!$C$29, 0.0021, 0)</f>
        <v>71.928299999999993</v>
      </c>
      <c r="E769" s="4">
        <f>364.984461079357 * CHOOSE(CONTROL!$C$10, $C$13, 100%, $E$13) + CHOOSE(CONTROL!$C$29, 0.0021, 0)</f>
        <v>364.98656107935699</v>
      </c>
    </row>
    <row r="770" spans="1:5" ht="15">
      <c r="A770" s="13">
        <v>64589</v>
      </c>
      <c r="B770" s="4">
        <f>54.847 * CHOOSE(CONTROL!$C$10, $C$13, 100%, $E$13) + CHOOSE(CONTROL!$C$29, 0.0274, 0)</f>
        <v>54.874400000000001</v>
      </c>
      <c r="C770" s="4">
        <f>54.6908 * CHOOSE(CONTROL!$C$10, $C$13, 100%, $E$13) + CHOOSE(CONTROL!$C$29, 0.0274, 0)</f>
        <v>54.718200000000003</v>
      </c>
      <c r="D770" s="4">
        <f>70.9627 * CHOOSE(CONTROL!$C$10, $C$13, 100%, $E$13) + CHOOSE(CONTROL!$C$29, 0.0021, 0)</f>
        <v>70.964799999999997</v>
      </c>
      <c r="E770" s="4">
        <f>352.857685026235 * CHOOSE(CONTROL!$C$10, $C$13, 100%, $E$13) + CHOOSE(CONTROL!$C$29, 0.0021, 0)</f>
        <v>352.85978502623499</v>
      </c>
    </row>
    <row r="771" spans="1:5" ht="15">
      <c r="A771" s="13">
        <v>64619</v>
      </c>
      <c r="B771" s="4">
        <f>53.6466 * CHOOSE(CONTROL!$C$10, $C$13, 100%, $E$13) + CHOOSE(CONTROL!$C$29, 0.0274, 0)</f>
        <v>53.673999999999999</v>
      </c>
      <c r="C771" s="4">
        <f>53.4904 * CHOOSE(CONTROL!$C$10, $C$13, 100%, $E$13) + CHOOSE(CONTROL!$C$29, 0.0274, 0)</f>
        <v>53.517800000000001</v>
      </c>
      <c r="D771" s="4">
        <f>70.6314 * CHOOSE(CONTROL!$C$10, $C$13, 100%, $E$13) + CHOOSE(CONTROL!$C$29, 0.0021, 0)</f>
        <v>70.633499999999998</v>
      </c>
      <c r="E771" s="4">
        <f>345.047135677085 * CHOOSE(CONTROL!$C$10, $C$13, 100%, $E$13) + CHOOSE(CONTROL!$C$29, 0.0021, 0)</f>
        <v>345.04923567708499</v>
      </c>
    </row>
    <row r="772" spans="1:5" ht="15">
      <c r="A772" s="13">
        <v>64650</v>
      </c>
      <c r="B772" s="4">
        <f>52.8161 * CHOOSE(CONTROL!$C$10, $C$13, 100%, $E$13) + CHOOSE(CONTROL!$C$29, 0.0274, 0)</f>
        <v>52.843499999999999</v>
      </c>
      <c r="C772" s="4">
        <f>52.6599 * CHOOSE(CONTROL!$C$10, $C$13, 100%, $E$13) + CHOOSE(CONTROL!$C$29, 0.0274, 0)</f>
        <v>52.6873</v>
      </c>
      <c r="D772" s="4">
        <f>68.1925 * CHOOSE(CONTROL!$C$10, $C$13, 100%, $E$13) + CHOOSE(CONTROL!$C$29, 0.0021, 0)</f>
        <v>68.194599999999994</v>
      </c>
      <c r="E772" s="4">
        <f>339.643239530037 * CHOOSE(CONTROL!$C$10, $C$13, 100%, $E$13) + CHOOSE(CONTROL!$C$29, 0.0021, 0)</f>
        <v>339.64533953003701</v>
      </c>
    </row>
    <row r="773" spans="1:5" ht="15">
      <c r="A773" s="13">
        <v>64681</v>
      </c>
      <c r="B773" s="4">
        <f>50.6394 * CHOOSE(CONTROL!$C$10, $C$13, 100%, $E$13) + CHOOSE(CONTROL!$C$29, 0.0274, 0)</f>
        <v>50.666800000000002</v>
      </c>
      <c r="C773" s="4">
        <f>50.4831 * CHOOSE(CONTROL!$C$10, $C$13, 100%, $E$13) + CHOOSE(CONTROL!$C$29, 0.0274, 0)</f>
        <v>50.5105</v>
      </c>
      <c r="D773" s="4">
        <f>65.3846 * CHOOSE(CONTROL!$C$10, $C$13, 100%, $E$13) + CHOOSE(CONTROL!$C$29, 0.0021, 0)</f>
        <v>65.386700000000005</v>
      </c>
      <c r="E773" s="4">
        <f>325.495718493834 * CHOOSE(CONTROL!$C$10, $C$13, 100%, $E$13) + CHOOSE(CONTROL!$C$29, 0.0021, 0)</f>
        <v>325.49781849383396</v>
      </c>
    </row>
    <row r="774" spans="1:5" ht="15">
      <c r="A774" s="13">
        <v>64709</v>
      </c>
      <c r="B774" s="4">
        <f>51.8271 * CHOOSE(CONTROL!$C$10, $C$13, 100%, $E$13) + CHOOSE(CONTROL!$C$29, 0.0274, 0)</f>
        <v>51.854500000000002</v>
      </c>
      <c r="C774" s="4">
        <f>51.6708 * CHOOSE(CONTROL!$C$10, $C$13, 100%, $E$13) + CHOOSE(CONTROL!$C$29, 0.0274, 0)</f>
        <v>51.6982</v>
      </c>
      <c r="D774" s="4">
        <f>67.6218 * CHOOSE(CONTROL!$C$10, $C$13, 100%, $E$13) + CHOOSE(CONTROL!$C$29, 0.0021, 0)</f>
        <v>67.623899999999992</v>
      </c>
      <c r="E774" s="4">
        <f>333.224269600027 * CHOOSE(CONTROL!$C$10, $C$13, 100%, $E$13) + CHOOSE(CONTROL!$C$29, 0.0021, 0)</f>
        <v>333.226369600027</v>
      </c>
    </row>
    <row r="775" spans="1:5" ht="15">
      <c r="A775" s="13">
        <v>64740</v>
      </c>
      <c r="B775" s="4">
        <f>54.9461 * CHOOSE(CONTROL!$C$10, $C$13, 100%, $E$13) + CHOOSE(CONTROL!$C$29, 0.0274, 0)</f>
        <v>54.973500000000001</v>
      </c>
      <c r="C775" s="4">
        <f>54.7899 * CHOOSE(CONTROL!$C$10, $C$13, 100%, $E$13) + CHOOSE(CONTROL!$C$29, 0.0274, 0)</f>
        <v>54.817300000000003</v>
      </c>
      <c r="D775" s="4">
        <f>71.1241 * CHOOSE(CONTROL!$C$10, $C$13, 100%, $E$13) + CHOOSE(CONTROL!$C$29, 0.0021, 0)</f>
        <v>71.126199999999997</v>
      </c>
      <c r="E775" s="4">
        <f>353.519855525041 * CHOOSE(CONTROL!$C$10, $C$13, 100%, $E$13) + CHOOSE(CONTROL!$C$29, 0.0021, 0)</f>
        <v>353.52195552504099</v>
      </c>
    </row>
    <row r="776" spans="1:5" ht="15">
      <c r="A776" s="13">
        <v>64770</v>
      </c>
      <c r="B776" s="4">
        <f>57.1622 * CHOOSE(CONTROL!$C$10, $C$13, 100%, $E$13) + CHOOSE(CONTROL!$C$29, 0.0274, 0)</f>
        <v>57.189599999999999</v>
      </c>
      <c r="C776" s="4">
        <f>57.006 * CHOOSE(CONTROL!$C$10, $C$13, 100%, $E$13) + CHOOSE(CONTROL!$C$29, 0.0274, 0)</f>
        <v>57.0334</v>
      </c>
      <c r="D776" s="4">
        <f>73.1415 * CHOOSE(CONTROL!$C$10, $C$13, 100%, $E$13) + CHOOSE(CONTROL!$C$29, 0.0021, 0)</f>
        <v>73.143599999999992</v>
      </c>
      <c r="E776" s="4">
        <f>367.940139799008 * CHOOSE(CONTROL!$C$10, $C$13, 100%, $E$13) + CHOOSE(CONTROL!$C$29, 0.0021, 0)</f>
        <v>367.94223979900801</v>
      </c>
    </row>
    <row r="777" spans="1:5" ht="15">
      <c r="A777" s="13">
        <v>64801</v>
      </c>
      <c r="B777" s="4">
        <f>58.5162 * CHOOSE(CONTROL!$C$10, $C$13, 100%, $E$13) + CHOOSE(CONTROL!$C$29, 0.0274, 0)</f>
        <v>58.543599999999998</v>
      </c>
      <c r="C777" s="4">
        <f>58.36 * CHOOSE(CONTROL!$C$10, $C$13, 100%, $E$13) + CHOOSE(CONTROL!$C$29, 0.0274, 0)</f>
        <v>58.3874</v>
      </c>
      <c r="D777" s="4">
        <f>72.3444 * CHOOSE(CONTROL!$C$10, $C$13, 100%, $E$13) + CHOOSE(CONTROL!$C$29, 0.0021, 0)</f>
        <v>72.346499999999992</v>
      </c>
      <c r="E777" s="4">
        <f>376.750587884422 * CHOOSE(CONTROL!$C$10, $C$13, 100%, $E$13) + CHOOSE(CONTROL!$C$29, 0.0021, 0)</f>
        <v>376.75268788442196</v>
      </c>
    </row>
    <row r="778" spans="1:5" ht="15">
      <c r="A778" s="13">
        <v>64831</v>
      </c>
      <c r="B778" s="4">
        <f>58.6994 * CHOOSE(CONTROL!$C$10, $C$13, 100%, $E$13) + CHOOSE(CONTROL!$C$29, 0.0274, 0)</f>
        <v>58.726799999999997</v>
      </c>
      <c r="C778" s="4">
        <f>58.5432 * CHOOSE(CONTROL!$C$10, $C$13, 100%, $E$13) + CHOOSE(CONTROL!$C$29, 0.0274, 0)</f>
        <v>58.570599999999999</v>
      </c>
      <c r="D778" s="4">
        <f>72.9936 * CHOOSE(CONTROL!$C$10, $C$13, 100%, $E$13) + CHOOSE(CONTROL!$C$29, 0.0021, 0)</f>
        <v>72.995699999999999</v>
      </c>
      <c r="E778" s="4">
        <f>377.94267807449 * CHOOSE(CONTROL!$C$10, $C$13, 100%, $E$13) + CHOOSE(CONTROL!$C$29, 0.0021, 0)</f>
        <v>377.94477807448999</v>
      </c>
    </row>
    <row r="779" spans="1:5" ht="15">
      <c r="A779" s="13">
        <v>64862</v>
      </c>
      <c r="B779" s="4">
        <f>58.6809 * CHOOSE(CONTROL!$C$10, $C$13, 100%, $E$13) + CHOOSE(CONTROL!$C$29, 0.0274, 0)</f>
        <v>58.708300000000001</v>
      </c>
      <c r="C779" s="4">
        <f>58.5247 * CHOOSE(CONTROL!$C$10, $C$13, 100%, $E$13) + CHOOSE(CONTROL!$C$29, 0.0274, 0)</f>
        <v>58.552100000000003</v>
      </c>
      <c r="D779" s="4">
        <f>74.1651 * CHOOSE(CONTROL!$C$10, $C$13, 100%, $E$13) + CHOOSE(CONTROL!$C$29, 0.0021, 0)</f>
        <v>74.167199999999994</v>
      </c>
      <c r="E779" s="4">
        <f>377.822467299021 * CHOOSE(CONTROL!$C$10, $C$13, 100%, $E$13) + CHOOSE(CONTROL!$C$29, 0.0021, 0)</f>
        <v>377.824567299021</v>
      </c>
    </row>
    <row r="780" spans="1:5" ht="15">
      <c r="A780" s="13">
        <v>64893</v>
      </c>
      <c r="B780" s="4">
        <f>60.0711 * CHOOSE(CONTROL!$C$10, $C$13, 100%, $E$13) + CHOOSE(CONTROL!$C$29, 0.0274, 0)</f>
        <v>60.098500000000001</v>
      </c>
      <c r="C780" s="4">
        <f>59.9149 * CHOOSE(CONTROL!$C$10, $C$13, 100%, $E$13) + CHOOSE(CONTROL!$C$29, 0.0274, 0)</f>
        <v>59.942300000000003</v>
      </c>
      <c r="D780" s="4">
        <f>73.3914 * CHOOSE(CONTROL!$C$10, $C$13, 100%, $E$13) + CHOOSE(CONTROL!$C$29, 0.0021, 0)</f>
        <v>73.393500000000003</v>
      </c>
      <c r="E780" s="4">
        <f>386.868328153062 * CHOOSE(CONTROL!$C$10, $C$13, 100%, $E$13) + CHOOSE(CONTROL!$C$29, 0.0021, 0)</f>
        <v>386.87042815306199</v>
      </c>
    </row>
    <row r="781" spans="1:5" ht="15">
      <c r="A781" s="13">
        <v>64923</v>
      </c>
      <c r="B781" s="4">
        <f>57.7018 * CHOOSE(CONTROL!$C$10, $C$13, 100%, $E$13) + CHOOSE(CONTROL!$C$29, 0.0274, 0)</f>
        <v>57.729199999999999</v>
      </c>
      <c r="C781" s="4">
        <f>57.5456 * CHOOSE(CONTROL!$C$10, $C$13, 100%, $E$13) + CHOOSE(CONTROL!$C$29, 0.0274, 0)</f>
        <v>57.573</v>
      </c>
      <c r="D781" s="4">
        <f>73.0259 * CHOOSE(CONTROL!$C$10, $C$13, 100%, $E$13) + CHOOSE(CONTROL!$C$29, 0.0021, 0)</f>
        <v>73.027999999999992</v>
      </c>
      <c r="E781" s="4">
        <f>371.451296199165 * CHOOSE(CONTROL!$C$10, $C$13, 100%, $E$13) + CHOOSE(CONTROL!$C$29, 0.0021, 0)</f>
        <v>371.45339619916496</v>
      </c>
    </row>
    <row r="782" spans="1:5" ht="15">
      <c r="A782" s="13">
        <v>64954</v>
      </c>
      <c r="B782" s="4">
        <f>55.8052 * CHOOSE(CONTROL!$C$10, $C$13, 100%, $E$13) + CHOOSE(CONTROL!$C$29, 0.0274, 0)</f>
        <v>55.832599999999999</v>
      </c>
      <c r="C782" s="4">
        <f>55.6489 * CHOOSE(CONTROL!$C$10, $C$13, 100%, $E$13) + CHOOSE(CONTROL!$C$29, 0.0274, 0)</f>
        <v>55.676299999999998</v>
      </c>
      <c r="D782" s="4">
        <f>72.0472 * CHOOSE(CONTROL!$C$10, $C$13, 100%, $E$13) + CHOOSE(CONTROL!$C$29, 0.0021, 0)</f>
        <v>72.049300000000002</v>
      </c>
      <c r="E782" s="4">
        <f>359.109656584349 * CHOOSE(CONTROL!$C$10, $C$13, 100%, $E$13) + CHOOSE(CONTROL!$C$29, 0.0021, 0)</f>
        <v>359.111756584349</v>
      </c>
    </row>
    <row r="783" spans="1:5" ht="15">
      <c r="A783" s="13">
        <v>64984</v>
      </c>
      <c r="B783" s="4">
        <f>54.5836 * CHOOSE(CONTROL!$C$10, $C$13, 100%, $E$13) + CHOOSE(CONTROL!$C$29, 0.0274, 0)</f>
        <v>54.610999999999997</v>
      </c>
      <c r="C783" s="4">
        <f>54.4273 * CHOOSE(CONTROL!$C$10, $C$13, 100%, $E$13) + CHOOSE(CONTROL!$C$29, 0.0274, 0)</f>
        <v>54.454700000000003</v>
      </c>
      <c r="D783" s="4">
        <f>71.7107 * CHOOSE(CONTROL!$C$10, $C$13, 100%, $E$13) + CHOOSE(CONTROL!$C$29, 0.0021, 0)</f>
        <v>71.712800000000001</v>
      </c>
      <c r="E783" s="4">
        <f>351.160719056462 * CHOOSE(CONTROL!$C$10, $C$13, 100%, $E$13) + CHOOSE(CONTROL!$C$29, 0.0021, 0)</f>
        <v>351.16281905646201</v>
      </c>
    </row>
    <row r="784" spans="1:5" ht="15">
      <c r="A784" s="13">
        <v>65015</v>
      </c>
      <c r="B784" s="4">
        <f>53.7384 * CHOOSE(CONTROL!$C$10, $C$13, 100%, $E$13) + CHOOSE(CONTROL!$C$29, 0.0274, 0)</f>
        <v>53.765799999999999</v>
      </c>
      <c r="C784" s="4">
        <f>53.5821 * CHOOSE(CONTROL!$C$10, $C$13, 100%, $E$13) + CHOOSE(CONTROL!$C$29, 0.0274, 0)</f>
        <v>53.609499999999997</v>
      </c>
      <c r="D784" s="4">
        <f>69.2334 * CHOOSE(CONTROL!$C$10, $C$13, 100%, $E$13) + CHOOSE(CONTROL!$C$29, 0.0021, 0)</f>
        <v>69.235500000000002</v>
      </c>
      <c r="E784" s="4">
        <f>345.661076078756 * CHOOSE(CONTROL!$C$10, $C$13, 100%, $E$13) + CHOOSE(CONTROL!$C$29, 0.0021, 0)</f>
        <v>345.66317607875601</v>
      </c>
    </row>
    <row r="785" spans="1:5" ht="15">
      <c r="A785" s="13">
        <v>65046</v>
      </c>
      <c r="B785" s="4">
        <f>51.5232 * CHOOSE(CONTROL!$C$10, $C$13, 100%, $E$13) + CHOOSE(CONTROL!$C$29, 0.0274, 0)</f>
        <v>51.550600000000003</v>
      </c>
      <c r="C785" s="4">
        <f>51.3669 * CHOOSE(CONTROL!$C$10, $C$13, 100%, $E$13) + CHOOSE(CONTROL!$C$29, 0.0274, 0)</f>
        <v>51.394300000000001</v>
      </c>
      <c r="D785" s="4">
        <f>66.3814 * CHOOSE(CONTROL!$C$10, $C$13, 100%, $E$13) + CHOOSE(CONTROL!$C$29, 0.0021, 0)</f>
        <v>66.383499999999998</v>
      </c>
      <c r="E785" s="4">
        <f>331.262887697361 * CHOOSE(CONTROL!$C$10, $C$13, 100%, $E$13) + CHOOSE(CONTROL!$C$29, 0.0021, 0)</f>
        <v>331.26498769736099</v>
      </c>
    </row>
    <row r="786" spans="1:5" ht="15">
      <c r="A786" s="13">
        <v>65074</v>
      </c>
      <c r="B786" s="4">
        <f>52.7319 * CHOOSE(CONTROL!$C$10, $C$13, 100%, $E$13) + CHOOSE(CONTROL!$C$29, 0.0274, 0)</f>
        <v>52.759300000000003</v>
      </c>
      <c r="C786" s="4">
        <f>52.5756 * CHOOSE(CONTROL!$C$10, $C$13, 100%, $E$13) + CHOOSE(CONTROL!$C$29, 0.0274, 0)</f>
        <v>52.603000000000002</v>
      </c>
      <c r="D786" s="4">
        <f>68.6538 * CHOOSE(CONTROL!$C$10, $C$13, 100%, $E$13) + CHOOSE(CONTROL!$C$29, 0.0021, 0)</f>
        <v>68.655900000000003</v>
      </c>
      <c r="E786" s="4">
        <f>339.128374128338 * CHOOSE(CONTROL!$C$10, $C$13, 100%, $E$13) + CHOOSE(CONTROL!$C$29, 0.0021, 0)</f>
        <v>339.13047412833799</v>
      </c>
    </row>
    <row r="787" spans="1:5" ht="15">
      <c r="A787" s="13">
        <v>65105</v>
      </c>
      <c r="B787" s="4">
        <f>55.906 * CHOOSE(CONTROL!$C$10, $C$13, 100%, $E$13) + CHOOSE(CONTROL!$C$29, 0.0274, 0)</f>
        <v>55.933399999999999</v>
      </c>
      <c r="C787" s="4">
        <f>55.7498 * CHOOSE(CONTROL!$C$10, $C$13, 100%, $E$13) + CHOOSE(CONTROL!$C$29, 0.0274, 0)</f>
        <v>55.777200000000001</v>
      </c>
      <c r="D787" s="4">
        <f>72.2112 * CHOOSE(CONTROL!$C$10, $C$13, 100%, $E$13) + CHOOSE(CONTROL!$C$29, 0.0021, 0)</f>
        <v>72.213300000000004</v>
      </c>
      <c r="E787" s="4">
        <f>359.783559493417 * CHOOSE(CONTROL!$C$10, $C$13, 100%, $E$13) + CHOOSE(CONTROL!$C$29, 0.0021, 0)</f>
        <v>359.78565949341697</v>
      </c>
    </row>
    <row r="788" spans="1:5" ht="15">
      <c r="A788" s="13">
        <v>65135</v>
      </c>
      <c r="B788" s="4">
        <f>58.1613 * CHOOSE(CONTROL!$C$10, $C$13, 100%, $E$13) + CHOOSE(CONTROL!$C$29, 0.0274, 0)</f>
        <v>58.188699999999997</v>
      </c>
      <c r="C788" s="4">
        <f>58.005 * CHOOSE(CONTROL!$C$10, $C$13, 100%, $E$13) + CHOOSE(CONTROL!$C$29, 0.0274, 0)</f>
        <v>58.032400000000003</v>
      </c>
      <c r="D788" s="4">
        <f>74.2603 * CHOOSE(CONTROL!$C$10, $C$13, 100%, $E$13) + CHOOSE(CONTROL!$C$29, 0.0021, 0)</f>
        <v>74.2624</v>
      </c>
      <c r="E788" s="4">
        <f>374.459343961844 * CHOOSE(CONTROL!$C$10, $C$13, 100%, $E$13) + CHOOSE(CONTROL!$C$29, 0.0021, 0)</f>
        <v>374.461443961844</v>
      </c>
    </row>
    <row r="789" spans="1:5" ht="15">
      <c r="A789" s="13">
        <v>65166</v>
      </c>
      <c r="B789" s="4">
        <f>59.5392 * CHOOSE(CONTROL!$C$10, $C$13, 100%, $E$13) + CHOOSE(CONTROL!$C$29, 0.0274, 0)</f>
        <v>59.566600000000001</v>
      </c>
      <c r="C789" s="4">
        <f>59.3829 * CHOOSE(CONTROL!$C$10, $C$13, 100%, $E$13) + CHOOSE(CONTROL!$C$29, 0.0274, 0)</f>
        <v>59.410299999999999</v>
      </c>
      <c r="D789" s="4">
        <f>73.4506 * CHOOSE(CONTROL!$C$10, $C$13, 100%, $E$13) + CHOOSE(CONTROL!$C$29, 0.0021, 0)</f>
        <v>73.452699999999993</v>
      </c>
      <c r="E789" s="4">
        <f>383.425896542588 * CHOOSE(CONTROL!$C$10, $C$13, 100%, $E$13) + CHOOSE(CONTROL!$C$29, 0.0021, 0)</f>
        <v>383.42799654258801</v>
      </c>
    </row>
    <row r="790" spans="1:5" ht="15">
      <c r="A790" s="13">
        <v>65196</v>
      </c>
      <c r="B790" s="4">
        <f>59.7256 * CHOOSE(CONTROL!$C$10, $C$13, 100%, $E$13) + CHOOSE(CONTROL!$C$29, 0.0274, 0)</f>
        <v>59.753</v>
      </c>
      <c r="C790" s="4">
        <f>59.5694 * CHOOSE(CONTROL!$C$10, $C$13, 100%, $E$13) + CHOOSE(CONTROL!$C$29, 0.0274, 0)</f>
        <v>59.596800000000002</v>
      </c>
      <c r="D790" s="4">
        <f>74.1101 * CHOOSE(CONTROL!$C$10, $C$13, 100%, $E$13) + CHOOSE(CONTROL!$C$29, 0.0021, 0)</f>
        <v>74.112200000000001</v>
      </c>
      <c r="E790" s="4">
        <f>384.639108318721 * CHOOSE(CONTROL!$C$10, $C$13, 100%, $E$13) + CHOOSE(CONTROL!$C$29, 0.0021, 0)</f>
        <v>384.641208318721</v>
      </c>
    </row>
    <row r="791" spans="1:5" ht="15">
      <c r="A791" s="13">
        <v>65227</v>
      </c>
      <c r="B791" s="4">
        <f>59.7068 * CHOOSE(CONTROL!$C$10, $C$13, 100%, $E$13) + CHOOSE(CONTROL!$C$29, 0.0274, 0)</f>
        <v>59.734200000000001</v>
      </c>
      <c r="C791" s="4">
        <f>59.5506 * CHOOSE(CONTROL!$C$10, $C$13, 100%, $E$13) + CHOOSE(CONTROL!$C$29, 0.0274, 0)</f>
        <v>59.578000000000003</v>
      </c>
      <c r="D791" s="4">
        <f>75.3 * CHOOSE(CONTROL!$C$10, $C$13, 100%, $E$13) + CHOOSE(CONTROL!$C$29, 0.0021, 0)</f>
        <v>75.302099999999996</v>
      </c>
      <c r="E791" s="4">
        <f>384.516767635413 * CHOOSE(CONTROL!$C$10, $C$13, 100%, $E$13) + CHOOSE(CONTROL!$C$29, 0.0021, 0)</f>
        <v>384.51886763541296</v>
      </c>
    </row>
    <row r="792" spans="1:5" ht="15">
      <c r="A792" s="13">
        <v>65258</v>
      </c>
      <c r="B792" s="4">
        <f>61.1216 * CHOOSE(CONTROL!$C$10, $C$13, 100%, $E$13) + CHOOSE(CONTROL!$C$29, 0.0274, 0)</f>
        <v>61.149000000000001</v>
      </c>
      <c r="C792" s="4">
        <f>60.9653 * CHOOSE(CONTROL!$C$10, $C$13, 100%, $E$13) + CHOOSE(CONTROL!$C$29, 0.0274, 0)</f>
        <v>60.992699999999999</v>
      </c>
      <c r="D792" s="4">
        <f>74.5141 * CHOOSE(CONTROL!$C$10, $C$13, 100%, $E$13) + CHOOSE(CONTROL!$C$29, 0.0021, 0)</f>
        <v>74.516199999999998</v>
      </c>
      <c r="E792" s="4">
        <f>393.722904054301 * CHOOSE(CONTROL!$C$10, $C$13, 100%, $E$13) + CHOOSE(CONTROL!$C$29, 0.0021, 0)</f>
        <v>393.725004054301</v>
      </c>
    </row>
    <row r="793" spans="1:5" ht="15">
      <c r="A793" s="13">
        <v>65288</v>
      </c>
      <c r="B793" s="4">
        <f>58.7104 * CHOOSE(CONTROL!$C$10, $C$13, 100%, $E$13) + CHOOSE(CONTROL!$C$29, 0.0274, 0)</f>
        <v>58.7378</v>
      </c>
      <c r="C793" s="4">
        <f>58.5542 * CHOOSE(CONTROL!$C$10, $C$13, 100%, $E$13) + CHOOSE(CONTROL!$C$29, 0.0274, 0)</f>
        <v>58.581600000000002</v>
      </c>
      <c r="D793" s="4">
        <f>74.1429 * CHOOSE(CONTROL!$C$10, $C$13, 100%, $E$13) + CHOOSE(CONTROL!$C$29, 0.0021, 0)</f>
        <v>74.144999999999996</v>
      </c>
      <c r="E793" s="4">
        <f>378.032711420117 * CHOOSE(CONTROL!$C$10, $C$13, 100%, $E$13) + CHOOSE(CONTROL!$C$29, 0.0021, 0)</f>
        <v>378.03481142011697</v>
      </c>
    </row>
    <row r="794" spans="1:5" ht="15">
      <c r="A794" s="13">
        <v>65319</v>
      </c>
      <c r="B794" s="4">
        <f>56.7802 * CHOOSE(CONTROL!$C$10, $C$13, 100%, $E$13) + CHOOSE(CONTROL!$C$29, 0.0274, 0)</f>
        <v>56.807600000000001</v>
      </c>
      <c r="C794" s="4">
        <f>56.624 * CHOOSE(CONTROL!$C$10, $C$13, 100%, $E$13) + CHOOSE(CONTROL!$C$29, 0.0274, 0)</f>
        <v>56.651400000000002</v>
      </c>
      <c r="D794" s="4">
        <f>73.1487 * CHOOSE(CONTROL!$C$10, $C$13, 100%, $E$13) + CHOOSE(CONTROL!$C$29, 0.0021, 0)</f>
        <v>73.150800000000004</v>
      </c>
      <c r="E794" s="4">
        <f>365.472401267215 * CHOOSE(CONTROL!$C$10, $C$13, 100%, $E$13) + CHOOSE(CONTROL!$C$29, 0.0021, 0)</f>
        <v>365.47450126721498</v>
      </c>
    </row>
    <row r="795" spans="1:5" ht="15">
      <c r="A795" s="13">
        <v>65349</v>
      </c>
      <c r="B795" s="4">
        <f>55.5371 * CHOOSE(CONTROL!$C$10, $C$13, 100%, $E$13) + CHOOSE(CONTROL!$C$29, 0.0274, 0)</f>
        <v>55.564500000000002</v>
      </c>
      <c r="C795" s="4">
        <f>55.3808 * CHOOSE(CONTROL!$C$10, $C$13, 100%, $E$13) + CHOOSE(CONTROL!$C$29, 0.0274, 0)</f>
        <v>55.408200000000001</v>
      </c>
      <c r="D795" s="4">
        <f>72.807 * CHOOSE(CONTROL!$C$10, $C$13, 100%, $E$13) + CHOOSE(CONTROL!$C$29, 0.0021, 0)</f>
        <v>72.809100000000001</v>
      </c>
      <c r="E795" s="4">
        <f>357.382623583508 * CHOOSE(CONTROL!$C$10, $C$13, 100%, $E$13) + CHOOSE(CONTROL!$C$29, 0.0021, 0)</f>
        <v>357.38472358350799</v>
      </c>
    </row>
    <row r="796" spans="1:5" ht="15">
      <c r="A796" s="13">
        <v>65380</v>
      </c>
      <c r="B796" s="4">
        <f>54.6769 * CHOOSE(CONTROL!$C$10, $C$13, 100%, $E$13) + CHOOSE(CONTROL!$C$29, 0.0274, 0)</f>
        <v>54.704300000000003</v>
      </c>
      <c r="C796" s="4">
        <f>54.5207 * CHOOSE(CONTROL!$C$10, $C$13, 100%, $E$13) + CHOOSE(CONTROL!$C$29, 0.0274, 0)</f>
        <v>54.548099999999998</v>
      </c>
      <c r="D796" s="4">
        <f>70.2908 * CHOOSE(CONTROL!$C$10, $C$13, 100%, $E$13) + CHOOSE(CONTROL!$C$29, 0.0021, 0)</f>
        <v>70.292900000000003</v>
      </c>
      <c r="E796" s="4">
        <f>351.785537322191 * CHOOSE(CONTROL!$C$10, $C$13, 100%, $E$13) + CHOOSE(CONTROL!$C$29, 0.0021, 0)</f>
        <v>351.78763732219096</v>
      </c>
    </row>
    <row r="797" spans="1:5" ht="15">
      <c r="A797" s="13">
        <v>65411</v>
      </c>
      <c r="B797" s="4">
        <f>52.4226 * CHOOSE(CONTROL!$C$10, $C$13, 100%, $E$13) + CHOOSE(CONTROL!$C$29, 0.0274, 0)</f>
        <v>52.45</v>
      </c>
      <c r="C797" s="4">
        <f>52.2663 * CHOOSE(CONTROL!$C$10, $C$13, 100%, $E$13) + CHOOSE(CONTROL!$C$29, 0.0274, 0)</f>
        <v>52.293700000000001</v>
      </c>
      <c r="D797" s="4">
        <f>67.3938 * CHOOSE(CONTROL!$C$10, $C$13, 100%, $E$13) + CHOOSE(CONTROL!$C$29, 0.0021, 0)</f>
        <v>67.395899999999997</v>
      </c>
      <c r="E797" s="4">
        <f>337.132240243809 * CHOOSE(CONTROL!$C$10, $C$13, 100%, $E$13) + CHOOSE(CONTROL!$C$29, 0.0021, 0)</f>
        <v>337.13434024380899</v>
      </c>
    </row>
    <row r="798" spans="1:5" ht="15">
      <c r="A798" s="13">
        <v>65439</v>
      </c>
      <c r="B798" s="4">
        <f>53.6527 * CHOOSE(CONTROL!$C$10, $C$13, 100%, $E$13) + CHOOSE(CONTROL!$C$29, 0.0274, 0)</f>
        <v>53.680100000000003</v>
      </c>
      <c r="C798" s="4">
        <f>53.4964 * CHOOSE(CONTROL!$C$10, $C$13, 100%, $E$13) + CHOOSE(CONTROL!$C$29, 0.0274, 0)</f>
        <v>53.523800000000001</v>
      </c>
      <c r="D798" s="4">
        <f>69.702 * CHOOSE(CONTROL!$C$10, $C$13, 100%, $E$13) + CHOOSE(CONTROL!$C$29, 0.0021, 0)</f>
        <v>69.704099999999997</v>
      </c>
      <c r="E798" s="4">
        <f>345.137088234825 * CHOOSE(CONTROL!$C$10, $C$13, 100%, $E$13) + CHOOSE(CONTROL!$C$29, 0.0021, 0)</f>
        <v>345.13918823482499</v>
      </c>
    </row>
    <row r="799" spans="1:5" ht="15">
      <c r="A799" s="13">
        <v>65470</v>
      </c>
      <c r="B799" s="4">
        <f>56.8829 * CHOOSE(CONTROL!$C$10, $C$13, 100%, $E$13) + CHOOSE(CONTROL!$C$29, 0.0274, 0)</f>
        <v>56.910299999999999</v>
      </c>
      <c r="C799" s="4">
        <f>56.7266 * CHOOSE(CONTROL!$C$10, $C$13, 100%, $E$13) + CHOOSE(CONTROL!$C$29, 0.0274, 0)</f>
        <v>56.753999999999998</v>
      </c>
      <c r="D799" s="4">
        <f>73.3153 * CHOOSE(CONTROL!$C$10, $C$13, 100%, $E$13) + CHOOSE(CONTROL!$C$29, 0.0021, 0)</f>
        <v>73.317399999999992</v>
      </c>
      <c r="E799" s="4">
        <f>366.158244462692 * CHOOSE(CONTROL!$C$10, $C$13, 100%, $E$13) + CHOOSE(CONTROL!$C$29, 0.0021, 0)</f>
        <v>366.16034446269197</v>
      </c>
    </row>
    <row r="800" spans="1:5" ht="15">
      <c r="A800" s="13">
        <v>65500</v>
      </c>
      <c r="B800" s="4">
        <f>59.178 * CHOOSE(CONTROL!$C$10, $C$13, 100%, $E$13) + CHOOSE(CONTROL!$C$29, 0.0274, 0)</f>
        <v>59.205399999999997</v>
      </c>
      <c r="C800" s="4">
        <f>59.0217 * CHOOSE(CONTROL!$C$10, $C$13, 100%, $E$13) + CHOOSE(CONTROL!$C$29, 0.0274, 0)</f>
        <v>59.049100000000003</v>
      </c>
      <c r="D800" s="4">
        <f>75.3967 * CHOOSE(CONTROL!$C$10, $C$13, 100%, $E$13) + CHOOSE(CONTROL!$C$29, 0.0021, 0)</f>
        <v>75.398799999999994</v>
      </c>
      <c r="E800" s="4">
        <f>381.094056106332 * CHOOSE(CONTROL!$C$10, $C$13, 100%, $E$13) + CHOOSE(CONTROL!$C$29, 0.0021, 0)</f>
        <v>381.09615610633199</v>
      </c>
    </row>
    <row r="801" spans="1:5" ht="15">
      <c r="A801" s="13">
        <v>65531</v>
      </c>
      <c r="B801" s="4">
        <f>60.5802 * CHOOSE(CONTROL!$C$10, $C$13, 100%, $E$13) + CHOOSE(CONTROL!$C$29, 0.0274, 0)</f>
        <v>60.607599999999998</v>
      </c>
      <c r="C801" s="4">
        <f>60.424 * CHOOSE(CONTROL!$C$10, $C$13, 100%, $E$13) + CHOOSE(CONTROL!$C$29, 0.0274, 0)</f>
        <v>60.4514</v>
      </c>
      <c r="D801" s="4">
        <f>74.5742 * CHOOSE(CONTROL!$C$10, $C$13, 100%, $E$13) + CHOOSE(CONTROL!$C$29, 0.0021, 0)</f>
        <v>74.576300000000003</v>
      </c>
      <c r="E801" s="4">
        <f>390.219479059149 * CHOOSE(CONTROL!$C$10, $C$13, 100%, $E$13) + CHOOSE(CONTROL!$C$29, 0.0021, 0)</f>
        <v>390.22157905914901</v>
      </c>
    </row>
    <row r="802" spans="1:5" ht="15">
      <c r="A802" s="13">
        <v>65561</v>
      </c>
      <c r="B802" s="4">
        <f>60.77 * CHOOSE(CONTROL!$C$10, $C$13, 100%, $E$13) + CHOOSE(CONTROL!$C$29, 0.0274, 0)</f>
        <v>60.797400000000003</v>
      </c>
      <c r="C802" s="4">
        <f>60.6137 * CHOOSE(CONTROL!$C$10, $C$13, 100%, $E$13) + CHOOSE(CONTROL!$C$29, 0.0274, 0)</f>
        <v>60.641100000000002</v>
      </c>
      <c r="D802" s="4">
        <f>75.2441 * CHOOSE(CONTROL!$C$10, $C$13, 100%, $E$13) + CHOOSE(CONTROL!$C$29, 0.0021, 0)</f>
        <v>75.246200000000002</v>
      </c>
      <c r="E802" s="4">
        <f>391.454186655949 * CHOOSE(CONTROL!$C$10, $C$13, 100%, $E$13) + CHOOSE(CONTROL!$C$29, 0.0021, 0)</f>
        <v>391.45628665594899</v>
      </c>
    </row>
    <row r="803" spans="1:5" ht="15">
      <c r="A803" s="13">
        <v>65592</v>
      </c>
      <c r="B803" s="4">
        <f>60.7508 * CHOOSE(CONTROL!$C$10, $C$13, 100%, $E$13) + CHOOSE(CONTROL!$C$29, 0.0274, 0)</f>
        <v>60.778199999999998</v>
      </c>
      <c r="C803" s="4">
        <f>60.5946 * CHOOSE(CONTROL!$C$10, $C$13, 100%, $E$13) + CHOOSE(CONTROL!$C$29, 0.0274, 0)</f>
        <v>60.622</v>
      </c>
      <c r="D803" s="4">
        <f>76.4527 * CHOOSE(CONTROL!$C$10, $C$13, 100%, $E$13) + CHOOSE(CONTROL!$C$29, 0.0021, 0)</f>
        <v>76.454799999999992</v>
      </c>
      <c r="E803" s="4">
        <f>391.32967832686 * CHOOSE(CONTROL!$C$10, $C$13, 100%, $E$13) + CHOOSE(CONTROL!$C$29, 0.0021, 0)</f>
        <v>391.33177832685999</v>
      </c>
    </row>
    <row r="804" spans="1:5" ht="15">
      <c r="A804" s="13">
        <v>65623</v>
      </c>
      <c r="B804" s="4">
        <f>62.1906 * CHOOSE(CONTROL!$C$10, $C$13, 100%, $E$13) + CHOOSE(CONTROL!$C$29, 0.0274, 0)</f>
        <v>62.218000000000004</v>
      </c>
      <c r="C804" s="4">
        <f>62.0343 * CHOOSE(CONTROL!$C$10, $C$13, 100%, $E$13) + CHOOSE(CONTROL!$C$29, 0.0274, 0)</f>
        <v>62.061700000000002</v>
      </c>
      <c r="D804" s="4">
        <f>75.6545 * CHOOSE(CONTROL!$C$10, $C$13, 100%, $E$13) + CHOOSE(CONTROL!$C$29, 0.0021, 0)</f>
        <v>75.656599999999997</v>
      </c>
      <c r="E804" s="4">
        <f>400.698930090811 * CHOOSE(CONTROL!$C$10, $C$13, 100%, $E$13) + CHOOSE(CONTROL!$C$29, 0.0021, 0)</f>
        <v>400.701030090811</v>
      </c>
    </row>
    <row r="805" spans="1:5" ht="15">
      <c r="A805" s="13">
        <v>65653</v>
      </c>
      <c r="B805" s="4">
        <f>59.7368 * CHOOSE(CONTROL!$C$10, $C$13, 100%, $E$13) + CHOOSE(CONTROL!$C$29, 0.0274, 0)</f>
        <v>59.764200000000002</v>
      </c>
      <c r="C805" s="4">
        <f>59.5806 * CHOOSE(CONTROL!$C$10, $C$13, 100%, $E$13) + CHOOSE(CONTROL!$C$29, 0.0274, 0)</f>
        <v>59.607999999999997</v>
      </c>
      <c r="D805" s="4">
        <f>75.2774 * CHOOSE(CONTROL!$C$10, $C$13, 100%, $E$13) + CHOOSE(CONTROL!$C$29, 0.0021, 0)</f>
        <v>75.279499999999999</v>
      </c>
      <c r="E805" s="4">
        <f>384.730736885141 * CHOOSE(CONTROL!$C$10, $C$13, 100%, $E$13) + CHOOSE(CONTROL!$C$29, 0.0021, 0)</f>
        <v>384.73283688514101</v>
      </c>
    </row>
    <row r="806" spans="1:5" ht="15">
      <c r="A806" s="13">
        <v>65684</v>
      </c>
      <c r="B806" s="4">
        <f>57.7725 * CHOOSE(CONTROL!$C$10, $C$13, 100%, $E$13) + CHOOSE(CONTROL!$C$29, 0.0274, 0)</f>
        <v>57.799900000000001</v>
      </c>
      <c r="C806" s="4">
        <f>57.6163 * CHOOSE(CONTROL!$C$10, $C$13, 100%, $E$13) + CHOOSE(CONTROL!$C$29, 0.0274, 0)</f>
        <v>57.643700000000003</v>
      </c>
      <c r="D806" s="4">
        <f>74.2676 * CHOOSE(CONTROL!$C$10, $C$13, 100%, $E$13) + CHOOSE(CONTROL!$C$29, 0.0021, 0)</f>
        <v>74.2697</v>
      </c>
      <c r="E806" s="4">
        <f>371.947881765332 * CHOOSE(CONTROL!$C$10, $C$13, 100%, $E$13) + CHOOSE(CONTROL!$C$29, 0.0021, 0)</f>
        <v>371.94998176533198</v>
      </c>
    </row>
    <row r="807" spans="1:5" ht="15">
      <c r="A807" s="13">
        <v>65714</v>
      </c>
      <c r="B807" s="4">
        <f>56.5074 * CHOOSE(CONTROL!$C$10, $C$13, 100%, $E$13) + CHOOSE(CONTROL!$C$29, 0.0274, 0)</f>
        <v>56.534799999999997</v>
      </c>
      <c r="C807" s="4">
        <f>56.3511 * CHOOSE(CONTROL!$C$10, $C$13, 100%, $E$13) + CHOOSE(CONTROL!$C$29, 0.0274, 0)</f>
        <v>56.378500000000003</v>
      </c>
      <c r="D807" s="4">
        <f>73.9205 * CHOOSE(CONTROL!$C$10, $C$13, 100%, $E$13) + CHOOSE(CONTROL!$C$29, 0.0021, 0)</f>
        <v>73.922600000000003</v>
      </c>
      <c r="E807" s="4">
        <f>363.71476850432 * CHOOSE(CONTROL!$C$10, $C$13, 100%, $E$13) + CHOOSE(CONTROL!$C$29, 0.0021, 0)</f>
        <v>363.71686850431996</v>
      </c>
    </row>
    <row r="808" spans="1:5" ht="15">
      <c r="A808" s="13">
        <v>65745</v>
      </c>
      <c r="B808" s="4">
        <f>55.6321 * CHOOSE(CONTROL!$C$10, $C$13, 100%, $E$13) + CHOOSE(CONTROL!$C$29, 0.0274, 0)</f>
        <v>55.659500000000001</v>
      </c>
      <c r="C808" s="4">
        <f>55.4758 * CHOOSE(CONTROL!$C$10, $C$13, 100%, $E$13) + CHOOSE(CONTROL!$C$29, 0.0274, 0)</f>
        <v>55.5032</v>
      </c>
      <c r="D808" s="4">
        <f>71.3647 * CHOOSE(CONTROL!$C$10, $C$13, 100%, $E$13) + CHOOSE(CONTROL!$C$29, 0.0021, 0)</f>
        <v>71.366799999999998</v>
      </c>
      <c r="E808" s="4">
        <f>358.018512448496 * CHOOSE(CONTROL!$C$10, $C$13, 100%, $E$13) + CHOOSE(CONTROL!$C$29, 0.0021, 0)</f>
        <v>358.02061244849597</v>
      </c>
    </row>
    <row r="809" spans="1:5" ht="15">
      <c r="A809" s="13">
        <v>65776</v>
      </c>
      <c r="B809" s="4">
        <f>53.3379 * CHOOSE(CONTROL!$C$10, $C$13, 100%, $E$13) + CHOOSE(CONTROL!$C$29, 0.0274, 0)</f>
        <v>53.365299999999998</v>
      </c>
      <c r="C809" s="4">
        <f>53.1817 * CHOOSE(CONTROL!$C$10, $C$13, 100%, $E$13) + CHOOSE(CONTROL!$C$29, 0.0274, 0)</f>
        <v>53.209099999999999</v>
      </c>
      <c r="D809" s="4">
        <f>68.4222 * CHOOSE(CONTROL!$C$10, $C$13, 100%, $E$13) + CHOOSE(CONTROL!$C$29, 0.0021, 0)</f>
        <v>68.424300000000002</v>
      </c>
      <c r="E809" s="4">
        <f>343.105586628969 * CHOOSE(CONTROL!$C$10, $C$13, 100%, $E$13) + CHOOSE(CONTROL!$C$29, 0.0021, 0)</f>
        <v>343.10768662896896</v>
      </c>
    </row>
    <row r="810" spans="1:5" ht="15">
      <c r="A810" s="13">
        <v>65805</v>
      </c>
      <c r="B810" s="4">
        <f>54.5897 * CHOOSE(CONTROL!$C$10, $C$13, 100%, $E$13) + CHOOSE(CONTROL!$C$29, 0.0274, 0)</f>
        <v>54.617100000000001</v>
      </c>
      <c r="C810" s="4">
        <f>54.4334 * CHOOSE(CONTROL!$C$10, $C$13, 100%, $E$13) + CHOOSE(CONTROL!$C$29, 0.0274, 0)</f>
        <v>54.460799999999999</v>
      </c>
      <c r="D810" s="4">
        <f>70.7667 * CHOOSE(CONTROL!$C$10, $C$13, 100%, $E$13) + CHOOSE(CONTROL!$C$29, 0.0021, 0)</f>
        <v>70.768799999999999</v>
      </c>
      <c r="E810" s="4">
        <f>351.252265403586 * CHOOSE(CONTROL!$C$10, $C$13, 100%, $E$13) + CHOOSE(CONTROL!$C$29, 0.0021, 0)</f>
        <v>351.25436540358601</v>
      </c>
    </row>
    <row r="811" spans="1:5" ht="15">
      <c r="A811" s="13">
        <v>65836</v>
      </c>
      <c r="B811" s="4">
        <f>57.877 * CHOOSE(CONTROL!$C$10, $C$13, 100%, $E$13) + CHOOSE(CONTROL!$C$29, 0.0274, 0)</f>
        <v>57.904400000000003</v>
      </c>
      <c r="C811" s="4">
        <f>57.7207 * CHOOSE(CONTROL!$C$10, $C$13, 100%, $E$13) + CHOOSE(CONTROL!$C$29, 0.0274, 0)</f>
        <v>57.748100000000001</v>
      </c>
      <c r="D811" s="4">
        <f>74.4368 * CHOOSE(CONTROL!$C$10, $C$13, 100%, $E$13) + CHOOSE(CONTROL!$C$29, 0.0021, 0)</f>
        <v>74.438900000000004</v>
      </c>
      <c r="E811" s="4">
        <f>372.645876806534 * CHOOSE(CONTROL!$C$10, $C$13, 100%, $E$13) + CHOOSE(CONTROL!$C$29, 0.0021, 0)</f>
        <v>372.64797680653396</v>
      </c>
    </row>
    <row r="812" spans="1:5" ht="15">
      <c r="A812" s="13">
        <v>65866</v>
      </c>
      <c r="B812" s="4">
        <f>60.2126 * CHOOSE(CONTROL!$C$10, $C$13, 100%, $E$13) + CHOOSE(CONTROL!$C$29, 0.0274, 0)</f>
        <v>60.24</v>
      </c>
      <c r="C812" s="4">
        <f>60.0564 * CHOOSE(CONTROL!$C$10, $C$13, 100%, $E$13) + CHOOSE(CONTROL!$C$29, 0.0274, 0)</f>
        <v>60.083799999999997</v>
      </c>
      <c r="D812" s="4">
        <f>76.5509 * CHOOSE(CONTROL!$C$10, $C$13, 100%, $E$13) + CHOOSE(CONTROL!$C$29, 0.0021, 0)</f>
        <v>76.552999999999997</v>
      </c>
      <c r="E812" s="4">
        <f>387.846322815687 * CHOOSE(CONTROL!$C$10, $C$13, 100%, $E$13) + CHOOSE(CONTROL!$C$29, 0.0021, 0)</f>
        <v>387.848422815687</v>
      </c>
    </row>
    <row r="813" spans="1:5" ht="15">
      <c r="A813" s="13">
        <v>65897</v>
      </c>
      <c r="B813" s="4">
        <f>61.6397 * CHOOSE(CONTROL!$C$10, $C$13, 100%, $E$13) + CHOOSE(CONTROL!$C$29, 0.0274, 0)</f>
        <v>61.667099999999998</v>
      </c>
      <c r="C813" s="4">
        <f>61.4834 * CHOOSE(CONTROL!$C$10, $C$13, 100%, $E$13) + CHOOSE(CONTROL!$C$29, 0.0274, 0)</f>
        <v>61.510800000000003</v>
      </c>
      <c r="D813" s="4">
        <f>75.7155 * CHOOSE(CONTROL!$C$10, $C$13, 100%, $E$13) + CHOOSE(CONTROL!$C$29, 0.0021, 0)</f>
        <v>75.717600000000004</v>
      </c>
      <c r="E813" s="4">
        <f>397.133431023433 * CHOOSE(CONTROL!$C$10, $C$13, 100%, $E$13) + CHOOSE(CONTROL!$C$29, 0.0021, 0)</f>
        <v>397.13553102343297</v>
      </c>
    </row>
    <row r="814" spans="1:5" ht="15">
      <c r="A814" s="13">
        <v>65927</v>
      </c>
      <c r="B814" s="4">
        <f>61.8328 * CHOOSE(CONTROL!$C$10, $C$13, 100%, $E$13) + CHOOSE(CONTROL!$C$29, 0.0274, 0)</f>
        <v>61.860199999999999</v>
      </c>
      <c r="C814" s="4">
        <f>61.6765 * CHOOSE(CONTROL!$C$10, $C$13, 100%, $E$13) + CHOOSE(CONTROL!$C$29, 0.0274, 0)</f>
        <v>61.703899999999997</v>
      </c>
      <c r="D814" s="4">
        <f>76.3959 * CHOOSE(CONTROL!$C$10, $C$13, 100%, $E$13) + CHOOSE(CONTROL!$C$29, 0.0021, 0)</f>
        <v>76.397999999999996</v>
      </c>
      <c r="E814" s="4">
        <f>398.390015306232 * CHOOSE(CONTROL!$C$10, $C$13, 100%, $E$13) + CHOOSE(CONTROL!$C$29, 0.0021, 0)</f>
        <v>398.39211530623197</v>
      </c>
    </row>
    <row r="815" spans="1:5" ht="15">
      <c r="A815" s="13">
        <v>65958</v>
      </c>
      <c r="B815" s="4">
        <f>61.8133 * CHOOSE(CONTROL!$C$10, $C$13, 100%, $E$13) + CHOOSE(CONTROL!$C$29, 0.0274, 0)</f>
        <v>61.840699999999998</v>
      </c>
      <c r="C815" s="4">
        <f>61.657 * CHOOSE(CONTROL!$C$10, $C$13, 100%, $E$13) + CHOOSE(CONTROL!$C$29, 0.0274, 0)</f>
        <v>61.684399999999997</v>
      </c>
      <c r="D815" s="4">
        <f>77.6235 * CHOOSE(CONTROL!$C$10, $C$13, 100%, $E$13) + CHOOSE(CONTROL!$C$29, 0.0021, 0)</f>
        <v>77.625600000000006</v>
      </c>
      <c r="E815" s="4">
        <f>398.263300924773 * CHOOSE(CONTROL!$C$10, $C$13, 100%, $E$13) + CHOOSE(CONTROL!$C$29, 0.0021, 0)</f>
        <v>398.26540092477296</v>
      </c>
    </row>
    <row r="816" spans="1:5" ht="15">
      <c r="A816" s="13">
        <v>65989</v>
      </c>
      <c r="B816" s="4">
        <f>63.2785 * CHOOSE(CONTROL!$C$10, $C$13, 100%, $E$13) + CHOOSE(CONTROL!$C$29, 0.0274, 0)</f>
        <v>63.305900000000001</v>
      </c>
      <c r="C816" s="4">
        <f>63.1222 * CHOOSE(CONTROL!$C$10, $C$13, 100%, $E$13) + CHOOSE(CONTROL!$C$29, 0.0274, 0)</f>
        <v>63.1496</v>
      </c>
      <c r="D816" s="4">
        <f>76.8128 * CHOOSE(CONTROL!$C$10, $C$13, 100%, $E$13) + CHOOSE(CONTROL!$C$29, 0.0021, 0)</f>
        <v>76.814899999999994</v>
      </c>
      <c r="E816" s="4">
        <f>407.798558129542 * CHOOSE(CONTROL!$C$10, $C$13, 100%, $E$13) + CHOOSE(CONTROL!$C$29, 0.0021, 0)</f>
        <v>407.800658129542</v>
      </c>
    </row>
    <row r="817" spans="1:5" ht="15">
      <c r="A817" s="13">
        <v>66019</v>
      </c>
      <c r="B817" s="4">
        <f>60.7814 * CHOOSE(CONTROL!$C$10, $C$13, 100%, $E$13) + CHOOSE(CONTROL!$C$29, 0.0274, 0)</f>
        <v>60.808799999999998</v>
      </c>
      <c r="C817" s="4">
        <f>60.6251 * CHOOSE(CONTROL!$C$10, $C$13, 100%, $E$13) + CHOOSE(CONTROL!$C$29, 0.0274, 0)</f>
        <v>60.652500000000003</v>
      </c>
      <c r="D817" s="4">
        <f>76.4297 * CHOOSE(CONTROL!$C$10, $C$13, 100%, $E$13) + CHOOSE(CONTROL!$C$29, 0.0021, 0)</f>
        <v>76.431799999999996</v>
      </c>
      <c r="E817" s="4">
        <f>391.547438707461 * CHOOSE(CONTROL!$C$10, $C$13, 100%, $E$13) + CHOOSE(CONTROL!$C$29, 0.0021, 0)</f>
        <v>391.54953870746101</v>
      </c>
    </row>
    <row r="818" spans="1:5" ht="15">
      <c r="A818" s="13">
        <v>66050</v>
      </c>
      <c r="B818" s="4">
        <f>58.7824 * CHOOSE(CONTROL!$C$10, $C$13, 100%, $E$13) + CHOOSE(CONTROL!$C$29, 0.0274, 0)</f>
        <v>58.809800000000003</v>
      </c>
      <c r="C818" s="4">
        <f>58.6261 * CHOOSE(CONTROL!$C$10, $C$13, 100%, $E$13) + CHOOSE(CONTROL!$C$29, 0.0274, 0)</f>
        <v>58.653500000000001</v>
      </c>
      <c r="D818" s="4">
        <f>75.4041 * CHOOSE(CONTROL!$C$10, $C$13, 100%, $E$13) + CHOOSE(CONTROL!$C$29, 0.0021, 0)</f>
        <v>75.406199999999998</v>
      </c>
      <c r="E818" s="4">
        <f>378.538095544365 * CHOOSE(CONTROL!$C$10, $C$13, 100%, $E$13) + CHOOSE(CONTROL!$C$29, 0.0021, 0)</f>
        <v>378.54019554436496</v>
      </c>
    </row>
    <row r="819" spans="1:5" ht="15">
      <c r="A819" s="13">
        <v>66080</v>
      </c>
      <c r="B819" s="4">
        <f>57.4949 * CHOOSE(CONTROL!$C$10, $C$13, 100%, $E$13) + CHOOSE(CONTROL!$C$29, 0.0274, 0)</f>
        <v>57.522300000000001</v>
      </c>
      <c r="C819" s="4">
        <f>57.3386 * CHOOSE(CONTROL!$C$10, $C$13, 100%, $E$13) + CHOOSE(CONTROL!$C$29, 0.0274, 0)</f>
        <v>57.366</v>
      </c>
      <c r="D819" s="4">
        <f>75.0515 * CHOOSE(CONTROL!$C$10, $C$13, 100%, $E$13) + CHOOSE(CONTROL!$C$29, 0.0021, 0)</f>
        <v>75.053600000000003</v>
      </c>
      <c r="E819" s="4">
        <f>370.159107070407 * CHOOSE(CONTROL!$C$10, $C$13, 100%, $E$13) + CHOOSE(CONTROL!$C$29, 0.0021, 0)</f>
        <v>370.16120707040699</v>
      </c>
    </row>
    <row r="820" spans="1:5" ht="15">
      <c r="A820" s="13">
        <v>66111</v>
      </c>
      <c r="B820" s="4">
        <f>56.6041 * CHOOSE(CONTROL!$C$10, $C$13, 100%, $E$13) + CHOOSE(CONTROL!$C$29, 0.0274, 0)</f>
        <v>56.631500000000003</v>
      </c>
      <c r="C820" s="4">
        <f>56.4478 * CHOOSE(CONTROL!$C$10, $C$13, 100%, $E$13) + CHOOSE(CONTROL!$C$29, 0.0274, 0)</f>
        <v>56.475200000000001</v>
      </c>
      <c r="D820" s="4">
        <f>72.4555 * CHOOSE(CONTROL!$C$10, $C$13, 100%, $E$13) + CHOOSE(CONTROL!$C$29, 0.0021, 0)</f>
        <v>72.457599999999999</v>
      </c>
      <c r="E820" s="4">
        <f>364.36192411867 * CHOOSE(CONTROL!$C$10, $C$13, 100%, $E$13) + CHOOSE(CONTROL!$C$29, 0.0021, 0)</f>
        <v>364.36402411866999</v>
      </c>
    </row>
    <row r="821" spans="1:5" ht="15">
      <c r="A821" s="13">
        <v>66142</v>
      </c>
      <c r="B821" s="4">
        <f>54.2694 * CHOOSE(CONTROL!$C$10, $C$13, 100%, $E$13) + CHOOSE(CONTROL!$C$29, 0.0274, 0)</f>
        <v>54.296799999999998</v>
      </c>
      <c r="C821" s="4">
        <f>54.1131 * CHOOSE(CONTROL!$C$10, $C$13, 100%, $E$13) + CHOOSE(CONTROL!$C$29, 0.0274, 0)</f>
        <v>54.140500000000003</v>
      </c>
      <c r="D821" s="4">
        <f>69.4668 * CHOOSE(CONTROL!$C$10, $C$13, 100%, $E$13) + CHOOSE(CONTROL!$C$29, 0.0021, 0)</f>
        <v>69.468900000000005</v>
      </c>
      <c r="E821" s="4">
        <f>349.184769427198 * CHOOSE(CONTROL!$C$10, $C$13, 100%, $E$13) + CHOOSE(CONTROL!$C$29, 0.0021, 0)</f>
        <v>349.18686942719796</v>
      </c>
    </row>
    <row r="822" spans="1:5" ht="15">
      <c r="A822" s="13">
        <v>66170</v>
      </c>
      <c r="B822" s="4">
        <f>55.5433 * CHOOSE(CONTROL!$C$10, $C$13, 100%, $E$13) + CHOOSE(CONTROL!$C$29, 0.0274, 0)</f>
        <v>55.570700000000002</v>
      </c>
      <c r="C822" s="4">
        <f>55.3871 * CHOOSE(CONTROL!$C$10, $C$13, 100%, $E$13) + CHOOSE(CONTROL!$C$29, 0.0274, 0)</f>
        <v>55.414499999999997</v>
      </c>
      <c r="D822" s="4">
        <f>71.8481 * CHOOSE(CONTROL!$C$10, $C$13, 100%, $E$13) + CHOOSE(CONTROL!$C$29, 0.0021, 0)</f>
        <v>71.850200000000001</v>
      </c>
      <c r="E822" s="4">
        <f>357.475791958954 * CHOOSE(CONTROL!$C$10, $C$13, 100%, $E$13) + CHOOSE(CONTROL!$C$29, 0.0021, 0)</f>
        <v>357.47789195895399</v>
      </c>
    </row>
    <row r="823" spans="1:5" ht="15">
      <c r="A823" s="13">
        <v>66201</v>
      </c>
      <c r="B823" s="4">
        <f>58.8887 * CHOOSE(CONTROL!$C$10, $C$13, 100%, $E$13) + CHOOSE(CONTROL!$C$29, 0.0274, 0)</f>
        <v>58.9161</v>
      </c>
      <c r="C823" s="4">
        <f>58.7324 * CHOOSE(CONTROL!$C$10, $C$13, 100%, $E$13) + CHOOSE(CONTROL!$C$29, 0.0274, 0)</f>
        <v>58.759799999999998</v>
      </c>
      <c r="D823" s="4">
        <f>75.576 * CHOOSE(CONTROL!$C$10, $C$13, 100%, $E$13) + CHOOSE(CONTROL!$C$29, 0.0021, 0)</f>
        <v>75.578099999999992</v>
      </c>
      <c r="E823" s="4">
        <f>379.248457739042 * CHOOSE(CONTROL!$C$10, $C$13, 100%, $E$13) + CHOOSE(CONTROL!$C$29, 0.0021, 0)</f>
        <v>379.25055773904199</v>
      </c>
    </row>
    <row r="824" spans="1:5" ht="15">
      <c r="A824" s="13">
        <v>66231</v>
      </c>
      <c r="B824" s="4">
        <f>61.2656 * CHOOSE(CONTROL!$C$10, $C$13, 100%, $E$13) + CHOOSE(CONTROL!$C$29, 0.0274, 0)</f>
        <v>61.292999999999999</v>
      </c>
      <c r="C824" s="4">
        <f>61.1093 * CHOOSE(CONTROL!$C$10, $C$13, 100%, $E$13) + CHOOSE(CONTROL!$C$29, 0.0274, 0)</f>
        <v>61.136699999999998</v>
      </c>
      <c r="D824" s="4">
        <f>77.7233 * CHOOSE(CONTROL!$C$10, $C$13, 100%, $E$13) + CHOOSE(CONTROL!$C$29, 0.0021, 0)</f>
        <v>77.725399999999993</v>
      </c>
      <c r="E824" s="4">
        <f>394.718226934716 * CHOOSE(CONTROL!$C$10, $C$13, 100%, $E$13) + CHOOSE(CONTROL!$C$29, 0.0021, 0)</f>
        <v>394.72032693471596</v>
      </c>
    </row>
    <row r="825" spans="1:5" ht="15">
      <c r="A825" s="13">
        <v>66262</v>
      </c>
      <c r="B825" s="4">
        <f>62.7178 * CHOOSE(CONTROL!$C$10, $C$13, 100%, $E$13) + CHOOSE(CONTROL!$C$29, 0.0274, 0)</f>
        <v>62.745199999999997</v>
      </c>
      <c r="C825" s="4">
        <f>62.5616 * CHOOSE(CONTROL!$C$10, $C$13, 100%, $E$13) + CHOOSE(CONTROL!$C$29, 0.0274, 0)</f>
        <v>62.588999999999999</v>
      </c>
      <c r="D825" s="4">
        <f>76.8748 * CHOOSE(CONTROL!$C$10, $C$13, 100%, $E$13) + CHOOSE(CONTROL!$C$29, 0.0021, 0)</f>
        <v>76.876899999999992</v>
      </c>
      <c r="E825" s="4">
        <f>404.16988515465 * CHOOSE(CONTROL!$C$10, $C$13, 100%, $E$13) + CHOOSE(CONTROL!$C$29, 0.0021, 0)</f>
        <v>404.17198515464997</v>
      </c>
    </row>
    <row r="826" spans="1:5" ht="15">
      <c r="A826" s="13">
        <v>66292</v>
      </c>
      <c r="B826" s="4">
        <f>62.9143 * CHOOSE(CONTROL!$C$10, $C$13, 100%, $E$13) + CHOOSE(CONTROL!$C$29, 0.0274, 0)</f>
        <v>62.941699999999997</v>
      </c>
      <c r="C826" s="4">
        <f>62.7581 * CHOOSE(CONTROL!$C$10, $C$13, 100%, $E$13) + CHOOSE(CONTROL!$C$29, 0.0274, 0)</f>
        <v>62.785499999999999</v>
      </c>
      <c r="D826" s="4">
        <f>77.5658 * CHOOSE(CONTROL!$C$10, $C$13, 100%, $E$13) + CHOOSE(CONTROL!$C$29, 0.0021, 0)</f>
        <v>77.567899999999995</v>
      </c>
      <c r="E826" s="4">
        <f>405.448733736995 * CHOOSE(CONTROL!$C$10, $C$13, 100%, $E$13) + CHOOSE(CONTROL!$C$29, 0.0021, 0)</f>
        <v>405.45083373699498</v>
      </c>
    </row>
    <row r="827" spans="1:5" ht="15">
      <c r="A827" s="13">
        <v>66323</v>
      </c>
      <c r="B827" s="4">
        <f>62.8945 * CHOOSE(CONTROL!$C$10, $C$13, 100%, $E$13) + CHOOSE(CONTROL!$C$29, 0.0274, 0)</f>
        <v>62.921900000000001</v>
      </c>
      <c r="C827" s="4">
        <f>62.7383 * CHOOSE(CONTROL!$C$10, $C$13, 100%, $E$13) + CHOOSE(CONTROL!$C$29, 0.0274, 0)</f>
        <v>62.765700000000002</v>
      </c>
      <c r="D827" s="4">
        <f>78.8128 * CHOOSE(CONTROL!$C$10, $C$13, 100%, $E$13) + CHOOSE(CONTROL!$C$29, 0.0021, 0)</f>
        <v>78.814899999999994</v>
      </c>
      <c r="E827" s="4">
        <f>405.319774216086 * CHOOSE(CONTROL!$C$10, $C$13, 100%, $E$13) + CHOOSE(CONTROL!$C$29, 0.0021, 0)</f>
        <v>405.32187421608597</v>
      </c>
    </row>
    <row r="828" spans="1:5" ht="15">
      <c r="A828" s="13">
        <v>66354</v>
      </c>
      <c r="B828" s="4">
        <f>64.3856 * CHOOSE(CONTROL!$C$10, $C$13, 100%, $E$13) + CHOOSE(CONTROL!$C$29, 0.0274, 0)</f>
        <v>64.412999999999997</v>
      </c>
      <c r="C828" s="4">
        <f>64.2293 * CHOOSE(CONTROL!$C$10, $C$13, 100%, $E$13) + CHOOSE(CONTROL!$C$29, 0.0274, 0)</f>
        <v>64.256699999999995</v>
      </c>
      <c r="D828" s="4">
        <f>77.9893 * CHOOSE(CONTROL!$C$10, $C$13, 100%, $E$13) + CHOOSE(CONTROL!$C$29, 0.0021, 0)</f>
        <v>77.991399999999999</v>
      </c>
      <c r="E828" s="4">
        <f>415.023978164467 * CHOOSE(CONTROL!$C$10, $C$13, 100%, $E$13) + CHOOSE(CONTROL!$C$29, 0.0021, 0)</f>
        <v>415.02607816446698</v>
      </c>
    </row>
    <row r="829" spans="1:5" ht="15">
      <c r="A829" s="13">
        <v>66384</v>
      </c>
      <c r="B829" s="4">
        <f>61.8443 * CHOOSE(CONTROL!$C$10, $C$13, 100%, $E$13) + CHOOSE(CONTROL!$C$29, 0.0274, 0)</f>
        <v>61.871699999999997</v>
      </c>
      <c r="C829" s="4">
        <f>61.6881 * CHOOSE(CONTROL!$C$10, $C$13, 100%, $E$13) + CHOOSE(CONTROL!$C$29, 0.0274, 0)</f>
        <v>61.715499999999999</v>
      </c>
      <c r="D829" s="4">
        <f>77.6002 * CHOOSE(CONTROL!$C$10, $C$13, 100%, $E$13) + CHOOSE(CONTROL!$C$29, 0.0021, 0)</f>
        <v>77.6023</v>
      </c>
      <c r="E829" s="4">
        <f>398.484919607925 * CHOOSE(CONTROL!$C$10, $C$13, 100%, $E$13) + CHOOSE(CONTROL!$C$29, 0.0021, 0)</f>
        <v>398.48701960792499</v>
      </c>
    </row>
    <row r="830" spans="1:5" ht="15">
      <c r="A830" s="13">
        <v>66415</v>
      </c>
      <c r="B830" s="4">
        <f>59.81 * CHOOSE(CONTROL!$C$10, $C$13, 100%, $E$13) + CHOOSE(CONTROL!$C$29, 0.0274, 0)</f>
        <v>59.837400000000002</v>
      </c>
      <c r="C830" s="4">
        <f>59.6538 * CHOOSE(CONTROL!$C$10, $C$13, 100%, $E$13) + CHOOSE(CONTROL!$C$29, 0.0274, 0)</f>
        <v>59.681199999999997</v>
      </c>
      <c r="D830" s="4">
        <f>76.5585 * CHOOSE(CONTROL!$C$10, $C$13, 100%, $E$13) + CHOOSE(CONTROL!$C$29, 0.0021, 0)</f>
        <v>76.560599999999994</v>
      </c>
      <c r="E830" s="4">
        <f>385.245075461297 * CHOOSE(CONTROL!$C$10, $C$13, 100%, $E$13) + CHOOSE(CONTROL!$C$29, 0.0021, 0)</f>
        <v>385.24717546129699</v>
      </c>
    </row>
    <row r="831" spans="1:5" ht="15">
      <c r="A831" s="13">
        <v>66445</v>
      </c>
      <c r="B831" s="4">
        <f>58.4998 * CHOOSE(CONTROL!$C$10, $C$13, 100%, $E$13) + CHOOSE(CONTROL!$C$29, 0.0274, 0)</f>
        <v>58.527200000000001</v>
      </c>
      <c r="C831" s="4">
        <f>58.3436 * CHOOSE(CONTROL!$C$10, $C$13, 100%, $E$13) + CHOOSE(CONTROL!$C$29, 0.0274, 0)</f>
        <v>58.371000000000002</v>
      </c>
      <c r="D831" s="4">
        <f>76.2003 * CHOOSE(CONTROL!$C$10, $C$13, 100%, $E$13) + CHOOSE(CONTROL!$C$29, 0.0021, 0)</f>
        <v>76.202399999999997</v>
      </c>
      <c r="E831" s="4">
        <f>376.717627141208 * CHOOSE(CONTROL!$C$10, $C$13, 100%, $E$13) + CHOOSE(CONTROL!$C$29, 0.0021, 0)</f>
        <v>376.71972714120801</v>
      </c>
    </row>
    <row r="832" spans="1:5" ht="15">
      <c r="A832" s="13">
        <v>66476</v>
      </c>
      <c r="B832" s="4">
        <f>57.5933 * CHOOSE(CONTROL!$C$10, $C$13, 100%, $E$13) + CHOOSE(CONTROL!$C$29, 0.0274, 0)</f>
        <v>57.620699999999999</v>
      </c>
      <c r="C832" s="4">
        <f>57.437 * CHOOSE(CONTROL!$C$10, $C$13, 100%, $E$13) + CHOOSE(CONTROL!$C$29, 0.0274, 0)</f>
        <v>57.464399999999998</v>
      </c>
      <c r="D832" s="4">
        <f>73.5635 * CHOOSE(CONTROL!$C$10, $C$13, 100%, $E$13) + CHOOSE(CONTROL!$C$29, 0.0021, 0)</f>
        <v>73.565600000000003</v>
      </c>
      <c r="E832" s="4">
        <f>370.817729059634 * CHOOSE(CONTROL!$C$10, $C$13, 100%, $E$13) + CHOOSE(CONTROL!$C$29, 0.0021, 0)</f>
        <v>370.819829059634</v>
      </c>
    </row>
    <row r="833" spans="1:5" ht="15">
      <c r="A833" s="13">
        <v>66507</v>
      </c>
      <c r="B833" s="4">
        <f>55.2173 * CHOOSE(CONTROL!$C$10, $C$13, 100%, $E$13) + CHOOSE(CONTROL!$C$29, 0.0274, 0)</f>
        <v>55.244700000000002</v>
      </c>
      <c r="C833" s="4">
        <f>55.0611 * CHOOSE(CONTROL!$C$10, $C$13, 100%, $E$13) + CHOOSE(CONTROL!$C$29, 0.0274, 0)</f>
        <v>55.088500000000003</v>
      </c>
      <c r="D833" s="4">
        <f>70.5278 * CHOOSE(CONTROL!$C$10, $C$13, 100%, $E$13) + CHOOSE(CONTROL!$C$29, 0.0021, 0)</f>
        <v>70.529899999999998</v>
      </c>
      <c r="E833" s="4">
        <f>355.371663859787 * CHOOSE(CONTROL!$C$10, $C$13, 100%, $E$13) + CHOOSE(CONTROL!$C$29, 0.0021, 0)</f>
        <v>355.373763859787</v>
      </c>
    </row>
    <row r="834" spans="1:5" ht="15">
      <c r="A834" s="13">
        <v>66535</v>
      </c>
      <c r="B834" s="4">
        <f>56.5138 * CHOOSE(CONTROL!$C$10, $C$13, 100%, $E$13) + CHOOSE(CONTROL!$C$29, 0.0274, 0)</f>
        <v>56.541200000000003</v>
      </c>
      <c r="C834" s="4">
        <f>56.3575 * CHOOSE(CONTROL!$C$10, $C$13, 100%, $E$13) + CHOOSE(CONTROL!$C$29, 0.0274, 0)</f>
        <v>56.384900000000002</v>
      </c>
      <c r="D834" s="4">
        <f>72.9466 * CHOOSE(CONTROL!$C$10, $C$13, 100%, $E$13) + CHOOSE(CONTROL!$C$29, 0.0021, 0)</f>
        <v>72.948700000000002</v>
      </c>
      <c r="E834" s="4">
        <f>363.809587647364 * CHOOSE(CONTROL!$C$10, $C$13, 100%, $E$13) + CHOOSE(CONTROL!$C$29, 0.0021, 0)</f>
        <v>363.81168764736401</v>
      </c>
    </row>
    <row r="835" spans="1:5" ht="15">
      <c r="A835" s="13">
        <v>66566</v>
      </c>
      <c r="B835" s="4">
        <f>59.9182 * CHOOSE(CONTROL!$C$10, $C$13, 100%, $E$13) + CHOOSE(CONTROL!$C$29, 0.0274, 0)</f>
        <v>59.945599999999999</v>
      </c>
      <c r="C835" s="4">
        <f>59.762 * CHOOSE(CONTROL!$C$10, $C$13, 100%, $E$13) + CHOOSE(CONTROL!$C$29, 0.0274, 0)</f>
        <v>59.789400000000001</v>
      </c>
      <c r="D835" s="4">
        <f>76.733 * CHOOSE(CONTROL!$C$10, $C$13, 100%, $E$13) + CHOOSE(CONTROL!$C$29, 0.0021, 0)</f>
        <v>76.735100000000003</v>
      </c>
      <c r="E835" s="4">
        <f>385.968023932043 * CHOOSE(CONTROL!$C$10, $C$13, 100%, $E$13) + CHOOSE(CONTROL!$C$29, 0.0021, 0)</f>
        <v>385.97012393204301</v>
      </c>
    </row>
    <row r="836" spans="1:5" ht="15">
      <c r="A836" s="13">
        <v>66596</v>
      </c>
      <c r="B836" s="4">
        <f>62.3371 * CHOOSE(CONTROL!$C$10, $C$13, 100%, $E$13) + CHOOSE(CONTROL!$C$29, 0.0274, 0)</f>
        <v>62.3645</v>
      </c>
      <c r="C836" s="4">
        <f>62.1809 * CHOOSE(CONTROL!$C$10, $C$13, 100%, $E$13) + CHOOSE(CONTROL!$C$29, 0.0274, 0)</f>
        <v>62.208300000000001</v>
      </c>
      <c r="D836" s="4">
        <f>78.9141 * CHOOSE(CONTROL!$C$10, $C$13, 100%, $E$13) + CHOOSE(CONTROL!$C$29, 0.0021, 0)</f>
        <v>78.916200000000003</v>
      </c>
      <c r="E836" s="4">
        <f>401.711888212297 * CHOOSE(CONTROL!$C$10, $C$13, 100%, $E$13) + CHOOSE(CONTROL!$C$29, 0.0021, 0)</f>
        <v>401.71398821229701</v>
      </c>
    </row>
    <row r="837" spans="1:5" ht="15">
      <c r="A837" s="13">
        <v>66627</v>
      </c>
      <c r="B837" s="4">
        <f>63.8151 * CHOOSE(CONTROL!$C$10, $C$13, 100%, $E$13) + CHOOSE(CONTROL!$C$29, 0.0274, 0)</f>
        <v>63.842500000000001</v>
      </c>
      <c r="C837" s="4">
        <f>63.6588 * CHOOSE(CONTROL!$C$10, $C$13, 100%, $E$13) + CHOOSE(CONTROL!$C$29, 0.0274, 0)</f>
        <v>63.686199999999999</v>
      </c>
      <c r="D837" s="4">
        <f>78.0523 * CHOOSE(CONTROL!$C$10, $C$13, 100%, $E$13) + CHOOSE(CONTROL!$C$29, 0.0021, 0)</f>
        <v>78.054400000000001</v>
      </c>
      <c r="E837" s="4">
        <f>411.331011959768 * CHOOSE(CONTROL!$C$10, $C$13, 100%, $E$13) + CHOOSE(CONTROL!$C$29, 0.0021, 0)</f>
        <v>411.33311195976796</v>
      </c>
    </row>
    <row r="838" spans="1:5" ht="15">
      <c r="A838" s="13">
        <v>66657</v>
      </c>
      <c r="B838" s="4">
        <f>64.015 * CHOOSE(CONTROL!$C$10, $C$13, 100%, $E$13) + CHOOSE(CONTROL!$C$29, 0.0274, 0)</f>
        <v>64.042400000000001</v>
      </c>
      <c r="C838" s="4">
        <f>63.8588 * CHOOSE(CONTROL!$C$10, $C$13, 100%, $E$13) + CHOOSE(CONTROL!$C$29, 0.0274, 0)</f>
        <v>63.886200000000002</v>
      </c>
      <c r="D838" s="4">
        <f>78.7542 * CHOOSE(CONTROL!$C$10, $C$13, 100%, $E$13) + CHOOSE(CONTROL!$C$29, 0.0021, 0)</f>
        <v>78.756299999999996</v>
      </c>
      <c r="E838" s="4">
        <f>412.632519322984 * CHOOSE(CONTROL!$C$10, $C$13, 100%, $E$13) + CHOOSE(CONTROL!$C$29, 0.0021, 0)</f>
        <v>412.63461932298401</v>
      </c>
    </row>
    <row r="839" spans="1:5" ht="15">
      <c r="A839" s="13">
        <v>66688</v>
      </c>
      <c r="B839" s="4">
        <f>63.9949 * CHOOSE(CONTROL!$C$10, $C$13, 100%, $E$13) + CHOOSE(CONTROL!$C$29, 0.0274, 0)</f>
        <v>64.022300000000001</v>
      </c>
      <c r="C839" s="4">
        <f>63.8386 * CHOOSE(CONTROL!$C$10, $C$13, 100%, $E$13) + CHOOSE(CONTROL!$C$29, 0.0274, 0)</f>
        <v>63.866</v>
      </c>
      <c r="D839" s="4">
        <f>80.0207 * CHOOSE(CONTROL!$C$10, $C$13, 100%, $E$13) + CHOOSE(CONTROL!$C$29, 0.0021, 0)</f>
        <v>80.022800000000004</v>
      </c>
      <c r="E839" s="4">
        <f>412.501274882996 * CHOOSE(CONTROL!$C$10, $C$13, 100%, $E$13) + CHOOSE(CONTROL!$C$29, 0.0021, 0)</f>
        <v>412.50337488299596</v>
      </c>
    </row>
    <row r="840" spans="1:5" ht="15">
      <c r="A840" s="13">
        <v>66719</v>
      </c>
      <c r="B840" s="4">
        <f>65.5123 * CHOOSE(CONTROL!$C$10, $C$13, 100%, $E$13) + CHOOSE(CONTROL!$C$29, 0.0274, 0)</f>
        <v>65.539699999999996</v>
      </c>
      <c r="C840" s="4">
        <f>65.356 * CHOOSE(CONTROL!$C$10, $C$13, 100%, $E$13) + CHOOSE(CONTROL!$C$29, 0.0274, 0)</f>
        <v>65.383399999999995</v>
      </c>
      <c r="D840" s="4">
        <f>79.1843 * CHOOSE(CONTROL!$C$10, $C$13, 100%, $E$13) + CHOOSE(CONTROL!$C$29, 0.0021, 0)</f>
        <v>79.186399999999992</v>
      </c>
      <c r="E840" s="4">
        <f>422.37741899211 * CHOOSE(CONTROL!$C$10, $C$13, 100%, $E$13) + CHOOSE(CONTROL!$C$29, 0.0021, 0)</f>
        <v>422.37951899210998</v>
      </c>
    </row>
    <row r="841" spans="1:5" ht="15">
      <c r="A841" s="13">
        <v>66749</v>
      </c>
      <c r="B841" s="4">
        <f>62.9261 * CHOOSE(CONTROL!$C$10, $C$13, 100%, $E$13) + CHOOSE(CONTROL!$C$29, 0.0274, 0)</f>
        <v>62.953499999999998</v>
      </c>
      <c r="C841" s="4">
        <f>62.7699 * CHOOSE(CONTROL!$C$10, $C$13, 100%, $E$13) + CHOOSE(CONTROL!$C$29, 0.0274, 0)</f>
        <v>62.7973</v>
      </c>
      <c r="D841" s="4">
        <f>78.7891 * CHOOSE(CONTROL!$C$10, $C$13, 100%, $E$13) + CHOOSE(CONTROL!$C$29, 0.0021, 0)</f>
        <v>78.791200000000003</v>
      </c>
      <c r="E841" s="4">
        <f>405.54531956362 * CHOOSE(CONTROL!$C$10, $C$13, 100%, $E$13) + CHOOSE(CONTROL!$C$29, 0.0021, 0)</f>
        <v>405.54741956362</v>
      </c>
    </row>
    <row r="842" spans="1:5" ht="15">
      <c r="A842" s="13">
        <v>66780</v>
      </c>
      <c r="B842" s="4">
        <f>60.8559 * CHOOSE(CONTROL!$C$10, $C$13, 100%, $E$13) + CHOOSE(CONTROL!$C$29, 0.0274, 0)</f>
        <v>60.883299999999998</v>
      </c>
      <c r="C842" s="4">
        <f>60.6996 * CHOOSE(CONTROL!$C$10, $C$13, 100%, $E$13) + CHOOSE(CONTROL!$C$29, 0.0274, 0)</f>
        <v>60.726999999999997</v>
      </c>
      <c r="D842" s="4">
        <f>77.731 * CHOOSE(CONTROL!$C$10, $C$13, 100%, $E$13) + CHOOSE(CONTROL!$C$29, 0.0021, 0)</f>
        <v>77.733099999999993</v>
      </c>
      <c r="E842" s="4">
        <f>392.070890391495 * CHOOSE(CONTROL!$C$10, $C$13, 100%, $E$13) + CHOOSE(CONTROL!$C$29, 0.0021, 0)</f>
        <v>392.07299039149501</v>
      </c>
    </row>
    <row r="843" spans="1:5" ht="15">
      <c r="A843" s="13">
        <v>66810</v>
      </c>
      <c r="B843" s="4">
        <f>59.5225 * CHOOSE(CONTROL!$C$10, $C$13, 100%, $E$13) + CHOOSE(CONTROL!$C$29, 0.0274, 0)</f>
        <v>59.549900000000001</v>
      </c>
      <c r="C843" s="4">
        <f>59.3662 * CHOOSE(CONTROL!$C$10, $C$13, 100%, $E$13) + CHOOSE(CONTROL!$C$29, 0.0274, 0)</f>
        <v>59.393599999999999</v>
      </c>
      <c r="D843" s="4">
        <f>77.3672 * CHOOSE(CONTROL!$C$10, $C$13, 100%, $E$13) + CHOOSE(CONTROL!$C$29, 0.0021, 0)</f>
        <v>77.369299999999996</v>
      </c>
      <c r="E843" s="4">
        <f>383.392351797274 * CHOOSE(CONTROL!$C$10, $C$13, 100%, $E$13) + CHOOSE(CONTROL!$C$29, 0.0021, 0)</f>
        <v>383.39445179727397</v>
      </c>
    </row>
    <row r="844" spans="1:5" ht="15">
      <c r="A844" s="13">
        <v>66841</v>
      </c>
      <c r="B844" s="4">
        <f>58.6 * CHOOSE(CONTROL!$C$10, $C$13, 100%, $E$13) + CHOOSE(CONTROL!$C$29, 0.0274, 0)</f>
        <v>58.627400000000002</v>
      </c>
      <c r="C844" s="4">
        <f>58.4437 * CHOOSE(CONTROL!$C$10, $C$13, 100%, $E$13) + CHOOSE(CONTROL!$C$29, 0.0274, 0)</f>
        <v>58.4711</v>
      </c>
      <c r="D844" s="4">
        <f>74.6889 * CHOOSE(CONTROL!$C$10, $C$13, 100%, $E$13) + CHOOSE(CONTROL!$C$29, 0.0021, 0)</f>
        <v>74.691000000000003</v>
      </c>
      <c r="E844" s="4">
        <f>377.387918667812 * CHOOSE(CONTROL!$C$10, $C$13, 100%, $E$13) + CHOOSE(CONTROL!$C$29, 0.0021, 0)</f>
        <v>377.390018667812</v>
      </c>
    </row>
    <row r="845" spans="1:5" ht="15">
      <c r="A845" s="13">
        <v>66872</v>
      </c>
      <c r="B845" s="4">
        <f>56.182 * CHOOSE(CONTROL!$C$10, $C$13, 100%, $E$13) + CHOOSE(CONTROL!$C$29, 0.0274, 0)</f>
        <v>56.209400000000002</v>
      </c>
      <c r="C845" s="4">
        <f>56.0258 * CHOOSE(CONTROL!$C$10, $C$13, 100%, $E$13) + CHOOSE(CONTROL!$C$29, 0.0274, 0)</f>
        <v>56.053199999999997</v>
      </c>
      <c r="D845" s="4">
        <f>71.6055 * CHOOSE(CONTROL!$C$10, $C$13, 100%, $E$13) + CHOOSE(CONTROL!$C$29, 0.0021, 0)</f>
        <v>71.607600000000005</v>
      </c>
      <c r="E845" s="4">
        <f>361.66817837341 * CHOOSE(CONTROL!$C$10, $C$13, 100%, $E$13) + CHOOSE(CONTROL!$C$29, 0.0021, 0)</f>
        <v>361.67027837340999</v>
      </c>
    </row>
    <row r="846" spans="1:5" ht="15">
      <c r="A846" s="13">
        <v>66900</v>
      </c>
      <c r="B846" s="4">
        <f>57.5013 * CHOOSE(CONTROL!$C$10, $C$13, 100%, $E$13) + CHOOSE(CONTROL!$C$29, 0.0274, 0)</f>
        <v>57.528700000000001</v>
      </c>
      <c r="C846" s="4">
        <f>57.3451 * CHOOSE(CONTROL!$C$10, $C$13, 100%, $E$13) + CHOOSE(CONTROL!$C$29, 0.0274, 0)</f>
        <v>57.372500000000002</v>
      </c>
      <c r="D846" s="4">
        <f>74.0623 * CHOOSE(CONTROL!$C$10, $C$13, 100%, $E$13) + CHOOSE(CONTROL!$C$29, 0.0021, 0)</f>
        <v>74.064399999999992</v>
      </c>
      <c r="E846" s="4">
        <f>370.255606229533 * CHOOSE(CONTROL!$C$10, $C$13, 100%, $E$13) + CHOOSE(CONTROL!$C$29, 0.0021, 0)</f>
        <v>370.25770622953297</v>
      </c>
    </row>
    <row r="847" spans="1:5" ht="15">
      <c r="A847" s="13">
        <v>66931</v>
      </c>
      <c r="B847" s="4">
        <f>60.966 * CHOOSE(CONTROL!$C$10, $C$13, 100%, $E$13) + CHOOSE(CONTROL!$C$29, 0.0274, 0)</f>
        <v>60.993400000000001</v>
      </c>
      <c r="C847" s="4">
        <f>60.8097 * CHOOSE(CONTROL!$C$10, $C$13, 100%, $E$13) + CHOOSE(CONTROL!$C$29, 0.0274, 0)</f>
        <v>60.8371</v>
      </c>
      <c r="D847" s="4">
        <f>77.9083 * CHOOSE(CONTROL!$C$10, $C$13, 100%, $E$13) + CHOOSE(CONTROL!$C$29, 0.0021, 0)</f>
        <v>77.910399999999996</v>
      </c>
      <c r="E847" s="4">
        <f>392.806648143345 * CHOOSE(CONTROL!$C$10, $C$13, 100%, $E$13) + CHOOSE(CONTROL!$C$29, 0.0021, 0)</f>
        <v>392.80874814334499</v>
      </c>
    </row>
    <row r="848" spans="1:5" ht="15">
      <c r="A848" s="13">
        <v>66961</v>
      </c>
      <c r="B848" s="4">
        <f>63.4276 * CHOOSE(CONTROL!$C$10, $C$13, 100%, $E$13) + CHOOSE(CONTROL!$C$29, 0.0274, 0)</f>
        <v>63.454999999999998</v>
      </c>
      <c r="C848" s="4">
        <f>63.2714 * CHOOSE(CONTROL!$C$10, $C$13, 100%, $E$13) + CHOOSE(CONTROL!$C$29, 0.0274, 0)</f>
        <v>63.2988</v>
      </c>
      <c r="D848" s="4">
        <f>80.1237 * CHOOSE(CONTROL!$C$10, $C$13, 100%, $E$13) + CHOOSE(CONTROL!$C$29, 0.0021, 0)</f>
        <v>80.125799999999998</v>
      </c>
      <c r="E848" s="4">
        <f>408.829463955256 * CHOOSE(CONTROL!$C$10, $C$13, 100%, $E$13) + CHOOSE(CONTROL!$C$29, 0.0021, 0)</f>
        <v>408.831563955256</v>
      </c>
    </row>
    <row r="849" spans="1:5" ht="15">
      <c r="A849" s="13">
        <v>66992</v>
      </c>
      <c r="B849" s="4">
        <f>64.9317 * CHOOSE(CONTROL!$C$10, $C$13, 100%, $E$13) + CHOOSE(CONTROL!$C$29, 0.0274, 0)</f>
        <v>64.959100000000007</v>
      </c>
      <c r="C849" s="4">
        <f>64.7754 * CHOOSE(CONTROL!$C$10, $C$13, 100%, $E$13) + CHOOSE(CONTROL!$C$29, 0.0274, 0)</f>
        <v>64.802800000000005</v>
      </c>
      <c r="D849" s="4">
        <f>79.2483 * CHOOSE(CONTROL!$C$10, $C$13, 100%, $E$13) + CHOOSE(CONTROL!$C$29, 0.0021, 0)</f>
        <v>79.250399999999999</v>
      </c>
      <c r="E849" s="4">
        <f>418.619020403034 * CHOOSE(CONTROL!$C$10, $C$13, 100%, $E$13) + CHOOSE(CONTROL!$C$29, 0.0021, 0)</f>
        <v>418.62112040303401</v>
      </c>
    </row>
    <row r="850" spans="1:5" ht="15">
      <c r="A850" s="13">
        <v>67022</v>
      </c>
      <c r="B850" s="4">
        <f>65.1352 * CHOOSE(CONTROL!$C$10, $C$13, 100%, $E$13) + CHOOSE(CONTROL!$C$29, 0.0274, 0)</f>
        <v>65.162599999999998</v>
      </c>
      <c r="C850" s="4">
        <f>64.9789 * CHOOSE(CONTROL!$C$10, $C$13, 100%, $E$13) + CHOOSE(CONTROL!$C$29, 0.0274, 0)</f>
        <v>65.006299999999996</v>
      </c>
      <c r="D850" s="4">
        <f>79.9612 * CHOOSE(CONTROL!$C$10, $C$13, 100%, $E$13) + CHOOSE(CONTROL!$C$29, 0.0021, 0)</f>
        <v>79.963300000000004</v>
      </c>
      <c r="E850" s="4">
        <f>419.943588017912 * CHOOSE(CONTROL!$C$10, $C$13, 100%, $E$13) + CHOOSE(CONTROL!$C$29, 0.0021, 0)</f>
        <v>419.945688017912</v>
      </c>
    </row>
    <row r="851" spans="1:5" ht="15">
      <c r="A851" s="13">
        <v>67053</v>
      </c>
      <c r="B851" s="4">
        <f>65.1146 * CHOOSE(CONTROL!$C$10, $C$13, 100%, $E$13) + CHOOSE(CONTROL!$C$29, 0.0274, 0)</f>
        <v>65.141999999999996</v>
      </c>
      <c r="C851" s="4">
        <f>64.9584 * CHOOSE(CONTROL!$C$10, $C$13, 100%, $E$13) + CHOOSE(CONTROL!$C$29, 0.0274, 0)</f>
        <v>64.985799999999998</v>
      </c>
      <c r="D851" s="4">
        <f>81.2477 * CHOOSE(CONTROL!$C$10, $C$13, 100%, $E$13) + CHOOSE(CONTROL!$C$29, 0.0021, 0)</f>
        <v>81.249799999999993</v>
      </c>
      <c r="E851" s="4">
        <f>419.810018174395 * CHOOSE(CONTROL!$C$10, $C$13, 100%, $E$13) + CHOOSE(CONTROL!$C$29, 0.0021, 0)</f>
        <v>419.81211817439498</v>
      </c>
    </row>
    <row r="852" spans="1:5" ht="15">
      <c r="A852" s="13">
        <v>67084</v>
      </c>
      <c r="B852" s="4">
        <f>66.6588 * CHOOSE(CONTROL!$C$10, $C$13, 100%, $E$13) + CHOOSE(CONTROL!$C$29, 0.0274, 0)</f>
        <v>66.686199999999999</v>
      </c>
      <c r="C852" s="4">
        <f>66.5026 * CHOOSE(CONTROL!$C$10, $C$13, 100%, $E$13) + CHOOSE(CONTROL!$C$29, 0.0274, 0)</f>
        <v>66.53</v>
      </c>
      <c r="D852" s="4">
        <f>80.3981 * CHOOSE(CONTROL!$C$10, $C$13, 100%, $E$13) + CHOOSE(CONTROL!$C$29, 0.0021, 0)</f>
        <v>80.400199999999998</v>
      </c>
      <c r="E852" s="4">
        <f>429.86114889906 * CHOOSE(CONTROL!$C$10, $C$13, 100%, $E$13) + CHOOSE(CONTROL!$C$29, 0.0021, 0)</f>
        <v>429.86324889906001</v>
      </c>
    </row>
    <row r="853" spans="1:5" ht="15">
      <c r="A853" s="13">
        <v>67114</v>
      </c>
      <c r="B853" s="4">
        <f>64.027 * CHOOSE(CONTROL!$C$10, $C$13, 100%, $E$13) + CHOOSE(CONTROL!$C$29, 0.0274, 0)</f>
        <v>64.054400000000001</v>
      </c>
      <c r="C853" s="4">
        <f>63.8708 * CHOOSE(CONTROL!$C$10, $C$13, 100%, $E$13) + CHOOSE(CONTROL!$C$29, 0.0274, 0)</f>
        <v>63.898200000000003</v>
      </c>
      <c r="D853" s="4">
        <f>79.9967 * CHOOSE(CONTROL!$C$10, $C$13, 100%, $E$13) + CHOOSE(CONTROL!$C$29, 0.0021, 0)</f>
        <v>79.998800000000003</v>
      </c>
      <c r="E853" s="4">
        <f>412.730816467986 * CHOOSE(CONTROL!$C$10, $C$13, 100%, $E$13) + CHOOSE(CONTROL!$C$29, 0.0021, 0)</f>
        <v>412.732916467986</v>
      </c>
    </row>
    <row r="854" spans="1:5" ht="15">
      <c r="A854" s="13">
        <v>67145</v>
      </c>
      <c r="B854" s="4">
        <f>61.9202 * CHOOSE(CONTROL!$C$10, $C$13, 100%, $E$13) + CHOOSE(CONTROL!$C$29, 0.0274, 0)</f>
        <v>61.947600000000001</v>
      </c>
      <c r="C854" s="4">
        <f>61.7639 * CHOOSE(CONTROL!$C$10, $C$13, 100%, $E$13) + CHOOSE(CONTROL!$C$29, 0.0274, 0)</f>
        <v>61.7913</v>
      </c>
      <c r="D854" s="4">
        <f>78.9219 * CHOOSE(CONTROL!$C$10, $C$13, 100%, $E$13) + CHOOSE(CONTROL!$C$29, 0.0021, 0)</f>
        <v>78.923999999999992</v>
      </c>
      <c r="E854" s="4">
        <f>399.017645866892 * CHOOSE(CONTROL!$C$10, $C$13, 100%, $E$13) + CHOOSE(CONTROL!$C$29, 0.0021, 0)</f>
        <v>399.01974586689198</v>
      </c>
    </row>
    <row r="855" spans="1:5" ht="15">
      <c r="A855" s="13">
        <v>67175</v>
      </c>
      <c r="B855" s="4">
        <f>60.5632 * CHOOSE(CONTROL!$C$10, $C$13, 100%, $E$13) + CHOOSE(CONTROL!$C$29, 0.0274, 0)</f>
        <v>60.590600000000002</v>
      </c>
      <c r="C855" s="4">
        <f>60.407 * CHOOSE(CONTROL!$C$10, $C$13, 100%, $E$13) + CHOOSE(CONTROL!$C$29, 0.0274, 0)</f>
        <v>60.434399999999997</v>
      </c>
      <c r="D855" s="4">
        <f>78.5524 * CHOOSE(CONTROL!$C$10, $C$13, 100%, $E$13) + CHOOSE(CONTROL!$C$29, 0.0021, 0)</f>
        <v>78.554500000000004</v>
      </c>
      <c r="E855" s="4">
        <f>390.185339964321 * CHOOSE(CONTROL!$C$10, $C$13, 100%, $E$13) + CHOOSE(CONTROL!$C$29, 0.0021, 0)</f>
        <v>390.18743996432096</v>
      </c>
    </row>
    <row r="856" spans="1:5" ht="15">
      <c r="A856" s="13">
        <v>67206</v>
      </c>
      <c r="B856" s="4">
        <f>59.6244 * CHOOSE(CONTROL!$C$10, $C$13, 100%, $E$13) + CHOOSE(CONTROL!$C$29, 0.0274, 0)</f>
        <v>59.651800000000001</v>
      </c>
      <c r="C856" s="4">
        <f>59.4682 * CHOOSE(CONTROL!$C$10, $C$13, 100%, $E$13) + CHOOSE(CONTROL!$C$29, 0.0274, 0)</f>
        <v>59.495600000000003</v>
      </c>
      <c r="D856" s="4">
        <f>75.8321 * CHOOSE(CONTROL!$C$10, $C$13, 100%, $E$13) + CHOOSE(CONTROL!$C$29, 0.0021, 0)</f>
        <v>75.834199999999996</v>
      </c>
      <c r="E856" s="4">
        <f>384.074519623412 * CHOOSE(CONTROL!$C$10, $C$13, 100%, $E$13) + CHOOSE(CONTROL!$C$29, 0.0021, 0)</f>
        <v>384.076619623412</v>
      </c>
    </row>
    <row r="857" spans="1:5" ht="15">
      <c r="A857" s="13">
        <v>67237</v>
      </c>
      <c r="B857" s="4">
        <f>57.1638 * CHOOSE(CONTROL!$C$10, $C$13, 100%, $E$13) + CHOOSE(CONTROL!$C$29, 0.0274, 0)</f>
        <v>57.191200000000002</v>
      </c>
      <c r="C857" s="4">
        <f>57.0075 * CHOOSE(CONTROL!$C$10, $C$13, 100%, $E$13) + CHOOSE(CONTROL!$C$29, 0.0274, 0)</f>
        <v>57.0349</v>
      </c>
      <c r="D857" s="4">
        <f>72.7001 * CHOOSE(CONTROL!$C$10, $C$13, 100%, $E$13) + CHOOSE(CONTROL!$C$29, 0.0021, 0)</f>
        <v>72.702200000000005</v>
      </c>
      <c r="E857" s="4">
        <f>368.076255228806 * CHOOSE(CONTROL!$C$10, $C$13, 100%, $E$13) + CHOOSE(CONTROL!$C$29, 0.0021, 0)</f>
        <v>368.078355228806</v>
      </c>
    </row>
    <row r="858" spans="1:5" ht="15">
      <c r="A858" s="13">
        <v>67266</v>
      </c>
      <c r="B858" s="4">
        <f>58.5064 * CHOOSE(CONTROL!$C$10, $C$13, 100%, $E$13) + CHOOSE(CONTROL!$C$29, 0.0274, 0)</f>
        <v>58.533799999999999</v>
      </c>
      <c r="C858" s="4">
        <f>58.3501 * CHOOSE(CONTROL!$C$10, $C$13, 100%, $E$13) + CHOOSE(CONTROL!$C$29, 0.0274, 0)</f>
        <v>58.377499999999998</v>
      </c>
      <c r="D858" s="4">
        <f>75.1956 * CHOOSE(CONTROL!$C$10, $C$13, 100%, $E$13) + CHOOSE(CONTROL!$C$29, 0.0021, 0)</f>
        <v>75.197699999999998</v>
      </c>
      <c r="E858" s="4">
        <f>376.815836083127 * CHOOSE(CONTROL!$C$10, $C$13, 100%, $E$13) + CHOOSE(CONTROL!$C$29, 0.0021, 0)</f>
        <v>376.81793608312699</v>
      </c>
    </row>
    <row r="859" spans="1:5" ht="15">
      <c r="A859" s="13">
        <v>67297</v>
      </c>
      <c r="B859" s="4">
        <f>62.0322 * CHOOSE(CONTROL!$C$10, $C$13, 100%, $E$13) + CHOOSE(CONTROL!$C$29, 0.0274, 0)</f>
        <v>62.059600000000003</v>
      </c>
      <c r="C859" s="4">
        <f>61.876 * CHOOSE(CONTROL!$C$10, $C$13, 100%, $E$13) + CHOOSE(CONTROL!$C$29, 0.0274, 0)</f>
        <v>61.903399999999998</v>
      </c>
      <c r="D859" s="4">
        <f>79.102 * CHOOSE(CONTROL!$C$10, $C$13, 100%, $E$13) + CHOOSE(CONTROL!$C$29, 0.0021, 0)</f>
        <v>79.104100000000003</v>
      </c>
      <c r="E859" s="4">
        <f>399.766439856108 * CHOOSE(CONTROL!$C$10, $C$13, 100%, $E$13) + CHOOSE(CONTROL!$C$29, 0.0021, 0)</f>
        <v>399.76853985610796</v>
      </c>
    </row>
    <row r="860" spans="1:5" ht="15">
      <c r="A860" s="13">
        <v>67327</v>
      </c>
      <c r="B860" s="4">
        <f>64.5374 * CHOOSE(CONTROL!$C$10, $C$13, 100%, $E$13) + CHOOSE(CONTROL!$C$29, 0.0274, 0)</f>
        <v>64.564800000000005</v>
      </c>
      <c r="C860" s="4">
        <f>64.3811 * CHOOSE(CONTROL!$C$10, $C$13, 100%, $E$13) + CHOOSE(CONTROL!$C$29, 0.0274, 0)</f>
        <v>64.408500000000004</v>
      </c>
      <c r="D860" s="4">
        <f>81.3523 * CHOOSE(CONTROL!$C$10, $C$13, 100%, $E$13) + CHOOSE(CONTROL!$C$29, 0.0021, 0)</f>
        <v>81.354399999999998</v>
      </c>
      <c r="E860" s="4">
        <f>416.07314969382 * CHOOSE(CONTROL!$C$10, $C$13, 100%, $E$13) + CHOOSE(CONTROL!$C$29, 0.0021, 0)</f>
        <v>416.07524969382001</v>
      </c>
    </row>
    <row r="861" spans="1:5" ht="15">
      <c r="A861" s="13">
        <v>67358</v>
      </c>
      <c r="B861" s="4">
        <f>66.068 * CHOOSE(CONTROL!$C$10, $C$13, 100%, $E$13) + CHOOSE(CONTROL!$C$29, 0.0274, 0)</f>
        <v>66.095399999999998</v>
      </c>
      <c r="C861" s="4">
        <f>65.9117 * CHOOSE(CONTROL!$C$10, $C$13, 100%, $E$13) + CHOOSE(CONTROL!$C$29, 0.0274, 0)</f>
        <v>65.939099999999996</v>
      </c>
      <c r="D861" s="4">
        <f>80.4631 * CHOOSE(CONTROL!$C$10, $C$13, 100%, $E$13) + CHOOSE(CONTROL!$C$29, 0.0021, 0)</f>
        <v>80.465199999999996</v>
      </c>
      <c r="E861" s="4">
        <f>426.036158587372 * CHOOSE(CONTROL!$C$10, $C$13, 100%, $E$13) + CHOOSE(CONTROL!$C$29, 0.0021, 0)</f>
        <v>426.03825858737196</v>
      </c>
    </row>
    <row r="862" spans="1:5" ht="15">
      <c r="A862" s="13">
        <v>67388</v>
      </c>
      <c r="B862" s="4">
        <f>66.2751 * CHOOSE(CONTROL!$C$10, $C$13, 100%, $E$13) + CHOOSE(CONTROL!$C$29, 0.0274, 0)</f>
        <v>66.302499999999995</v>
      </c>
      <c r="C862" s="4">
        <f>66.1188 * CHOOSE(CONTROL!$C$10, $C$13, 100%, $E$13) + CHOOSE(CONTROL!$C$29, 0.0274, 0)</f>
        <v>66.146199999999993</v>
      </c>
      <c r="D862" s="4">
        <f>81.1872 * CHOOSE(CONTROL!$C$10, $C$13, 100%, $E$13) + CHOOSE(CONTROL!$C$29, 0.0021, 0)</f>
        <v>81.189300000000003</v>
      </c>
      <c r="E862" s="4">
        <f>427.384195038006 * CHOOSE(CONTROL!$C$10, $C$13, 100%, $E$13) + CHOOSE(CONTROL!$C$29, 0.0021, 0)</f>
        <v>427.38629503800598</v>
      </c>
    </row>
    <row r="863" spans="1:5" ht="15">
      <c r="A863" s="13">
        <v>67419</v>
      </c>
      <c r="B863" s="4">
        <f>66.2542 * CHOOSE(CONTROL!$C$10, $C$13, 100%, $E$13) + CHOOSE(CONTROL!$C$29, 0.0274, 0)</f>
        <v>66.281599999999997</v>
      </c>
      <c r="C863" s="4">
        <f>66.0979 * CHOOSE(CONTROL!$C$10, $C$13, 100%, $E$13) + CHOOSE(CONTROL!$C$29, 0.0274, 0)</f>
        <v>66.125299999999996</v>
      </c>
      <c r="D863" s="4">
        <f>82.4939 * CHOOSE(CONTROL!$C$10, $C$13, 100%, $E$13) + CHOOSE(CONTROL!$C$29, 0.0021, 0)</f>
        <v>82.495999999999995</v>
      </c>
      <c r="E863" s="4">
        <f>427.248258589202 * CHOOSE(CONTROL!$C$10, $C$13, 100%, $E$13) + CHOOSE(CONTROL!$C$29, 0.0021, 0)</f>
        <v>427.25035858920199</v>
      </c>
    </row>
    <row r="864" spans="1:5" ht="15">
      <c r="A864" s="13">
        <v>67450</v>
      </c>
      <c r="B864" s="4">
        <f>67.8257 * CHOOSE(CONTROL!$C$10, $C$13, 100%, $E$13) + CHOOSE(CONTROL!$C$29, 0.0274, 0)</f>
        <v>67.853099999999998</v>
      </c>
      <c r="C864" s="4">
        <f>67.6694 * CHOOSE(CONTROL!$C$10, $C$13, 100%, $E$13) + CHOOSE(CONTROL!$C$29, 0.0274, 0)</f>
        <v>67.696799999999996</v>
      </c>
      <c r="D864" s="4">
        <f>81.631 * CHOOSE(CONTROL!$C$10, $C$13, 100%, $E$13) + CHOOSE(CONTROL!$C$29, 0.0021, 0)</f>
        <v>81.633099999999999</v>
      </c>
      <c r="E864" s="4">
        <f>437.477476361661 * CHOOSE(CONTROL!$C$10, $C$13, 100%, $E$13) + CHOOSE(CONTROL!$C$29, 0.0021, 0)</f>
        <v>437.47957636166097</v>
      </c>
    </row>
    <row r="865" spans="1:5" ht="15">
      <c r="A865" s="13">
        <v>67480</v>
      </c>
      <c r="B865" s="4">
        <f>65.1474 * CHOOSE(CONTROL!$C$10, $C$13, 100%, $E$13) + CHOOSE(CONTROL!$C$29, 0.0274, 0)</f>
        <v>65.174800000000005</v>
      </c>
      <c r="C865" s="4">
        <f>64.9911 * CHOOSE(CONTROL!$C$10, $C$13, 100%, $E$13) + CHOOSE(CONTROL!$C$29, 0.0274, 0)</f>
        <v>65.018500000000003</v>
      </c>
      <c r="D865" s="4">
        <f>81.2233 * CHOOSE(CONTROL!$C$10, $C$13, 100%, $E$13) + CHOOSE(CONTROL!$C$29, 0.0021, 0)</f>
        <v>81.225399999999993</v>
      </c>
      <c r="E865" s="4">
        <f>420.04362680262 * CHOOSE(CONTROL!$C$10, $C$13, 100%, $E$13) + CHOOSE(CONTROL!$C$29, 0.0021, 0)</f>
        <v>420.04572680261998</v>
      </c>
    </row>
    <row r="866" spans="1:5" ht="15">
      <c r="A866" s="13">
        <v>67511</v>
      </c>
      <c r="B866" s="4">
        <f>63.0033 * CHOOSE(CONTROL!$C$10, $C$13, 100%, $E$13) + CHOOSE(CONTROL!$C$29, 0.0274, 0)</f>
        <v>63.030700000000003</v>
      </c>
      <c r="C866" s="4">
        <f>62.8471 * CHOOSE(CONTROL!$C$10, $C$13, 100%, $E$13) + CHOOSE(CONTROL!$C$29, 0.0274, 0)</f>
        <v>62.874499999999998</v>
      </c>
      <c r="D866" s="4">
        <f>80.1316 * CHOOSE(CONTROL!$C$10, $C$13, 100%, $E$13) + CHOOSE(CONTROL!$C$29, 0.0021, 0)</f>
        <v>80.133700000000005</v>
      </c>
      <c r="E866" s="4">
        <f>406.087484725467 * CHOOSE(CONTROL!$C$10, $C$13, 100%, $E$13) + CHOOSE(CONTROL!$C$29, 0.0021, 0)</f>
        <v>406.08958472546698</v>
      </c>
    </row>
    <row r="867" spans="1:5" ht="15">
      <c r="A867" s="13">
        <v>67541</v>
      </c>
      <c r="B867" s="4">
        <f>61.6224 * CHOOSE(CONTROL!$C$10, $C$13, 100%, $E$13) + CHOOSE(CONTROL!$C$29, 0.0274, 0)</f>
        <v>61.649799999999999</v>
      </c>
      <c r="C867" s="4">
        <f>61.4661 * CHOOSE(CONTROL!$C$10, $C$13, 100%, $E$13) + CHOOSE(CONTROL!$C$29, 0.0274, 0)</f>
        <v>61.493499999999997</v>
      </c>
      <c r="D867" s="4">
        <f>79.7563 * CHOOSE(CONTROL!$C$10, $C$13, 100%, $E$13) + CHOOSE(CONTROL!$C$29, 0.0021, 0)</f>
        <v>79.758399999999995</v>
      </c>
      <c r="E867" s="4">
        <f>397.09868704834 * CHOOSE(CONTROL!$C$10, $C$13, 100%, $E$13) + CHOOSE(CONTROL!$C$29, 0.0021, 0)</f>
        <v>397.10078704834001</v>
      </c>
    </row>
    <row r="868" spans="1:5" ht="15">
      <c r="A868" s="13">
        <v>67572</v>
      </c>
      <c r="B868" s="4">
        <f>60.667 * CHOOSE(CONTROL!$C$10, $C$13, 100%, $E$13) + CHOOSE(CONTROL!$C$29, 0.0274, 0)</f>
        <v>60.694400000000002</v>
      </c>
      <c r="C868" s="4">
        <f>60.5107 * CHOOSE(CONTROL!$C$10, $C$13, 100%, $E$13) + CHOOSE(CONTROL!$C$29, 0.0274, 0)</f>
        <v>60.5381</v>
      </c>
      <c r="D868" s="4">
        <f>76.9931 * CHOOSE(CONTROL!$C$10, $C$13, 100%, $E$13) + CHOOSE(CONTROL!$C$29, 0.0021, 0)</f>
        <v>76.995199999999997</v>
      </c>
      <c r="E868" s="4">
        <f>390.879594515583 * CHOOSE(CONTROL!$C$10, $C$13, 100%, $E$13) + CHOOSE(CONTROL!$C$29, 0.0021, 0)</f>
        <v>390.88169451558298</v>
      </c>
    </row>
    <row r="869" spans="1:5" ht="15">
      <c r="A869" s="13">
        <v>67603</v>
      </c>
      <c r="B869" s="4">
        <f>58.1628 * CHOOSE(CONTROL!$C$10, $C$13, 100%, $E$13) + CHOOSE(CONTROL!$C$29, 0.0274, 0)</f>
        <v>58.190199999999997</v>
      </c>
      <c r="C869" s="4">
        <f>58.0066 * CHOOSE(CONTROL!$C$10, $C$13, 100%, $E$13) + CHOOSE(CONTROL!$C$29, 0.0274, 0)</f>
        <v>58.033999999999999</v>
      </c>
      <c r="D869" s="4">
        <f>73.8119 * CHOOSE(CONTROL!$C$10, $C$13, 100%, $E$13) + CHOOSE(CONTROL!$C$29, 0.0021, 0)</f>
        <v>73.813999999999993</v>
      </c>
      <c r="E869" s="4">
        <f>374.597871099909 * CHOOSE(CONTROL!$C$10, $C$13, 100%, $E$13) + CHOOSE(CONTROL!$C$29, 0.0021, 0)</f>
        <v>374.599971099909</v>
      </c>
    </row>
    <row r="870" spans="1:5" ht="15">
      <c r="A870" s="13">
        <v>67631</v>
      </c>
      <c r="B870" s="4">
        <f>59.5292 * CHOOSE(CONTROL!$C$10, $C$13, 100%, $E$13) + CHOOSE(CONTROL!$C$29, 0.0274, 0)</f>
        <v>59.556600000000003</v>
      </c>
      <c r="C870" s="4">
        <f>59.3729 * CHOOSE(CONTROL!$C$10, $C$13, 100%, $E$13) + CHOOSE(CONTROL!$C$29, 0.0274, 0)</f>
        <v>59.400300000000001</v>
      </c>
      <c r="D870" s="4">
        <f>76.3466 * CHOOSE(CONTROL!$C$10, $C$13, 100%, $E$13) + CHOOSE(CONTROL!$C$29, 0.0021, 0)</f>
        <v>76.348699999999994</v>
      </c>
      <c r="E870" s="4">
        <f>383.492300816107 * CHOOSE(CONTROL!$C$10, $C$13, 100%, $E$13) + CHOOSE(CONTROL!$C$29, 0.0021, 0)</f>
        <v>383.49440081610697</v>
      </c>
    </row>
    <row r="871" spans="1:5" ht="15">
      <c r="A871" s="13">
        <v>67662</v>
      </c>
      <c r="B871" s="4">
        <f>63.1173 * CHOOSE(CONTROL!$C$10, $C$13, 100%, $E$13) + CHOOSE(CONTROL!$C$29, 0.0274, 0)</f>
        <v>63.1447</v>
      </c>
      <c r="C871" s="4">
        <f>62.9611 * CHOOSE(CONTROL!$C$10, $C$13, 100%, $E$13) + CHOOSE(CONTROL!$C$29, 0.0274, 0)</f>
        <v>62.988500000000002</v>
      </c>
      <c r="D871" s="4">
        <f>80.3145 * CHOOSE(CONTROL!$C$10, $C$13, 100%, $E$13) + CHOOSE(CONTROL!$C$29, 0.0021, 0)</f>
        <v>80.316599999999994</v>
      </c>
      <c r="E871" s="4">
        <f>406.849545929546 * CHOOSE(CONTROL!$C$10, $C$13, 100%, $E$13) + CHOOSE(CONTROL!$C$29, 0.0021, 0)</f>
        <v>406.85164592954601</v>
      </c>
    </row>
    <row r="872" spans="1:5" ht="15">
      <c r="A872" s="13">
        <v>67692</v>
      </c>
      <c r="B872" s="4">
        <f>65.6667 * CHOOSE(CONTROL!$C$10, $C$13, 100%, $E$13) + CHOOSE(CONTROL!$C$29, 0.0274, 0)</f>
        <v>65.694100000000006</v>
      </c>
      <c r="C872" s="4">
        <f>65.5105 * CHOOSE(CONTROL!$C$10, $C$13, 100%, $E$13) + CHOOSE(CONTROL!$C$29, 0.0274, 0)</f>
        <v>65.537899999999993</v>
      </c>
      <c r="D872" s="4">
        <f>82.6002 * CHOOSE(CONTROL!$C$10, $C$13, 100%, $E$13) + CHOOSE(CONTROL!$C$29, 0.0021, 0)</f>
        <v>82.6023</v>
      </c>
      <c r="E872" s="4">
        <f>423.445179858863 * CHOOSE(CONTROL!$C$10, $C$13, 100%, $E$13) + CHOOSE(CONTROL!$C$29, 0.0021, 0)</f>
        <v>423.447279858863</v>
      </c>
    </row>
    <row r="873" spans="1:5" ht="15">
      <c r="A873" s="13">
        <v>67723</v>
      </c>
      <c r="B873" s="4">
        <f>67.2244 * CHOOSE(CONTROL!$C$10, $C$13, 100%, $E$13) + CHOOSE(CONTROL!$C$29, 0.0274, 0)</f>
        <v>67.251800000000003</v>
      </c>
      <c r="C873" s="4">
        <f>67.0681 * CHOOSE(CONTROL!$C$10, $C$13, 100%, $E$13) + CHOOSE(CONTROL!$C$29, 0.0274, 0)</f>
        <v>67.095500000000001</v>
      </c>
      <c r="D873" s="4">
        <f>81.697 * CHOOSE(CONTROL!$C$10, $C$13, 100%, $E$13) + CHOOSE(CONTROL!$C$29, 0.0021, 0)</f>
        <v>81.699100000000001</v>
      </c>
      <c r="E873" s="4">
        <f>433.584714447841 * CHOOSE(CONTROL!$C$10, $C$13, 100%, $E$13) + CHOOSE(CONTROL!$C$29, 0.0021, 0)</f>
        <v>433.58681444784099</v>
      </c>
    </row>
    <row r="874" spans="1:5" ht="15">
      <c r="A874" s="13">
        <v>67753</v>
      </c>
      <c r="B874" s="4">
        <f>67.4351 * CHOOSE(CONTROL!$C$10, $C$13, 100%, $E$13) + CHOOSE(CONTROL!$C$29, 0.0274, 0)</f>
        <v>67.462500000000006</v>
      </c>
      <c r="C874" s="4">
        <f>67.2789 * CHOOSE(CONTROL!$C$10, $C$13, 100%, $E$13) + CHOOSE(CONTROL!$C$29, 0.0274, 0)</f>
        <v>67.306299999999993</v>
      </c>
      <c r="D874" s="4">
        <f>82.4325 * CHOOSE(CONTROL!$C$10, $C$13, 100%, $E$13) + CHOOSE(CONTROL!$C$29, 0.0021, 0)</f>
        <v>82.434600000000003</v>
      </c>
      <c r="E874" s="4">
        <f>434.956635557663 * CHOOSE(CONTROL!$C$10, $C$13, 100%, $E$13) + CHOOSE(CONTROL!$C$29, 0.0021, 0)</f>
        <v>434.95873555766298</v>
      </c>
    </row>
    <row r="875" spans="1:5" ht="15">
      <c r="A875" s="13">
        <v>67784</v>
      </c>
      <c r="B875" s="4">
        <f>67.4139 * CHOOSE(CONTROL!$C$10, $C$13, 100%, $E$13) + CHOOSE(CONTROL!$C$29, 0.0274, 0)</f>
        <v>67.441299999999998</v>
      </c>
      <c r="C875" s="4">
        <f>67.2576 * CHOOSE(CONTROL!$C$10, $C$13, 100%, $E$13) + CHOOSE(CONTROL!$C$29, 0.0274, 0)</f>
        <v>67.284999999999997</v>
      </c>
      <c r="D875" s="4">
        <f>83.7598 * CHOOSE(CONTROL!$C$10, $C$13, 100%, $E$13) + CHOOSE(CONTROL!$C$29, 0.0021, 0)</f>
        <v>83.761899999999997</v>
      </c>
      <c r="E875" s="4">
        <f>434.818290571798 * CHOOSE(CONTROL!$C$10, $C$13, 100%, $E$13) + CHOOSE(CONTROL!$C$29, 0.0021, 0)</f>
        <v>434.82039057179799</v>
      </c>
    </row>
    <row r="876" spans="1:5" ht="15">
      <c r="A876" s="13">
        <v>67815</v>
      </c>
      <c r="B876" s="4">
        <f>69.0131 * CHOOSE(CONTROL!$C$10, $C$13, 100%, $E$13) + CHOOSE(CONTROL!$C$29, 0.0274, 0)</f>
        <v>69.040499999999994</v>
      </c>
      <c r="C876" s="4">
        <f>68.8569 * CHOOSE(CONTROL!$C$10, $C$13, 100%, $E$13) + CHOOSE(CONTROL!$C$29, 0.0274, 0)</f>
        <v>68.884299999999996</v>
      </c>
      <c r="D876" s="4">
        <f>82.8833 * CHOOSE(CONTROL!$C$10, $C$13, 100%, $E$13) + CHOOSE(CONTROL!$C$29, 0.0021, 0)</f>
        <v>82.885400000000004</v>
      </c>
      <c r="E876" s="4">
        <f>445.228750758094 * CHOOSE(CONTROL!$C$10, $C$13, 100%, $E$13) + CHOOSE(CONTROL!$C$29, 0.0021, 0)</f>
        <v>445.23085075809399</v>
      </c>
    </row>
    <row r="877" spans="1:5" ht="15">
      <c r="A877" s="13">
        <v>67845</v>
      </c>
      <c r="B877" s="4">
        <f>66.2875 * CHOOSE(CONTROL!$C$10, $C$13, 100%, $E$13) + CHOOSE(CONTROL!$C$29, 0.0274, 0)</f>
        <v>66.314899999999994</v>
      </c>
      <c r="C877" s="4">
        <f>66.1312 * CHOOSE(CONTROL!$C$10, $C$13, 100%, $E$13) + CHOOSE(CONTROL!$C$29, 0.0274, 0)</f>
        <v>66.158600000000007</v>
      </c>
      <c r="D877" s="4">
        <f>82.4691 * CHOOSE(CONTROL!$C$10, $C$13, 100%, $E$13) + CHOOSE(CONTROL!$C$29, 0.0021, 0)</f>
        <v>82.471199999999996</v>
      </c>
      <c r="E877" s="4">
        <f>427.486006320985 * CHOOSE(CONTROL!$C$10, $C$13, 100%, $E$13) + CHOOSE(CONTROL!$C$29, 0.0021, 0)</f>
        <v>427.48810632098497</v>
      </c>
    </row>
    <row r="878" spans="1:5" ht="15">
      <c r="A878" s="13">
        <v>67876</v>
      </c>
      <c r="B878" s="4">
        <f>64.1056 * CHOOSE(CONTROL!$C$10, $C$13, 100%, $E$13) + CHOOSE(CONTROL!$C$29, 0.0274, 0)</f>
        <v>64.132999999999996</v>
      </c>
      <c r="C878" s="4">
        <f>63.9493 * CHOOSE(CONTROL!$C$10, $C$13, 100%, $E$13) + CHOOSE(CONTROL!$C$29, 0.0274, 0)</f>
        <v>63.976700000000001</v>
      </c>
      <c r="D878" s="4">
        <f>81.3603 * CHOOSE(CONTROL!$C$10, $C$13, 100%, $E$13) + CHOOSE(CONTROL!$C$29, 0.0021, 0)</f>
        <v>81.362399999999994</v>
      </c>
      <c r="E878" s="4">
        <f>413.28258777224 * CHOOSE(CONTROL!$C$10, $C$13, 100%, $E$13) + CHOOSE(CONTROL!$C$29, 0.0021, 0)</f>
        <v>413.28468777223998</v>
      </c>
    </row>
    <row r="879" spans="1:5" ht="15">
      <c r="A879" s="13">
        <v>67906</v>
      </c>
      <c r="B879" s="4">
        <f>62.7002 * CHOOSE(CONTROL!$C$10, $C$13, 100%, $E$13) + CHOOSE(CONTROL!$C$29, 0.0274, 0)</f>
        <v>62.727600000000002</v>
      </c>
      <c r="C879" s="4">
        <f>62.544 * CHOOSE(CONTROL!$C$10, $C$13, 100%, $E$13) + CHOOSE(CONTROL!$C$29, 0.0274, 0)</f>
        <v>62.571399999999997</v>
      </c>
      <c r="D879" s="4">
        <f>80.9791 * CHOOSE(CONTROL!$C$10, $C$13, 100%, $E$13) + CHOOSE(CONTROL!$C$29, 0.0021, 0)</f>
        <v>80.981200000000001</v>
      </c>
      <c r="E879" s="4">
        <f>404.134525581957 * CHOOSE(CONTROL!$C$10, $C$13, 100%, $E$13) + CHOOSE(CONTROL!$C$29, 0.0021, 0)</f>
        <v>404.13662558195699</v>
      </c>
    </row>
    <row r="880" spans="1:5" ht="15">
      <c r="A880" s="13">
        <v>67937</v>
      </c>
      <c r="B880" s="4">
        <f>61.7279 * CHOOSE(CONTROL!$C$10, $C$13, 100%, $E$13) + CHOOSE(CONTROL!$C$29, 0.0274, 0)</f>
        <v>61.755299999999998</v>
      </c>
      <c r="C880" s="4">
        <f>61.5717 * CHOOSE(CONTROL!$C$10, $C$13, 100%, $E$13) + CHOOSE(CONTROL!$C$29, 0.0274, 0)</f>
        <v>61.5991</v>
      </c>
      <c r="D880" s="4">
        <f>78.1725 * CHOOSE(CONTROL!$C$10, $C$13, 100%, $E$13) + CHOOSE(CONTROL!$C$29, 0.0021, 0)</f>
        <v>78.174599999999998</v>
      </c>
      <c r="E880" s="4">
        <f>397.805242478661 * CHOOSE(CONTROL!$C$10, $C$13, 100%, $E$13) + CHOOSE(CONTROL!$C$29, 0.0021, 0)</f>
        <v>397.80734247866098</v>
      </c>
    </row>
    <row r="881" spans="1:5" ht="15">
      <c r="A881" s="13">
        <v>67968</v>
      </c>
      <c r="B881" s="4">
        <f>59.1796 * CHOOSE(CONTROL!$C$10, $C$13, 100%, $E$13) + CHOOSE(CONTROL!$C$29, 0.0274, 0)</f>
        <v>59.207000000000001</v>
      </c>
      <c r="C881" s="4">
        <f>59.0233 * CHOOSE(CONTROL!$C$10, $C$13, 100%, $E$13) + CHOOSE(CONTROL!$C$29, 0.0274, 0)</f>
        <v>59.050699999999999</v>
      </c>
      <c r="D881" s="4">
        <f>74.9412 * CHOOSE(CONTROL!$C$10, $C$13, 100%, $E$13) + CHOOSE(CONTROL!$C$29, 0.0021, 0)</f>
        <v>74.943299999999994</v>
      </c>
      <c r="E881" s="4">
        <f>381.235037683577 * CHOOSE(CONTROL!$C$10, $C$13, 100%, $E$13) + CHOOSE(CONTROL!$C$29, 0.0021, 0)</f>
        <v>381.23713768357698</v>
      </c>
    </row>
    <row r="882" spans="1:5" ht="15">
      <c r="A882" s="13">
        <v>67996</v>
      </c>
      <c r="B882" s="4">
        <f>60.5701 * CHOOSE(CONTROL!$C$10, $C$13, 100%, $E$13) + CHOOSE(CONTROL!$C$29, 0.0274, 0)</f>
        <v>60.597499999999997</v>
      </c>
      <c r="C882" s="4">
        <f>60.4138 * CHOOSE(CONTROL!$C$10, $C$13, 100%, $E$13) + CHOOSE(CONTROL!$C$29, 0.0274, 0)</f>
        <v>60.441200000000002</v>
      </c>
      <c r="D882" s="4">
        <f>77.5158 * CHOOSE(CONTROL!$C$10, $C$13, 100%, $E$13) + CHOOSE(CONTROL!$C$29, 0.0021, 0)</f>
        <v>77.517899999999997</v>
      </c>
      <c r="E882" s="4">
        <f>390.287059890944 * CHOOSE(CONTROL!$C$10, $C$13, 100%, $E$13) + CHOOSE(CONTROL!$C$29, 0.0021, 0)</f>
        <v>390.28915989094401</v>
      </c>
    </row>
    <row r="883" spans="1:5" ht="15">
      <c r="A883" s="13">
        <v>68027</v>
      </c>
      <c r="B883" s="4">
        <f>64.2216 * CHOOSE(CONTROL!$C$10, $C$13, 100%, $E$13) + CHOOSE(CONTROL!$C$29, 0.0274, 0)</f>
        <v>64.248999999999995</v>
      </c>
      <c r="C883" s="4">
        <f>64.0654 * CHOOSE(CONTROL!$C$10, $C$13, 100%, $E$13) + CHOOSE(CONTROL!$C$29, 0.0274, 0)</f>
        <v>64.092799999999997</v>
      </c>
      <c r="D883" s="4">
        <f>81.5461 * CHOOSE(CONTROL!$C$10, $C$13, 100%, $E$13) + CHOOSE(CONTROL!$C$29, 0.0021, 0)</f>
        <v>81.548199999999994</v>
      </c>
      <c r="E883" s="4">
        <f>414.058151261165 * CHOOSE(CONTROL!$C$10, $C$13, 100%, $E$13) + CHOOSE(CONTROL!$C$29, 0.0021, 0)</f>
        <v>414.06025126116498</v>
      </c>
    </row>
    <row r="884" spans="1:5" ht="15">
      <c r="A884" s="13">
        <v>68057</v>
      </c>
      <c r="B884" s="4">
        <f>66.8161 * CHOOSE(CONTROL!$C$10, $C$13, 100%, $E$13) + CHOOSE(CONTROL!$C$29, 0.0274, 0)</f>
        <v>66.843500000000006</v>
      </c>
      <c r="C884" s="4">
        <f>66.6598 * CHOOSE(CONTROL!$C$10, $C$13, 100%, $E$13) + CHOOSE(CONTROL!$C$29, 0.0274, 0)</f>
        <v>66.687200000000004</v>
      </c>
      <c r="D884" s="4">
        <f>83.8677 * CHOOSE(CONTROL!$C$10, $C$13, 100%, $E$13) + CHOOSE(CONTROL!$C$29, 0.0021, 0)</f>
        <v>83.869799999999998</v>
      </c>
      <c r="E884" s="4">
        <f>430.947828471153 * CHOOSE(CONTROL!$C$10, $C$13, 100%, $E$13) + CHOOSE(CONTROL!$C$29, 0.0021, 0)</f>
        <v>430.94992847115299</v>
      </c>
    </row>
    <row r="885" spans="1:5" ht="15">
      <c r="A885" s="13">
        <v>68088</v>
      </c>
      <c r="B885" s="4">
        <f>68.4012 * CHOOSE(CONTROL!$C$10, $C$13, 100%, $E$13) + CHOOSE(CONTROL!$C$29, 0.0274, 0)</f>
        <v>68.428600000000003</v>
      </c>
      <c r="C885" s="4">
        <f>68.245 * CHOOSE(CONTROL!$C$10, $C$13, 100%, $E$13) + CHOOSE(CONTROL!$C$29, 0.0274, 0)</f>
        <v>68.272400000000005</v>
      </c>
      <c r="D885" s="4">
        <f>82.9503 * CHOOSE(CONTROL!$C$10, $C$13, 100%, $E$13) + CHOOSE(CONTROL!$C$29, 0.0021, 0)</f>
        <v>82.952399999999997</v>
      </c>
      <c r="E885" s="4">
        <f>441.267016457387 * CHOOSE(CONTROL!$C$10, $C$13, 100%, $E$13) + CHOOSE(CONTROL!$C$29, 0.0021, 0)</f>
        <v>441.26911645738699</v>
      </c>
    </row>
    <row r="886" spans="1:5" ht="15">
      <c r="A886" s="13">
        <v>68118</v>
      </c>
      <c r="B886" s="4">
        <f>68.6157 * CHOOSE(CONTROL!$C$10, $C$13, 100%, $E$13) + CHOOSE(CONTROL!$C$29, 0.0274, 0)</f>
        <v>68.643100000000004</v>
      </c>
      <c r="C886" s="4">
        <f>68.4594 * CHOOSE(CONTROL!$C$10, $C$13, 100%, $E$13) + CHOOSE(CONTROL!$C$29, 0.0274, 0)</f>
        <v>68.486800000000002</v>
      </c>
      <c r="D886" s="4">
        <f>83.6974 * CHOOSE(CONTROL!$C$10, $C$13, 100%, $E$13) + CHOOSE(CONTROL!$C$29, 0.0021, 0)</f>
        <v>83.6995</v>
      </c>
      <c r="E886" s="4">
        <f>442.663245417434 * CHOOSE(CONTROL!$C$10, $C$13, 100%, $E$13) + CHOOSE(CONTROL!$C$29, 0.0021, 0)</f>
        <v>442.66534541743397</v>
      </c>
    </row>
    <row r="887" spans="1:5" ht="15">
      <c r="A887" s="13">
        <v>68149</v>
      </c>
      <c r="B887" s="4">
        <f>68.5941 * CHOOSE(CONTROL!$C$10, $C$13, 100%, $E$13) + CHOOSE(CONTROL!$C$29, 0.0274, 0)</f>
        <v>68.621499999999997</v>
      </c>
      <c r="C887" s="4">
        <f>68.4378 * CHOOSE(CONTROL!$C$10, $C$13, 100%, $E$13) + CHOOSE(CONTROL!$C$29, 0.0274, 0)</f>
        <v>68.465199999999996</v>
      </c>
      <c r="D887" s="4">
        <f>85.0455 * CHOOSE(CONTROL!$C$10, $C$13, 100%, $E$13) + CHOOSE(CONTROL!$C$29, 0.0021, 0)</f>
        <v>85.047600000000003</v>
      </c>
      <c r="E887" s="4">
        <f>442.522449219782 * CHOOSE(CONTROL!$C$10, $C$13, 100%, $E$13) + CHOOSE(CONTROL!$C$29, 0.0021, 0)</f>
        <v>442.52454921978199</v>
      </c>
    </row>
    <row r="888" spans="1:5" ht="15">
      <c r="A888" s="13">
        <v>68180</v>
      </c>
      <c r="B888" s="4">
        <f>70.2216 * CHOOSE(CONTROL!$C$10, $C$13, 100%, $E$13) + CHOOSE(CONTROL!$C$29, 0.0274, 0)</f>
        <v>70.248999999999995</v>
      </c>
      <c r="C888" s="4">
        <f>70.0653 * CHOOSE(CONTROL!$C$10, $C$13, 100%, $E$13) + CHOOSE(CONTROL!$C$29, 0.0274, 0)</f>
        <v>70.092699999999994</v>
      </c>
      <c r="D888" s="4">
        <f>84.1552 * CHOOSE(CONTROL!$C$10, $C$13, 100%, $E$13) + CHOOSE(CONTROL!$C$29, 0.0021, 0)</f>
        <v>84.157299999999992</v>
      </c>
      <c r="E888" s="4">
        <f>453.117363093084 * CHOOSE(CONTROL!$C$10, $C$13, 100%, $E$13) + CHOOSE(CONTROL!$C$29, 0.0021, 0)</f>
        <v>453.11946309308399</v>
      </c>
    </row>
    <row r="889" spans="1:5" ht="15">
      <c r="A889" s="13">
        <v>68210</v>
      </c>
      <c r="B889" s="4">
        <f>67.4478 * CHOOSE(CONTROL!$C$10, $C$13, 100%, $E$13) + CHOOSE(CONTROL!$C$29, 0.0274, 0)</f>
        <v>67.475200000000001</v>
      </c>
      <c r="C889" s="4">
        <f>67.2915 * CHOOSE(CONTROL!$C$10, $C$13, 100%, $E$13) + CHOOSE(CONTROL!$C$29, 0.0274, 0)</f>
        <v>67.318899999999999</v>
      </c>
      <c r="D889" s="4">
        <f>83.7346 * CHOOSE(CONTROL!$C$10, $C$13, 100%, $E$13) + CHOOSE(CONTROL!$C$29, 0.0021, 0)</f>
        <v>83.736699999999999</v>
      </c>
      <c r="E889" s="4">
        <f>435.060250744234 * CHOOSE(CONTROL!$C$10, $C$13, 100%, $E$13) + CHOOSE(CONTROL!$C$29, 0.0021, 0)</f>
        <v>435.06235074423398</v>
      </c>
    </row>
    <row r="890" spans="1:5" ht="15">
      <c r="A890" s="13">
        <v>68241</v>
      </c>
      <c r="B890" s="4">
        <f>65.2273 * CHOOSE(CONTROL!$C$10, $C$13, 100%, $E$13) + CHOOSE(CONTROL!$C$29, 0.0274, 0)</f>
        <v>65.2547</v>
      </c>
      <c r="C890" s="4">
        <f>65.0711 * CHOOSE(CONTROL!$C$10, $C$13, 100%, $E$13) + CHOOSE(CONTROL!$C$29, 0.0274, 0)</f>
        <v>65.098500000000001</v>
      </c>
      <c r="D890" s="4">
        <f>82.6083 * CHOOSE(CONTROL!$C$10, $C$13, 100%, $E$13) + CHOOSE(CONTROL!$C$29, 0.0021, 0)</f>
        <v>82.610399999999998</v>
      </c>
      <c r="E890" s="4">
        <f>420.605174451977 * CHOOSE(CONTROL!$C$10, $C$13, 100%, $E$13) + CHOOSE(CONTROL!$C$29, 0.0021, 0)</f>
        <v>420.60727445197699</v>
      </c>
    </row>
    <row r="891" spans="1:5" ht="15">
      <c r="A891" s="13">
        <v>68271</v>
      </c>
      <c r="B891" s="4">
        <f>63.7972 * CHOOSE(CONTROL!$C$10, $C$13, 100%, $E$13) + CHOOSE(CONTROL!$C$29, 0.0274, 0)</f>
        <v>63.824599999999997</v>
      </c>
      <c r="C891" s="4">
        <f>63.6409 * CHOOSE(CONTROL!$C$10, $C$13, 100%, $E$13) + CHOOSE(CONTROL!$C$29, 0.0274, 0)</f>
        <v>63.668300000000002</v>
      </c>
      <c r="D891" s="4">
        <f>82.2211 * CHOOSE(CONTROL!$C$10, $C$13, 100%, $E$13) + CHOOSE(CONTROL!$C$29, 0.0021, 0)</f>
        <v>82.223200000000006</v>
      </c>
      <c r="E891" s="4">
        <f>411.295025882248 * CHOOSE(CONTROL!$C$10, $C$13, 100%, $E$13) + CHOOSE(CONTROL!$C$29, 0.0021, 0)</f>
        <v>411.297125882248</v>
      </c>
    </row>
    <row r="892" spans="1:5" ht="15">
      <c r="A892" s="13">
        <v>68302</v>
      </c>
      <c r="B892" s="4">
        <f>62.8077 * CHOOSE(CONTROL!$C$10, $C$13, 100%, $E$13) + CHOOSE(CONTROL!$C$29, 0.0274, 0)</f>
        <v>62.835099999999997</v>
      </c>
      <c r="C892" s="4">
        <f>62.6514 * CHOOSE(CONTROL!$C$10, $C$13, 100%, $E$13) + CHOOSE(CONTROL!$C$29, 0.0274, 0)</f>
        <v>62.678800000000003</v>
      </c>
      <c r="D892" s="4">
        <f>79.3704 * CHOOSE(CONTROL!$C$10, $C$13, 100%, $E$13) + CHOOSE(CONTROL!$C$29, 0.0021, 0)</f>
        <v>79.372500000000002</v>
      </c>
      <c r="E892" s="4">
        <f>404.853599839675 * CHOOSE(CONTROL!$C$10, $C$13, 100%, $E$13) + CHOOSE(CONTROL!$C$29, 0.0021, 0)</f>
        <v>404.85569983967497</v>
      </c>
    </row>
    <row r="893" spans="1:5" ht="15">
      <c r="A893" s="13">
        <v>68333</v>
      </c>
      <c r="B893" s="4">
        <f>60.2143 * CHOOSE(CONTROL!$C$10, $C$13, 100%, $E$13) + CHOOSE(CONTROL!$C$29, 0.0274, 0)</f>
        <v>60.241700000000002</v>
      </c>
      <c r="C893" s="4">
        <f>60.058 * CHOOSE(CONTROL!$C$10, $C$13, 100%, $E$13) + CHOOSE(CONTROL!$C$29, 0.0274, 0)</f>
        <v>60.0854</v>
      </c>
      <c r="D893" s="4">
        <f>76.0883 * CHOOSE(CONTROL!$C$10, $C$13, 100%, $E$13) + CHOOSE(CONTROL!$C$29, 0.0021, 0)</f>
        <v>76.090400000000002</v>
      </c>
      <c r="E893" s="4">
        <f>387.989802320138 * CHOOSE(CONTROL!$C$10, $C$13, 100%, $E$13) + CHOOSE(CONTROL!$C$29, 0.0021, 0)</f>
        <v>387.99190232013797</v>
      </c>
    </row>
    <row r="894" spans="1:5" ht="15">
      <c r="A894" s="13">
        <v>68361</v>
      </c>
      <c r="B894" s="4">
        <f>61.6293 * CHOOSE(CONTROL!$C$10, $C$13, 100%, $E$13) + CHOOSE(CONTROL!$C$29, 0.0274, 0)</f>
        <v>61.656700000000001</v>
      </c>
      <c r="C894" s="4">
        <f>61.4731 * CHOOSE(CONTROL!$C$10, $C$13, 100%, $E$13) + CHOOSE(CONTROL!$C$29, 0.0274, 0)</f>
        <v>61.500500000000002</v>
      </c>
      <c r="D894" s="4">
        <f>78.7034 * CHOOSE(CONTROL!$C$10, $C$13, 100%, $E$13) + CHOOSE(CONTROL!$C$29, 0.0021, 0)</f>
        <v>78.705500000000001</v>
      </c>
      <c r="E894" s="4">
        <f>397.202209259893 * CHOOSE(CONTROL!$C$10, $C$13, 100%, $E$13) + CHOOSE(CONTROL!$C$29, 0.0021, 0)</f>
        <v>397.20430925989297</v>
      </c>
    </row>
    <row r="895" spans="1:5" ht="15">
      <c r="A895" s="13">
        <v>68392</v>
      </c>
      <c r="B895" s="4">
        <f>65.3454 * CHOOSE(CONTROL!$C$10, $C$13, 100%, $E$13) + CHOOSE(CONTROL!$C$29, 0.0274, 0)</f>
        <v>65.372799999999998</v>
      </c>
      <c r="C895" s="4">
        <f>65.1891 * CHOOSE(CONTROL!$C$10, $C$13, 100%, $E$13) + CHOOSE(CONTROL!$C$29, 0.0274, 0)</f>
        <v>65.216499999999996</v>
      </c>
      <c r="D895" s="4">
        <f>82.797 * CHOOSE(CONTROL!$C$10, $C$13, 100%, $E$13) + CHOOSE(CONTROL!$C$29, 0.0021, 0)</f>
        <v>82.799099999999996</v>
      </c>
      <c r="E895" s="4">
        <f>421.394479460727 * CHOOSE(CONTROL!$C$10, $C$13, 100%, $E$13) + CHOOSE(CONTROL!$C$29, 0.0021, 0)</f>
        <v>421.39657946072697</v>
      </c>
    </row>
    <row r="896" spans="1:5" ht="15">
      <c r="A896" s="13">
        <v>68422</v>
      </c>
      <c r="B896" s="4">
        <f>67.9857 * CHOOSE(CONTROL!$C$10, $C$13, 100%, $E$13) + CHOOSE(CONTROL!$C$29, 0.0274, 0)</f>
        <v>68.013099999999994</v>
      </c>
      <c r="C896" s="4">
        <f>67.8294 * CHOOSE(CONTROL!$C$10, $C$13, 100%, $E$13) + CHOOSE(CONTROL!$C$29, 0.0274, 0)</f>
        <v>67.856800000000007</v>
      </c>
      <c r="D896" s="4">
        <f>85.1551 * CHOOSE(CONTROL!$C$10, $C$13, 100%, $E$13) + CHOOSE(CONTROL!$C$29, 0.0021, 0)</f>
        <v>85.157200000000003</v>
      </c>
      <c r="E896" s="4">
        <f>438.58340984281 * CHOOSE(CONTROL!$C$10, $C$13, 100%, $E$13) + CHOOSE(CONTROL!$C$29, 0.0021, 0)</f>
        <v>438.58550984280998</v>
      </c>
    </row>
    <row r="897" spans="1:5" ht="15">
      <c r="A897" s="13">
        <v>68453</v>
      </c>
      <c r="B897" s="4">
        <f>69.5988 * CHOOSE(CONTROL!$C$10, $C$13, 100%, $E$13) + CHOOSE(CONTROL!$C$29, 0.0274, 0)</f>
        <v>69.626199999999997</v>
      </c>
      <c r="C897" s="4">
        <f>69.4426 * CHOOSE(CONTROL!$C$10, $C$13, 100%, $E$13) + CHOOSE(CONTROL!$C$29, 0.0274, 0)</f>
        <v>69.47</v>
      </c>
      <c r="D897" s="4">
        <f>84.2233 * CHOOSE(CONTROL!$C$10, $C$13, 100%, $E$13) + CHOOSE(CONTROL!$C$29, 0.0021, 0)</f>
        <v>84.225399999999993</v>
      </c>
      <c r="E897" s="4">
        <f>449.085434345097 * CHOOSE(CONTROL!$C$10, $C$13, 100%, $E$13) + CHOOSE(CONTROL!$C$29, 0.0021, 0)</f>
        <v>449.08753434509697</v>
      </c>
    </row>
    <row r="898" spans="1:5" ht="15">
      <c r="A898" s="13">
        <v>68483</v>
      </c>
      <c r="B898" s="4">
        <f>69.8171 * CHOOSE(CONTROL!$C$10, $C$13, 100%, $E$13) + CHOOSE(CONTROL!$C$29, 0.0274, 0)</f>
        <v>69.844499999999996</v>
      </c>
      <c r="C898" s="4">
        <f>69.6609 * CHOOSE(CONTROL!$C$10, $C$13, 100%, $E$13) + CHOOSE(CONTROL!$C$29, 0.0274, 0)</f>
        <v>69.688299999999998</v>
      </c>
      <c r="D898" s="4">
        <f>84.9822 * CHOOSE(CONTROL!$C$10, $C$13, 100%, $E$13) + CHOOSE(CONTROL!$C$29, 0.0021, 0)</f>
        <v>84.984300000000005</v>
      </c>
      <c r="E898" s="4">
        <f>450.506401844554 * CHOOSE(CONTROL!$C$10, $C$13, 100%, $E$13) + CHOOSE(CONTROL!$C$29, 0.0021, 0)</f>
        <v>450.50850184455396</v>
      </c>
    </row>
    <row r="899" spans="1:5" ht="15">
      <c r="A899" s="13">
        <v>68514</v>
      </c>
      <c r="B899" s="4">
        <f>69.7951 * CHOOSE(CONTROL!$C$10, $C$13, 100%, $E$13) + CHOOSE(CONTROL!$C$29, 0.0274, 0)</f>
        <v>69.822500000000005</v>
      </c>
      <c r="C899" s="4">
        <f>69.6389 * CHOOSE(CONTROL!$C$10, $C$13, 100%, $E$13) + CHOOSE(CONTROL!$C$29, 0.0274, 0)</f>
        <v>69.666300000000007</v>
      </c>
      <c r="D899" s="4">
        <f>86.3515 * CHOOSE(CONTROL!$C$10, $C$13, 100%, $E$13) + CHOOSE(CONTROL!$C$29, 0.0021, 0)</f>
        <v>86.3536</v>
      </c>
      <c r="E899" s="4">
        <f>450.363111004272 * CHOOSE(CONTROL!$C$10, $C$13, 100%, $E$13) + CHOOSE(CONTROL!$C$29, 0.0021, 0)</f>
        <v>450.365211004272</v>
      </c>
    </row>
    <row r="900" spans="1:5" ht="15">
      <c r="A900" s="13">
        <v>68545</v>
      </c>
      <c r="B900" s="4">
        <f>71.4514 * CHOOSE(CONTROL!$C$10, $C$13, 100%, $E$13) + CHOOSE(CONTROL!$C$29, 0.0274, 0)</f>
        <v>71.478800000000007</v>
      </c>
      <c r="C900" s="4">
        <f>71.2951 * CHOOSE(CONTROL!$C$10, $C$13, 100%, $E$13) + CHOOSE(CONTROL!$C$29, 0.0274, 0)</f>
        <v>71.322500000000005</v>
      </c>
      <c r="D900" s="4">
        <f>85.4472 * CHOOSE(CONTROL!$C$10, $C$13, 100%, $E$13) + CHOOSE(CONTROL!$C$29, 0.0021, 0)</f>
        <v>85.449299999999994</v>
      </c>
      <c r="E900" s="4">
        <f>461.145746735444 * CHOOSE(CONTROL!$C$10, $C$13, 100%, $E$13) + CHOOSE(CONTROL!$C$29, 0.0021, 0)</f>
        <v>461.14784673544398</v>
      </c>
    </row>
    <row r="901" spans="1:5" ht="15">
      <c r="A901" s="13">
        <v>68575</v>
      </c>
      <c r="B901" s="4">
        <f>68.6286 * CHOOSE(CONTROL!$C$10, $C$13, 100%, $E$13) + CHOOSE(CONTROL!$C$29, 0.0274, 0)</f>
        <v>68.656000000000006</v>
      </c>
      <c r="C901" s="4">
        <f>68.4723 * CHOOSE(CONTROL!$C$10, $C$13, 100%, $E$13) + CHOOSE(CONTROL!$C$29, 0.0274, 0)</f>
        <v>68.499700000000004</v>
      </c>
      <c r="D901" s="4">
        <f>85.0199 * CHOOSE(CONTROL!$C$10, $C$13, 100%, $E$13) + CHOOSE(CONTROL!$C$29, 0.0021, 0)</f>
        <v>85.022000000000006</v>
      </c>
      <c r="E901" s="4">
        <f>442.768696469361 * CHOOSE(CONTROL!$C$10, $C$13, 100%, $E$13) + CHOOSE(CONTROL!$C$29, 0.0021, 0)</f>
        <v>442.77079646936096</v>
      </c>
    </row>
    <row r="902" spans="1:5" ht="15">
      <c r="A902" s="13">
        <v>68606</v>
      </c>
      <c r="B902" s="4">
        <f>66.3689 * CHOOSE(CONTROL!$C$10, $C$13, 100%, $E$13) + CHOOSE(CONTROL!$C$29, 0.0274, 0)</f>
        <v>66.396299999999997</v>
      </c>
      <c r="C902" s="4">
        <f>66.2126 * CHOOSE(CONTROL!$C$10, $C$13, 100%, $E$13) + CHOOSE(CONTROL!$C$29, 0.0274, 0)</f>
        <v>66.239999999999995</v>
      </c>
      <c r="D902" s="4">
        <f>83.8759 * CHOOSE(CONTROL!$C$10, $C$13, 100%, $E$13) + CHOOSE(CONTROL!$C$29, 0.0021, 0)</f>
        <v>83.878</v>
      </c>
      <c r="E902" s="4">
        <f>428.057503533809 * CHOOSE(CONTROL!$C$10, $C$13, 100%, $E$13) + CHOOSE(CONTROL!$C$29, 0.0021, 0)</f>
        <v>428.05960353380897</v>
      </c>
    </row>
    <row r="903" spans="1:5" ht="15">
      <c r="A903" s="13">
        <v>68636</v>
      </c>
      <c r="B903" s="4">
        <f>64.9134 * CHOOSE(CONTROL!$C$10, $C$13, 100%, $E$13) + CHOOSE(CONTROL!$C$29, 0.0274, 0)</f>
        <v>64.940799999999996</v>
      </c>
      <c r="C903" s="4">
        <f>64.7572 * CHOOSE(CONTROL!$C$10, $C$13, 100%, $E$13) + CHOOSE(CONTROL!$C$29, 0.0274, 0)</f>
        <v>64.784599999999998</v>
      </c>
      <c r="D903" s="4">
        <f>83.4826 * CHOOSE(CONTROL!$C$10, $C$13, 100%, $E$13) + CHOOSE(CONTROL!$C$29, 0.0021, 0)</f>
        <v>83.484700000000004</v>
      </c>
      <c r="E903" s="4">
        <f>418.582396720205 * CHOOSE(CONTROL!$C$10, $C$13, 100%, $E$13) + CHOOSE(CONTROL!$C$29, 0.0021, 0)</f>
        <v>418.58449672020498</v>
      </c>
    </row>
    <row r="904" spans="1:5" ht="15">
      <c r="A904" s="13">
        <v>68667</v>
      </c>
      <c r="B904" s="4">
        <f>63.9065 * CHOOSE(CONTROL!$C$10, $C$13, 100%, $E$13) + CHOOSE(CONTROL!$C$29, 0.0274, 0)</f>
        <v>63.933900000000001</v>
      </c>
      <c r="C904" s="4">
        <f>63.7502 * CHOOSE(CONTROL!$C$10, $C$13, 100%, $E$13) + CHOOSE(CONTROL!$C$29, 0.0274, 0)</f>
        <v>63.7776</v>
      </c>
      <c r="D904" s="4">
        <f>80.5871 * CHOOSE(CONTROL!$C$10, $C$13, 100%, $E$13) + CHOOSE(CONTROL!$C$29, 0.0021, 0)</f>
        <v>80.589200000000005</v>
      </c>
      <c r="E904" s="4">
        <f>412.026840777334 * CHOOSE(CONTROL!$C$10, $C$13, 100%, $E$13) + CHOOSE(CONTROL!$C$29, 0.0021, 0)</f>
        <v>412.02894077733396</v>
      </c>
    </row>
    <row r="905" spans="1:5" ht="15">
      <c r="A905" s="13">
        <v>68698</v>
      </c>
      <c r="B905" s="4">
        <f>61.2672 * CHOOSE(CONTROL!$C$10, $C$13, 100%, $E$13) + CHOOSE(CONTROL!$C$29, 0.0274, 0)</f>
        <v>61.294600000000003</v>
      </c>
      <c r="C905" s="4">
        <f>61.111 * CHOOSE(CONTROL!$C$10, $C$13, 100%, $E$13) + CHOOSE(CONTROL!$C$29, 0.0274, 0)</f>
        <v>61.138399999999997</v>
      </c>
      <c r="D905" s="4">
        <f>77.2534 * CHOOSE(CONTROL!$C$10, $C$13, 100%, $E$13) + CHOOSE(CONTROL!$C$29, 0.0021, 0)</f>
        <v>77.255499999999998</v>
      </c>
      <c r="E905" s="4">
        <f>394.864248624923 * CHOOSE(CONTROL!$C$10, $C$13, 100%, $E$13) + CHOOSE(CONTROL!$C$29, 0.0021, 0)</f>
        <v>394.86634862492298</v>
      </c>
    </row>
    <row r="906" spans="1:5" ht="15">
      <c r="A906" s="13">
        <v>68727</v>
      </c>
      <c r="B906" s="4">
        <f>62.7073 * CHOOSE(CONTROL!$C$10, $C$13, 100%, $E$13) + CHOOSE(CONTROL!$C$29, 0.0274, 0)</f>
        <v>62.734699999999997</v>
      </c>
      <c r="C906" s="4">
        <f>62.5511 * CHOOSE(CONTROL!$C$10, $C$13, 100%, $E$13) + CHOOSE(CONTROL!$C$29, 0.0274, 0)</f>
        <v>62.578499999999998</v>
      </c>
      <c r="D906" s="4">
        <f>79.9096 * CHOOSE(CONTROL!$C$10, $C$13, 100%, $E$13) + CHOOSE(CONTROL!$C$29, 0.0021, 0)</f>
        <v>79.911699999999996</v>
      </c>
      <c r="E906" s="4">
        <f>404.239882011524 * CHOOSE(CONTROL!$C$10, $C$13, 100%, $E$13) + CHOOSE(CONTROL!$C$29, 0.0021, 0)</f>
        <v>404.24198201152399</v>
      </c>
    </row>
    <row r="907" spans="1:5" ht="15">
      <c r="A907" s="13">
        <v>68758</v>
      </c>
      <c r="B907" s="4">
        <f>66.489 * CHOOSE(CONTROL!$C$10, $C$13, 100%, $E$13) + CHOOSE(CONTROL!$C$29, 0.0274, 0)</f>
        <v>66.516400000000004</v>
      </c>
      <c r="C907" s="4">
        <f>66.3328 * CHOOSE(CONTROL!$C$10, $C$13, 100%, $E$13) + CHOOSE(CONTROL!$C$29, 0.0274, 0)</f>
        <v>66.360200000000006</v>
      </c>
      <c r="D907" s="4">
        <f>84.0676 * CHOOSE(CONTROL!$C$10, $C$13, 100%, $E$13) + CHOOSE(CONTROL!$C$29, 0.0021, 0)</f>
        <v>84.069699999999997</v>
      </c>
      <c r="E907" s="4">
        <f>428.860793536156 * CHOOSE(CONTROL!$C$10, $C$13, 100%, $E$13) + CHOOSE(CONTROL!$C$29, 0.0021, 0)</f>
        <v>428.86289353615598</v>
      </c>
    </row>
    <row r="908" spans="1:5" ht="15">
      <c r="A908" s="13">
        <v>68788</v>
      </c>
      <c r="B908" s="4">
        <f>69.176 * CHOOSE(CONTROL!$C$10, $C$13, 100%, $E$13) + CHOOSE(CONTROL!$C$29, 0.0274, 0)</f>
        <v>69.203400000000002</v>
      </c>
      <c r="C908" s="4">
        <f>69.0197 * CHOOSE(CONTROL!$C$10, $C$13, 100%, $E$13) + CHOOSE(CONTROL!$C$29, 0.0274, 0)</f>
        <v>69.0471</v>
      </c>
      <c r="D908" s="4">
        <f>86.4628 * CHOOSE(CONTROL!$C$10, $C$13, 100%, $E$13) + CHOOSE(CONTROL!$C$29, 0.0021, 0)</f>
        <v>86.4649</v>
      </c>
      <c r="E908" s="4">
        <f>446.354279291194 * CHOOSE(CONTROL!$C$10, $C$13, 100%, $E$13) + CHOOSE(CONTROL!$C$29, 0.0021, 0)</f>
        <v>446.356379291194</v>
      </c>
    </row>
    <row r="909" spans="1:5" ht="15">
      <c r="A909" s="13">
        <v>68819</v>
      </c>
      <c r="B909" s="4">
        <f>70.8176 * CHOOSE(CONTROL!$C$10, $C$13, 100%, $E$13) + CHOOSE(CONTROL!$C$29, 0.0274, 0)</f>
        <v>70.844999999999999</v>
      </c>
      <c r="C909" s="4">
        <f>70.6614 * CHOOSE(CONTROL!$C$10, $C$13, 100%, $E$13) + CHOOSE(CONTROL!$C$29, 0.0274, 0)</f>
        <v>70.688800000000001</v>
      </c>
      <c r="D909" s="4">
        <f>85.5163 * CHOOSE(CONTROL!$C$10, $C$13, 100%, $E$13) + CHOOSE(CONTROL!$C$29, 0.0021, 0)</f>
        <v>85.5184</v>
      </c>
      <c r="E909" s="4">
        <f>457.042379827183 * CHOOSE(CONTROL!$C$10, $C$13, 100%, $E$13) + CHOOSE(CONTROL!$C$29, 0.0021, 0)</f>
        <v>457.04447982718301</v>
      </c>
    </row>
    <row r="910" spans="1:5" ht="15">
      <c r="A910" s="13">
        <v>68849</v>
      </c>
      <c r="B910" s="4">
        <f>71.0398 * CHOOSE(CONTROL!$C$10, $C$13, 100%, $E$13) + CHOOSE(CONTROL!$C$29, 0.0274, 0)</f>
        <v>71.0672</v>
      </c>
      <c r="C910" s="4">
        <f>70.8835 * CHOOSE(CONTROL!$C$10, $C$13, 100%, $E$13) + CHOOSE(CONTROL!$C$29, 0.0274, 0)</f>
        <v>70.910899999999998</v>
      </c>
      <c r="D910" s="4">
        <f>86.2872 * CHOOSE(CONTROL!$C$10, $C$13, 100%, $E$13) + CHOOSE(CONTROL!$C$29, 0.0021, 0)</f>
        <v>86.289299999999997</v>
      </c>
      <c r="E910" s="4">
        <f>458.488524186231 * CHOOSE(CONTROL!$C$10, $C$13, 100%, $E$13) + CHOOSE(CONTROL!$C$29, 0.0021, 0)</f>
        <v>458.490624186231</v>
      </c>
    </row>
    <row r="911" spans="1:5" ht="15">
      <c r="A911" s="13">
        <v>68880</v>
      </c>
      <c r="B911" s="4">
        <f>71.0174 * CHOOSE(CONTROL!$C$10, $C$13, 100%, $E$13) + CHOOSE(CONTROL!$C$29, 0.0274, 0)</f>
        <v>71.044799999999995</v>
      </c>
      <c r="C911" s="4">
        <f>70.8611 * CHOOSE(CONTROL!$C$10, $C$13, 100%, $E$13) + CHOOSE(CONTROL!$C$29, 0.0274, 0)</f>
        <v>70.888499999999993</v>
      </c>
      <c r="D911" s="4">
        <f>87.678 * CHOOSE(CONTROL!$C$10, $C$13, 100%, $E$13) + CHOOSE(CONTROL!$C$29, 0.0021, 0)</f>
        <v>87.680099999999996</v>
      </c>
      <c r="E911" s="4">
        <f>458.342694502965 * CHOOSE(CONTROL!$C$10, $C$13, 100%, $E$13) + CHOOSE(CONTROL!$C$29, 0.0021, 0)</f>
        <v>458.34479450296499</v>
      </c>
    </row>
    <row r="912" spans="1:5" ht="15">
      <c r="A912" s="13">
        <v>68911</v>
      </c>
      <c r="B912" s="4">
        <f>72.7029 * CHOOSE(CONTROL!$C$10, $C$13, 100%, $E$13) + CHOOSE(CONTROL!$C$29, 0.0274, 0)</f>
        <v>72.7303</v>
      </c>
      <c r="C912" s="4">
        <f>72.5466 * CHOOSE(CONTROL!$C$10, $C$13, 100%, $E$13) + CHOOSE(CONTROL!$C$29, 0.0274, 0)</f>
        <v>72.573999999999998</v>
      </c>
      <c r="D912" s="4">
        <f>86.7595 * CHOOSE(CONTROL!$C$10, $C$13, 100%, $E$13) + CHOOSE(CONTROL!$C$29, 0.0021, 0)</f>
        <v>86.761600000000001</v>
      </c>
      <c r="E912" s="4">
        <f>469.316378168682 * CHOOSE(CONTROL!$C$10, $C$13, 100%, $E$13) + CHOOSE(CONTROL!$C$29, 0.0021, 0)</f>
        <v>469.31847816868196</v>
      </c>
    </row>
    <row r="913" spans="1:5" ht="15">
      <c r="A913" s="13">
        <v>68941</v>
      </c>
      <c r="B913" s="4">
        <f>69.8302 * CHOOSE(CONTROL!$C$10, $C$13, 100%, $E$13) + CHOOSE(CONTROL!$C$29, 0.0274, 0)</f>
        <v>69.857600000000005</v>
      </c>
      <c r="C913" s="4">
        <f>69.674 * CHOOSE(CONTROL!$C$10, $C$13, 100%, $E$13) + CHOOSE(CONTROL!$C$29, 0.0274, 0)</f>
        <v>69.701400000000007</v>
      </c>
      <c r="D913" s="4">
        <f>86.3255 * CHOOSE(CONTROL!$C$10, $C$13, 100%, $E$13) + CHOOSE(CONTROL!$C$29, 0.0021, 0)</f>
        <v>86.327600000000004</v>
      </c>
      <c r="E913" s="4">
        <f>450.613721289902 * CHOOSE(CONTROL!$C$10, $C$13, 100%, $E$13) + CHOOSE(CONTROL!$C$29, 0.0021, 0)</f>
        <v>450.61582128990199</v>
      </c>
    </row>
    <row r="914" spans="1:5" ht="15">
      <c r="A914" s="13">
        <v>68972</v>
      </c>
      <c r="B914" s="4">
        <f>67.5306 * CHOOSE(CONTROL!$C$10, $C$13, 100%, $E$13) + CHOOSE(CONTROL!$C$29, 0.0274, 0)</f>
        <v>67.558000000000007</v>
      </c>
      <c r="C914" s="4">
        <f>67.3743 * CHOOSE(CONTROL!$C$10, $C$13, 100%, $E$13) + CHOOSE(CONTROL!$C$29, 0.0274, 0)</f>
        <v>67.401700000000005</v>
      </c>
      <c r="D914" s="4">
        <f>85.1635 * CHOOSE(CONTROL!$C$10, $C$13, 100%, $E$13) + CHOOSE(CONTROL!$C$29, 0.0021, 0)</f>
        <v>85.165599999999998</v>
      </c>
      <c r="E914" s="4">
        <f>435.641873807994 * CHOOSE(CONTROL!$C$10, $C$13, 100%, $E$13) + CHOOSE(CONTROL!$C$29, 0.0021, 0)</f>
        <v>435.64397380799397</v>
      </c>
    </row>
    <row r="915" spans="1:5" ht="15">
      <c r="A915" s="13">
        <v>69002</v>
      </c>
      <c r="B915" s="4">
        <f>66.0494 * CHOOSE(CONTROL!$C$10, $C$13, 100%, $E$13) + CHOOSE(CONTROL!$C$29, 0.0274, 0)</f>
        <v>66.076800000000006</v>
      </c>
      <c r="C915" s="4">
        <f>65.8932 * CHOOSE(CONTROL!$C$10, $C$13, 100%, $E$13) + CHOOSE(CONTROL!$C$29, 0.0274, 0)</f>
        <v>65.920599999999993</v>
      </c>
      <c r="D915" s="4">
        <f>84.764 * CHOOSE(CONTROL!$C$10, $C$13, 100%, $E$13) + CHOOSE(CONTROL!$C$29, 0.0021, 0)</f>
        <v>84.766099999999994</v>
      </c>
      <c r="E915" s="4">
        <f>425.998886002073 * CHOOSE(CONTROL!$C$10, $C$13, 100%, $E$13) + CHOOSE(CONTROL!$C$29, 0.0021, 0)</f>
        <v>426.00098600207298</v>
      </c>
    </row>
    <row r="916" spans="1:5" ht="15">
      <c r="A916" s="13">
        <v>69033</v>
      </c>
      <c r="B916" s="4">
        <f>65.0247 * CHOOSE(CONTROL!$C$10, $C$13, 100%, $E$13) + CHOOSE(CONTROL!$C$29, 0.0274, 0)</f>
        <v>65.052099999999996</v>
      </c>
      <c r="C916" s="4">
        <f>64.8684 * CHOOSE(CONTROL!$C$10, $C$13, 100%, $E$13) + CHOOSE(CONTROL!$C$29, 0.0274, 0)</f>
        <v>64.895799999999994</v>
      </c>
      <c r="D916" s="4">
        <f>81.823 * CHOOSE(CONTROL!$C$10, $C$13, 100%, $E$13) + CHOOSE(CONTROL!$C$29, 0.0021, 0)</f>
        <v>81.825099999999992</v>
      </c>
      <c r="E916" s="4">
        <f>419.327177992684 * CHOOSE(CONTROL!$C$10, $C$13, 100%, $E$13) + CHOOSE(CONTROL!$C$29, 0.0021, 0)</f>
        <v>419.32927799268401</v>
      </c>
    </row>
    <row r="917" spans="1:5" ht="15">
      <c r="A917" s="13">
        <v>69064</v>
      </c>
      <c r="B917" s="4">
        <f>62.3388 * CHOOSE(CONTROL!$C$10, $C$13, 100%, $E$13) + CHOOSE(CONTROL!$C$29, 0.0274, 0)</f>
        <v>62.366199999999999</v>
      </c>
      <c r="C917" s="4">
        <f>62.1826 * CHOOSE(CONTROL!$C$10, $C$13, 100%, $E$13) + CHOOSE(CONTROL!$C$29, 0.0274, 0)</f>
        <v>62.21</v>
      </c>
      <c r="D917" s="4">
        <f>78.4369 * CHOOSE(CONTROL!$C$10, $C$13, 100%, $E$13) + CHOOSE(CONTROL!$C$29, 0.0021, 0)</f>
        <v>78.438999999999993</v>
      </c>
      <c r="E917" s="4">
        <f>401.86049713099 * CHOOSE(CONTROL!$C$10, $C$13, 100%, $E$13) + CHOOSE(CONTROL!$C$29, 0.0021, 0)</f>
        <v>401.86259713098997</v>
      </c>
    </row>
    <row r="918" spans="1:5" ht="15">
      <c r="A918" s="13">
        <v>69092</v>
      </c>
      <c r="B918" s="4">
        <f>63.8043 * CHOOSE(CONTROL!$C$10, $C$13, 100%, $E$13) + CHOOSE(CONTROL!$C$29, 0.0274, 0)</f>
        <v>63.831699999999998</v>
      </c>
      <c r="C918" s="4">
        <f>63.6481 * CHOOSE(CONTROL!$C$10, $C$13, 100%, $E$13) + CHOOSE(CONTROL!$C$29, 0.0274, 0)</f>
        <v>63.6755</v>
      </c>
      <c r="D918" s="4">
        <f>81.1348 * CHOOSE(CONTROL!$C$10, $C$13, 100%, $E$13) + CHOOSE(CONTROL!$C$29, 0.0021, 0)</f>
        <v>81.136899999999997</v>
      </c>
      <c r="E918" s="4">
        <f>411.402249028707 * CHOOSE(CONTROL!$C$10, $C$13, 100%, $E$13) + CHOOSE(CONTROL!$C$29, 0.0021, 0)</f>
        <v>411.40434902870697</v>
      </c>
    </row>
    <row r="919" spans="1:5" ht="15">
      <c r="A919" s="13">
        <v>69123</v>
      </c>
      <c r="B919" s="4">
        <f>67.6529 * CHOOSE(CONTROL!$C$10, $C$13, 100%, $E$13) + CHOOSE(CONTROL!$C$29, 0.0274, 0)</f>
        <v>67.680300000000003</v>
      </c>
      <c r="C919" s="4">
        <f>67.4966 * CHOOSE(CONTROL!$C$10, $C$13, 100%, $E$13) + CHOOSE(CONTROL!$C$29, 0.0274, 0)</f>
        <v>67.524000000000001</v>
      </c>
      <c r="D919" s="4">
        <f>85.3582 * CHOOSE(CONTROL!$C$10, $C$13, 100%, $E$13) + CHOOSE(CONTROL!$C$29, 0.0021, 0)</f>
        <v>85.360299999999995</v>
      </c>
      <c r="E919" s="4">
        <f>436.459396591602 * CHOOSE(CONTROL!$C$10, $C$13, 100%, $E$13) + CHOOSE(CONTROL!$C$29, 0.0021, 0)</f>
        <v>436.46149659160199</v>
      </c>
    </row>
    <row r="920" spans="1:5" ht="15">
      <c r="A920" s="13">
        <v>69153</v>
      </c>
      <c r="B920" s="4">
        <f>70.3873 * CHOOSE(CONTROL!$C$10, $C$13, 100%, $E$13) + CHOOSE(CONTROL!$C$29, 0.0274, 0)</f>
        <v>70.414699999999996</v>
      </c>
      <c r="C920" s="4">
        <f>70.231 * CHOOSE(CONTROL!$C$10, $C$13, 100%, $E$13) + CHOOSE(CONTROL!$C$29, 0.0274, 0)</f>
        <v>70.258399999999995</v>
      </c>
      <c r="D920" s="4">
        <f>87.7911 * CHOOSE(CONTROL!$C$10, $C$13, 100%, $E$13) + CHOOSE(CONTROL!$C$29, 0.0021, 0)</f>
        <v>87.793199999999999</v>
      </c>
      <c r="E920" s="4">
        <f>454.262833865436 * CHOOSE(CONTROL!$C$10, $C$13, 100%, $E$13) + CHOOSE(CONTROL!$C$29, 0.0021, 0)</f>
        <v>454.26493386543598</v>
      </c>
    </row>
    <row r="921" spans="1:5" ht="15">
      <c r="A921" s="13">
        <v>69184</v>
      </c>
      <c r="B921" s="4">
        <f>72.058 * CHOOSE(CONTROL!$C$10, $C$13, 100%, $E$13) + CHOOSE(CONTROL!$C$29, 0.0274, 0)</f>
        <v>72.085400000000007</v>
      </c>
      <c r="C921" s="4">
        <f>71.9017 * CHOOSE(CONTROL!$C$10, $C$13, 100%, $E$13) + CHOOSE(CONTROL!$C$29, 0.0274, 0)</f>
        <v>71.929100000000005</v>
      </c>
      <c r="D921" s="4">
        <f>86.8297 * CHOOSE(CONTROL!$C$10, $C$13, 100%, $E$13) + CHOOSE(CONTROL!$C$29, 0.0021, 0)</f>
        <v>86.831800000000001</v>
      </c>
      <c r="E921" s="4">
        <f>465.140307350909 * CHOOSE(CONTROL!$C$10, $C$13, 100%, $E$13) + CHOOSE(CONTROL!$C$29, 0.0021, 0)</f>
        <v>465.14240735090897</v>
      </c>
    </row>
    <row r="922" spans="1:5" ht="15">
      <c r="A922" s="13">
        <v>69214</v>
      </c>
      <c r="B922" s="4">
        <f>72.284 * CHOOSE(CONTROL!$C$10, $C$13, 100%, $E$13) + CHOOSE(CONTROL!$C$29, 0.0274, 0)</f>
        <v>72.311400000000006</v>
      </c>
      <c r="C922" s="4">
        <f>72.1278 * CHOOSE(CONTROL!$C$10, $C$13, 100%, $E$13) + CHOOSE(CONTROL!$C$29, 0.0274, 0)</f>
        <v>72.155199999999994</v>
      </c>
      <c r="D922" s="4">
        <f>87.6126 * CHOOSE(CONTROL!$C$10, $C$13, 100%, $E$13) + CHOOSE(CONTROL!$C$29, 0.0021, 0)</f>
        <v>87.614699999999999</v>
      </c>
      <c r="E922" s="4">
        <f>466.612074655935 * CHOOSE(CONTROL!$C$10, $C$13, 100%, $E$13) + CHOOSE(CONTROL!$C$29, 0.0021, 0)</f>
        <v>466.61417465593496</v>
      </c>
    </row>
    <row r="923" spans="1:5" ht="15">
      <c r="A923" s="13">
        <v>69245</v>
      </c>
      <c r="B923" s="4">
        <f>72.2612 * CHOOSE(CONTROL!$C$10, $C$13, 100%, $E$13) + CHOOSE(CONTROL!$C$29, 0.0274, 0)</f>
        <v>72.288600000000002</v>
      </c>
      <c r="C923" s="4">
        <f>72.105 * CHOOSE(CONTROL!$C$10, $C$13, 100%, $E$13) + CHOOSE(CONTROL!$C$29, 0.0274, 0)</f>
        <v>72.132400000000004</v>
      </c>
      <c r="D923" s="4">
        <f>89.0253 * CHOOSE(CONTROL!$C$10, $C$13, 100%, $E$13) + CHOOSE(CONTROL!$C$29, 0.0021, 0)</f>
        <v>89.0274</v>
      </c>
      <c r="E923" s="4">
        <f>466.463661146185 * CHOOSE(CONTROL!$C$10, $C$13, 100%, $E$13) + CHOOSE(CONTROL!$C$29, 0.0021, 0)</f>
        <v>466.465761146185</v>
      </c>
    </row>
    <row r="924" spans="1:5" ht="15">
      <c r="A924" s="13">
        <v>69276</v>
      </c>
      <c r="B924" s="4">
        <f>73.9765 * CHOOSE(CONTROL!$C$10, $C$13, 100%, $E$13) + CHOOSE(CONTROL!$C$29, 0.0274, 0)</f>
        <v>74.003900000000002</v>
      </c>
      <c r="C924" s="4">
        <f>73.8203 * CHOOSE(CONTROL!$C$10, $C$13, 100%, $E$13) + CHOOSE(CONTROL!$C$29, 0.0274, 0)</f>
        <v>73.847700000000003</v>
      </c>
      <c r="D924" s="4">
        <f>88.0924 * CHOOSE(CONTROL!$C$10, $C$13, 100%, $E$13) + CHOOSE(CONTROL!$C$29, 0.0021, 0)</f>
        <v>88.094499999999996</v>
      </c>
      <c r="E924" s="4">
        <f>477.631777754919 * CHOOSE(CONTROL!$C$10, $C$13, 100%, $E$13) + CHOOSE(CONTROL!$C$29, 0.0021, 0)</f>
        <v>477.63387775491901</v>
      </c>
    </row>
    <row r="925" spans="1:5" ht="15">
      <c r="A925" s="13">
        <v>69306</v>
      </c>
      <c r="B925" s="4">
        <f>71.0531 * CHOOSE(CONTROL!$C$10, $C$13, 100%, $E$13) + CHOOSE(CONTROL!$C$29, 0.0274, 0)</f>
        <v>71.080500000000001</v>
      </c>
      <c r="C925" s="4">
        <f>70.8968 * CHOOSE(CONTROL!$C$10, $C$13, 100%, $E$13) + CHOOSE(CONTROL!$C$29, 0.0274, 0)</f>
        <v>70.924199999999999</v>
      </c>
      <c r="D925" s="4">
        <f>87.6516 * CHOOSE(CONTROL!$C$10, $C$13, 100%, $E$13) + CHOOSE(CONTROL!$C$29, 0.0021, 0)</f>
        <v>87.653700000000001</v>
      </c>
      <c r="E925" s="4">
        <f>458.597745129402 * CHOOSE(CONTROL!$C$10, $C$13, 100%, $E$13) + CHOOSE(CONTROL!$C$29, 0.0021, 0)</f>
        <v>458.59984512940201</v>
      </c>
    </row>
    <row r="926" spans="1:5" ht="15">
      <c r="A926" s="13">
        <v>69337</v>
      </c>
      <c r="B926" s="4">
        <f>68.7128 * CHOOSE(CONTROL!$C$10, $C$13, 100%, $E$13) + CHOOSE(CONTROL!$C$29, 0.0274, 0)</f>
        <v>68.740200000000002</v>
      </c>
      <c r="C926" s="4">
        <f>68.5566 * CHOOSE(CONTROL!$C$10, $C$13, 100%, $E$13) + CHOOSE(CONTROL!$C$29, 0.0274, 0)</f>
        <v>68.584000000000003</v>
      </c>
      <c r="D926" s="4">
        <f>86.4713 * CHOOSE(CONTROL!$C$10, $C$13, 100%, $E$13) + CHOOSE(CONTROL!$C$29, 0.0021, 0)</f>
        <v>86.473399999999998</v>
      </c>
      <c r="E926" s="4">
        <f>443.360624795006 * CHOOSE(CONTROL!$C$10, $C$13, 100%, $E$13) + CHOOSE(CONTROL!$C$29, 0.0021, 0)</f>
        <v>443.36272479500599</v>
      </c>
    </row>
    <row r="927" spans="1:5" ht="15">
      <c r="A927" s="13">
        <v>69367</v>
      </c>
      <c r="B927" s="4">
        <f>67.2055 * CHOOSE(CONTROL!$C$10, $C$13, 100%, $E$13) + CHOOSE(CONTROL!$C$29, 0.0274, 0)</f>
        <v>67.232900000000001</v>
      </c>
      <c r="C927" s="4">
        <f>67.0493 * CHOOSE(CONTROL!$C$10, $C$13, 100%, $E$13) + CHOOSE(CONTROL!$C$29, 0.0274, 0)</f>
        <v>67.076700000000002</v>
      </c>
      <c r="D927" s="4">
        <f>86.0656 * CHOOSE(CONTROL!$C$10, $C$13, 100%, $E$13) + CHOOSE(CONTROL!$C$29, 0.0021, 0)</f>
        <v>86.067700000000002</v>
      </c>
      <c r="E927" s="4">
        <f>433.546781462746 * CHOOSE(CONTROL!$C$10, $C$13, 100%, $E$13) + CHOOSE(CONTROL!$C$29, 0.0021, 0)</f>
        <v>433.54888146274601</v>
      </c>
    </row>
    <row r="928" spans="1:5" ht="15">
      <c r="A928" s="13">
        <v>69398</v>
      </c>
      <c r="B928" s="4">
        <f>66.1626 * CHOOSE(CONTROL!$C$10, $C$13, 100%, $E$13) + CHOOSE(CONTROL!$C$29, 0.0274, 0)</f>
        <v>66.19</v>
      </c>
      <c r="C928" s="4">
        <f>66.0064 * CHOOSE(CONTROL!$C$10, $C$13, 100%, $E$13) + CHOOSE(CONTROL!$C$29, 0.0274, 0)</f>
        <v>66.033799999999999</v>
      </c>
      <c r="D928" s="4">
        <f>83.0782 * CHOOSE(CONTROL!$C$10, $C$13, 100%, $E$13) + CHOOSE(CONTROL!$C$29, 0.0021, 0)</f>
        <v>83.080299999999994</v>
      </c>
      <c r="E928" s="4">
        <f>426.756863391656 * CHOOSE(CONTROL!$C$10, $C$13, 100%, $E$13) + CHOOSE(CONTROL!$C$29, 0.0021, 0)</f>
        <v>426.75896339165598</v>
      </c>
    </row>
    <row r="929" spans="1:5" ht="15">
      <c r="A929" s="13">
        <v>69429</v>
      </c>
      <c r="B929" s="4">
        <f>63.4293 * CHOOSE(CONTROL!$C$10, $C$13, 100%, $E$13) + CHOOSE(CONTROL!$C$29, 0.0274, 0)</f>
        <v>63.456699999999998</v>
      </c>
      <c r="C929" s="4">
        <f>63.2731 * CHOOSE(CONTROL!$C$10, $C$13, 100%, $E$13) + CHOOSE(CONTROL!$C$29, 0.0274, 0)</f>
        <v>63.3005</v>
      </c>
      <c r="D929" s="4">
        <f>79.6389 * CHOOSE(CONTROL!$C$10, $C$13, 100%, $E$13) + CHOOSE(CONTROL!$C$29, 0.0021, 0)</f>
        <v>79.641000000000005</v>
      </c>
      <c r="E929" s="4">
        <f>408.980705943235 * CHOOSE(CONTROL!$C$10, $C$13, 100%, $E$13) + CHOOSE(CONTROL!$C$29, 0.0021, 0)</f>
        <v>408.98280594323501</v>
      </c>
    </row>
    <row r="930" spans="1:5" ht="15">
      <c r="A930" s="13">
        <v>69457</v>
      </c>
      <c r="B930" s="4">
        <f>64.9207 * CHOOSE(CONTROL!$C$10, $C$13, 100%, $E$13) + CHOOSE(CONTROL!$C$29, 0.0274, 0)</f>
        <v>64.948099999999997</v>
      </c>
      <c r="C930" s="4">
        <f>64.7645 * CHOOSE(CONTROL!$C$10, $C$13, 100%, $E$13) + CHOOSE(CONTROL!$C$29, 0.0274, 0)</f>
        <v>64.791899999999998</v>
      </c>
      <c r="D930" s="4">
        <f>82.3793 * CHOOSE(CONTROL!$C$10, $C$13, 100%, $E$13) + CHOOSE(CONTROL!$C$29, 0.0021, 0)</f>
        <v>82.381399999999999</v>
      </c>
      <c r="E930" s="4">
        <f>418.691519658253 * CHOOSE(CONTROL!$C$10, $C$13, 100%, $E$13) + CHOOSE(CONTROL!$C$29, 0.0021, 0)</f>
        <v>418.693619658253</v>
      </c>
    </row>
    <row r="931" spans="1:5" ht="15">
      <c r="A931" s="13">
        <v>69488</v>
      </c>
      <c r="B931" s="4">
        <f>68.8373 * CHOOSE(CONTROL!$C$10, $C$13, 100%, $E$13) + CHOOSE(CONTROL!$C$29, 0.0274, 0)</f>
        <v>68.864699999999999</v>
      </c>
      <c r="C931" s="4">
        <f>68.681 * CHOOSE(CONTROL!$C$10, $C$13, 100%, $E$13) + CHOOSE(CONTROL!$C$29, 0.0274, 0)</f>
        <v>68.708399999999997</v>
      </c>
      <c r="D931" s="4">
        <f>86.6691 * CHOOSE(CONTROL!$C$10, $C$13, 100%, $E$13) + CHOOSE(CONTROL!$C$29, 0.0021, 0)</f>
        <v>86.671199999999999</v>
      </c>
      <c r="E931" s="4">
        <f>444.192632537871 * CHOOSE(CONTROL!$C$10, $C$13, 100%, $E$13) + CHOOSE(CONTROL!$C$29, 0.0021, 0)</f>
        <v>444.194732537871</v>
      </c>
    </row>
    <row r="932" spans="1:5" ht="15">
      <c r="A932" s="13">
        <v>69518</v>
      </c>
      <c r="B932" s="4">
        <f>71.62 * CHOOSE(CONTROL!$C$10, $C$13, 100%, $E$13) + CHOOSE(CONTROL!$C$29, 0.0274, 0)</f>
        <v>71.647400000000005</v>
      </c>
      <c r="C932" s="4">
        <f>71.4638 * CHOOSE(CONTROL!$C$10, $C$13, 100%, $E$13) + CHOOSE(CONTROL!$C$29, 0.0274, 0)</f>
        <v>71.491200000000006</v>
      </c>
      <c r="D932" s="4">
        <f>89.1402 * CHOOSE(CONTROL!$C$10, $C$13, 100%, $E$13) + CHOOSE(CONTROL!$C$29, 0.0021, 0)</f>
        <v>89.142299999999992</v>
      </c>
      <c r="E932" s="4">
        <f>462.311513085853 * CHOOSE(CONTROL!$C$10, $C$13, 100%, $E$13) + CHOOSE(CONTROL!$C$29, 0.0021, 0)</f>
        <v>462.31361308585298</v>
      </c>
    </row>
    <row r="933" spans="1:5" ht="15">
      <c r="A933" s="13">
        <v>69549</v>
      </c>
      <c r="B933" s="4">
        <f>73.3202 * CHOOSE(CONTROL!$C$10, $C$13, 100%, $E$13) + CHOOSE(CONTROL!$C$29, 0.0274, 0)</f>
        <v>73.3476</v>
      </c>
      <c r="C933" s="4">
        <f>73.1639 * CHOOSE(CONTROL!$C$10, $C$13, 100%, $E$13) + CHOOSE(CONTROL!$C$29, 0.0274, 0)</f>
        <v>73.191299999999998</v>
      </c>
      <c r="D933" s="4">
        <f>88.1637 * CHOOSE(CONTROL!$C$10, $C$13, 100%, $E$13) + CHOOSE(CONTROL!$C$29, 0.0021, 0)</f>
        <v>88.165800000000004</v>
      </c>
      <c r="E933" s="4">
        <f>473.381714851709 * CHOOSE(CONTROL!$C$10, $C$13, 100%, $E$13) + CHOOSE(CONTROL!$C$29, 0.0021, 0)</f>
        <v>473.38381485170896</v>
      </c>
    </row>
    <row r="934" spans="1:5" ht="15">
      <c r="A934" s="13">
        <v>69579</v>
      </c>
      <c r="B934" s="4">
        <f>73.5502 * CHOOSE(CONTROL!$C$10, $C$13, 100%, $E$13) + CHOOSE(CONTROL!$C$29, 0.0274, 0)</f>
        <v>73.577600000000004</v>
      </c>
      <c r="C934" s="4">
        <f>73.394 * CHOOSE(CONTROL!$C$10, $C$13, 100%, $E$13) + CHOOSE(CONTROL!$C$29, 0.0274, 0)</f>
        <v>73.421400000000006</v>
      </c>
      <c r="D934" s="4">
        <f>88.959 * CHOOSE(CONTROL!$C$10, $C$13, 100%, $E$13) + CHOOSE(CONTROL!$C$29, 0.0021, 0)</f>
        <v>88.961100000000002</v>
      </c>
      <c r="E934" s="4">
        <f>474.87955909291 * CHOOSE(CONTROL!$C$10, $C$13, 100%, $E$13) + CHOOSE(CONTROL!$C$29, 0.0021, 0)</f>
        <v>474.88165909290996</v>
      </c>
    </row>
    <row r="935" spans="1:5" ht="15">
      <c r="A935" s="13">
        <v>69610</v>
      </c>
      <c r="B935" s="4">
        <f>73.527 * CHOOSE(CONTROL!$C$10, $C$13, 100%, $E$13) + CHOOSE(CONTROL!$C$29, 0.0274, 0)</f>
        <v>73.554400000000001</v>
      </c>
      <c r="C935" s="4">
        <f>73.3708 * CHOOSE(CONTROL!$C$10, $C$13, 100%, $E$13) + CHOOSE(CONTROL!$C$29, 0.0274, 0)</f>
        <v>73.398200000000003</v>
      </c>
      <c r="D935" s="4">
        <f>90.3939 * CHOOSE(CONTROL!$C$10, $C$13, 100%, $E$13) + CHOOSE(CONTROL!$C$29, 0.0021, 0)</f>
        <v>90.396000000000001</v>
      </c>
      <c r="E935" s="4">
        <f>474.72851597615 * CHOOSE(CONTROL!$C$10, $C$13, 100%, $E$13) + CHOOSE(CONTROL!$C$29, 0.0021, 0)</f>
        <v>474.73061597614998</v>
      </c>
    </row>
    <row r="936" spans="1:5" ht="15">
      <c r="A936" s="13">
        <v>69641</v>
      </c>
      <c r="B936" s="4">
        <f>75.2726 * CHOOSE(CONTROL!$C$10, $C$13, 100%, $E$13) + CHOOSE(CONTROL!$C$29, 0.0274, 0)</f>
        <v>75.3</v>
      </c>
      <c r="C936" s="4">
        <f>75.1164 * CHOOSE(CONTROL!$C$10, $C$13, 100%, $E$13) + CHOOSE(CONTROL!$C$29, 0.0274, 0)</f>
        <v>75.143799999999999</v>
      </c>
      <c r="D936" s="4">
        <f>89.4463 * CHOOSE(CONTROL!$C$10, $C$13, 100%, $E$13) + CHOOSE(CONTROL!$C$29, 0.0021, 0)</f>
        <v>89.448399999999992</v>
      </c>
      <c r="E936" s="4">
        <f>486.094510512328 * CHOOSE(CONTROL!$C$10, $C$13, 100%, $E$13) + CHOOSE(CONTROL!$C$29, 0.0021, 0)</f>
        <v>486.09661051232797</v>
      </c>
    </row>
    <row r="937" spans="1:5" ht="15">
      <c r="A937" s="13">
        <v>69671</v>
      </c>
      <c r="B937" s="4">
        <f>72.2976 * CHOOSE(CONTROL!$C$10, $C$13, 100%, $E$13) + CHOOSE(CONTROL!$C$29, 0.0274, 0)</f>
        <v>72.325000000000003</v>
      </c>
      <c r="C937" s="4">
        <f>72.1413 * CHOOSE(CONTROL!$C$10, $C$13, 100%, $E$13) + CHOOSE(CONTROL!$C$29, 0.0274, 0)</f>
        <v>72.168700000000001</v>
      </c>
      <c r="D937" s="4">
        <f>88.9985 * CHOOSE(CONTROL!$C$10, $C$13, 100%, $E$13) + CHOOSE(CONTROL!$C$29, 0.0021, 0)</f>
        <v>89.000600000000006</v>
      </c>
      <c r="E937" s="4">
        <f>466.723230787879 * CHOOSE(CONTROL!$C$10, $C$13, 100%, $E$13) + CHOOSE(CONTROL!$C$29, 0.0021, 0)</f>
        <v>466.72533078787899</v>
      </c>
    </row>
    <row r="938" spans="1:5" ht="15">
      <c r="A938" s="13">
        <v>69702</v>
      </c>
      <c r="B938" s="4">
        <f>69.9159 * CHOOSE(CONTROL!$C$10, $C$13, 100%, $E$13) + CHOOSE(CONTROL!$C$29, 0.0274, 0)</f>
        <v>69.943299999999994</v>
      </c>
      <c r="C938" s="4">
        <f>69.7597 * CHOOSE(CONTROL!$C$10, $C$13, 100%, $E$13) + CHOOSE(CONTROL!$C$29, 0.0274, 0)</f>
        <v>69.787099999999995</v>
      </c>
      <c r="D938" s="4">
        <f>87.7997 * CHOOSE(CONTROL!$C$10, $C$13, 100%, $E$13) + CHOOSE(CONTROL!$C$29, 0.0021, 0)</f>
        <v>87.8018</v>
      </c>
      <c r="E938" s="4">
        <f>451.216137467203 * CHOOSE(CONTROL!$C$10, $C$13, 100%, $E$13) + CHOOSE(CONTROL!$C$29, 0.0021, 0)</f>
        <v>451.21823746720298</v>
      </c>
    </row>
    <row r="939" spans="1:5" ht="15">
      <c r="A939" s="13">
        <v>69732</v>
      </c>
      <c r="B939" s="4">
        <f>68.382 * CHOOSE(CONTROL!$C$10, $C$13, 100%, $E$13) + CHOOSE(CONTROL!$C$29, 0.0274, 0)</f>
        <v>68.409400000000005</v>
      </c>
      <c r="C939" s="4">
        <f>68.2258 * CHOOSE(CONTROL!$C$10, $C$13, 100%, $E$13) + CHOOSE(CONTROL!$C$29, 0.0274, 0)</f>
        <v>68.253200000000007</v>
      </c>
      <c r="D939" s="4">
        <f>87.3876 * CHOOSE(CONTROL!$C$10, $C$13, 100%, $E$13) + CHOOSE(CONTROL!$C$29, 0.0021, 0)</f>
        <v>87.389700000000005</v>
      </c>
      <c r="E939" s="4">
        <f>441.228411371459 * CHOOSE(CONTROL!$C$10, $C$13, 100%, $E$13) + CHOOSE(CONTROL!$C$29, 0.0021, 0)</f>
        <v>441.23051137145899</v>
      </c>
    </row>
    <row r="940" spans="1:5" ht="15">
      <c r="A940" s="13">
        <v>69763</v>
      </c>
      <c r="B940" s="4">
        <f>67.3207 * CHOOSE(CONTROL!$C$10, $C$13, 100%, $E$13) + CHOOSE(CONTROL!$C$29, 0.0274, 0)</f>
        <v>67.348100000000002</v>
      </c>
      <c r="C940" s="4">
        <f>67.1645 * CHOOSE(CONTROL!$C$10, $C$13, 100%, $E$13) + CHOOSE(CONTROL!$C$29, 0.0274, 0)</f>
        <v>67.191900000000004</v>
      </c>
      <c r="D940" s="4">
        <f>84.3533 * CHOOSE(CONTROL!$C$10, $C$13, 100%, $E$13) + CHOOSE(CONTROL!$C$29, 0.0021, 0)</f>
        <v>84.355400000000003</v>
      </c>
      <c r="E940" s="4">
        <f>434.318188779697 * CHOOSE(CONTROL!$C$10, $C$13, 100%, $E$13) + CHOOSE(CONTROL!$C$29, 0.0021, 0)</f>
        <v>434.32028877969697</v>
      </c>
    </row>
    <row r="941" spans="1:5" ht="15">
      <c r="A941" s="13">
        <v>69794</v>
      </c>
      <c r="B941" s="4">
        <f>64.5391 * CHOOSE(CONTROL!$C$10, $C$13, 100%, $E$13) + CHOOSE(CONTROL!$C$29, 0.0274, 0)</f>
        <v>64.566500000000005</v>
      </c>
      <c r="C941" s="4">
        <f>64.3829 * CHOOSE(CONTROL!$C$10, $C$13, 100%, $E$13) + CHOOSE(CONTROL!$C$29, 0.0274, 0)</f>
        <v>64.410300000000007</v>
      </c>
      <c r="D941" s="4">
        <f>80.8599 * CHOOSE(CONTROL!$C$10, $C$13, 100%, $E$13) + CHOOSE(CONTROL!$C$29, 0.0021, 0)</f>
        <v>80.861999999999995</v>
      </c>
      <c r="E941" s="4">
        <f>416.227071404099 * CHOOSE(CONTROL!$C$10, $C$13, 100%, $E$13) + CHOOSE(CONTROL!$C$29, 0.0021, 0)</f>
        <v>416.22917140409896</v>
      </c>
    </row>
    <row r="942" spans="1:5" ht="15">
      <c r="A942" s="13">
        <v>69822</v>
      </c>
      <c r="B942" s="4">
        <f>66.0569 * CHOOSE(CONTROL!$C$10, $C$13, 100%, $E$13) + CHOOSE(CONTROL!$C$29, 0.0274, 0)</f>
        <v>66.084299999999999</v>
      </c>
      <c r="C942" s="4">
        <f>65.9006 * CHOOSE(CONTROL!$C$10, $C$13, 100%, $E$13) + CHOOSE(CONTROL!$C$29, 0.0274, 0)</f>
        <v>65.927999999999997</v>
      </c>
      <c r="D942" s="4">
        <f>83.6433 * CHOOSE(CONTROL!$C$10, $C$13, 100%, $E$13) + CHOOSE(CONTROL!$C$29, 0.0021, 0)</f>
        <v>83.645399999999995</v>
      </c>
      <c r="E942" s="4">
        <f>426.109942392427 * CHOOSE(CONTROL!$C$10, $C$13, 100%, $E$13) + CHOOSE(CONTROL!$C$29, 0.0021, 0)</f>
        <v>426.11204239242699</v>
      </c>
    </row>
    <row r="943" spans="1:5" ht="15">
      <c r="A943" s="13">
        <v>69853</v>
      </c>
      <c r="B943" s="4">
        <f>70.0426 * CHOOSE(CONTROL!$C$10, $C$13, 100%, $E$13) + CHOOSE(CONTROL!$C$29, 0.0274, 0)</f>
        <v>70.069999999999993</v>
      </c>
      <c r="C943" s="4">
        <f>69.8863 * CHOOSE(CONTROL!$C$10, $C$13, 100%, $E$13) + CHOOSE(CONTROL!$C$29, 0.0274, 0)</f>
        <v>69.913700000000006</v>
      </c>
      <c r="D943" s="4">
        <f>88.0006 * CHOOSE(CONTROL!$C$10, $C$13, 100%, $E$13) + CHOOSE(CONTROL!$C$29, 0.0021, 0)</f>
        <v>88.002700000000004</v>
      </c>
      <c r="E943" s="4">
        <f>452.062886815439 * CHOOSE(CONTROL!$C$10, $C$13, 100%, $E$13) + CHOOSE(CONTROL!$C$29, 0.0021, 0)</f>
        <v>452.064986815439</v>
      </c>
    </row>
    <row r="944" spans="1:5" ht="15">
      <c r="A944" s="13">
        <v>69883</v>
      </c>
      <c r="B944" s="4">
        <f>72.8745 * CHOOSE(CONTROL!$C$10, $C$13, 100%, $E$13) + CHOOSE(CONTROL!$C$29, 0.0274, 0)</f>
        <v>72.901899999999998</v>
      </c>
      <c r="C944" s="4">
        <f>72.7182 * CHOOSE(CONTROL!$C$10, $C$13, 100%, $E$13) + CHOOSE(CONTROL!$C$29, 0.0274, 0)</f>
        <v>72.745599999999996</v>
      </c>
      <c r="D944" s="4">
        <f>90.5105 * CHOOSE(CONTROL!$C$10, $C$13, 100%, $E$13) + CHOOSE(CONTROL!$C$29, 0.0021, 0)</f>
        <v>90.512599999999992</v>
      </c>
      <c r="E944" s="4">
        <f>470.502799696449 * CHOOSE(CONTROL!$C$10, $C$13, 100%, $E$13) + CHOOSE(CONTROL!$C$29, 0.0021, 0)</f>
        <v>470.504899696449</v>
      </c>
    </row>
    <row r="945" spans="1:5" ht="15">
      <c r="A945" s="13">
        <v>69914</v>
      </c>
      <c r="B945" s="4">
        <f>74.6047 * CHOOSE(CONTROL!$C$10, $C$13, 100%, $E$13) + CHOOSE(CONTROL!$C$29, 0.0274, 0)</f>
        <v>74.632099999999994</v>
      </c>
      <c r="C945" s="4">
        <f>74.4485 * CHOOSE(CONTROL!$C$10, $C$13, 100%, $E$13) + CHOOSE(CONTROL!$C$29, 0.0274, 0)</f>
        <v>74.475899999999996</v>
      </c>
      <c r="D945" s="4">
        <f>89.5187 * CHOOSE(CONTROL!$C$10, $C$13, 100%, $E$13) + CHOOSE(CONTROL!$C$29, 0.0021, 0)</f>
        <v>89.520799999999994</v>
      </c>
      <c r="E945" s="4">
        <f>481.769144523713 * CHOOSE(CONTROL!$C$10, $C$13, 100%, $E$13) + CHOOSE(CONTROL!$C$29, 0.0021, 0)</f>
        <v>481.77124452371299</v>
      </c>
    </row>
    <row r="946" spans="1:5" ht="15">
      <c r="A946" s="13">
        <v>69944</v>
      </c>
      <c r="B946" s="4">
        <f>74.8388 * CHOOSE(CONTROL!$C$10, $C$13, 100%, $E$13) + CHOOSE(CONTROL!$C$29, 0.0274, 0)</f>
        <v>74.866200000000006</v>
      </c>
      <c r="C946" s="4">
        <f>74.6826 * CHOOSE(CONTROL!$C$10, $C$13, 100%, $E$13) + CHOOSE(CONTROL!$C$29, 0.0274, 0)</f>
        <v>74.709999999999994</v>
      </c>
      <c r="D946" s="4">
        <f>90.3265 * CHOOSE(CONTROL!$C$10, $C$13, 100%, $E$13) + CHOOSE(CONTROL!$C$29, 0.0021, 0)</f>
        <v>90.328599999999994</v>
      </c>
      <c r="E946" s="4">
        <f>483.293527735134 * CHOOSE(CONTROL!$C$10, $C$13, 100%, $E$13) + CHOOSE(CONTROL!$C$29, 0.0021, 0)</f>
        <v>483.29562773513396</v>
      </c>
    </row>
    <row r="947" spans="1:5" ht="15">
      <c r="A947" s="13">
        <v>69975</v>
      </c>
      <c r="B947" s="4">
        <f>74.8152 * CHOOSE(CONTROL!$C$10, $C$13, 100%, $E$13) + CHOOSE(CONTROL!$C$29, 0.0274, 0)</f>
        <v>74.842600000000004</v>
      </c>
      <c r="C947" s="4">
        <f>74.659 * CHOOSE(CONTROL!$C$10, $C$13, 100%, $E$13) + CHOOSE(CONTROL!$C$29, 0.0274, 0)</f>
        <v>74.686400000000006</v>
      </c>
      <c r="D947" s="4">
        <f>91.784 * CHOOSE(CONTROL!$C$10, $C$13, 100%, $E$13) + CHOOSE(CONTROL!$C$29, 0.0021, 0)</f>
        <v>91.786100000000005</v>
      </c>
      <c r="E947" s="4">
        <f>483.139808419697 * CHOOSE(CONTROL!$C$10, $C$13, 100%, $E$13) + CHOOSE(CONTROL!$C$29, 0.0021, 0)</f>
        <v>483.14190841969696</v>
      </c>
    </row>
    <row r="948" spans="1:5" ht="15">
      <c r="A948" s="13">
        <v>70006</v>
      </c>
      <c r="B948" s="4">
        <f>76.5917 * CHOOSE(CONTROL!$C$10, $C$13, 100%, $E$13) + CHOOSE(CONTROL!$C$29, 0.0274, 0)</f>
        <v>76.619100000000003</v>
      </c>
      <c r="C948" s="4">
        <f>76.4354 * CHOOSE(CONTROL!$C$10, $C$13, 100%, $E$13) + CHOOSE(CONTROL!$C$29, 0.0274, 0)</f>
        <v>76.462800000000001</v>
      </c>
      <c r="D948" s="4">
        <f>90.8214 * CHOOSE(CONTROL!$C$10, $C$13, 100%, $E$13) + CHOOSE(CONTROL!$C$29, 0.0021, 0)</f>
        <v>90.823499999999996</v>
      </c>
      <c r="E948" s="4">
        <f>494.70718690636 * CHOOSE(CONTROL!$C$10, $C$13, 100%, $E$13) + CHOOSE(CONTROL!$C$29, 0.0021, 0)</f>
        <v>494.70928690635998</v>
      </c>
    </row>
    <row r="949" spans="1:5" ht="15">
      <c r="A949" s="13">
        <v>70036</v>
      </c>
      <c r="B949" s="4">
        <f>73.564 * CHOOSE(CONTROL!$C$10, $C$13, 100%, $E$13) + CHOOSE(CONTROL!$C$29, 0.0274, 0)</f>
        <v>73.591399999999993</v>
      </c>
      <c r="C949" s="4">
        <f>73.4078 * CHOOSE(CONTROL!$C$10, $C$13, 100%, $E$13) + CHOOSE(CONTROL!$C$29, 0.0274, 0)</f>
        <v>73.435199999999995</v>
      </c>
      <c r="D949" s="4">
        <f>90.3667 * CHOOSE(CONTROL!$C$10, $C$13, 100%, $E$13) + CHOOSE(CONTROL!$C$29, 0.0021, 0)</f>
        <v>90.368799999999993</v>
      </c>
      <c r="E949" s="4">
        <f>474.992684701515 * CHOOSE(CONTROL!$C$10, $C$13, 100%, $E$13) + CHOOSE(CONTROL!$C$29, 0.0021, 0)</f>
        <v>474.99478470151496</v>
      </c>
    </row>
    <row r="950" spans="1:5" ht="15">
      <c r="A950" s="13">
        <v>70067</v>
      </c>
      <c r="B950" s="4">
        <f>71.1403 * CHOOSE(CONTROL!$C$10, $C$13, 100%, $E$13) + CHOOSE(CONTROL!$C$29, 0.0274, 0)</f>
        <v>71.167699999999996</v>
      </c>
      <c r="C950" s="4">
        <f>70.9841 * CHOOSE(CONTROL!$C$10, $C$13, 100%, $E$13) + CHOOSE(CONTROL!$C$29, 0.0274, 0)</f>
        <v>71.011499999999998</v>
      </c>
      <c r="D950" s="4">
        <f>89.149 * CHOOSE(CONTROL!$C$10, $C$13, 100%, $E$13) + CHOOSE(CONTROL!$C$29, 0.0021, 0)</f>
        <v>89.1511</v>
      </c>
      <c r="E950" s="4">
        <f>459.210834983277 * CHOOSE(CONTROL!$C$10, $C$13, 100%, $E$13) + CHOOSE(CONTROL!$C$29, 0.0021, 0)</f>
        <v>459.21293498327697</v>
      </c>
    </row>
    <row r="951" spans="1:5" ht="15">
      <c r="A951" s="13">
        <v>70097</v>
      </c>
      <c r="B951" s="4">
        <f>69.5793 * CHOOSE(CONTROL!$C$10, $C$13, 100%, $E$13) + CHOOSE(CONTROL!$C$29, 0.0274, 0)</f>
        <v>69.606700000000004</v>
      </c>
      <c r="C951" s="4">
        <f>69.4231 * CHOOSE(CONTROL!$C$10, $C$13, 100%, $E$13) + CHOOSE(CONTROL!$C$29, 0.0274, 0)</f>
        <v>69.450500000000005</v>
      </c>
      <c r="D951" s="4">
        <f>88.7304 * CHOOSE(CONTROL!$C$10, $C$13, 100%, $E$13) + CHOOSE(CONTROL!$C$29, 0.0021, 0)</f>
        <v>88.732500000000002</v>
      </c>
      <c r="E951" s="4">
        <f>449.04614524998 * CHOOSE(CONTROL!$C$10, $C$13, 100%, $E$13) + CHOOSE(CONTROL!$C$29, 0.0021, 0)</f>
        <v>449.04824524997997</v>
      </c>
    </row>
    <row r="952" spans="1:5" ht="15">
      <c r="A952" s="13">
        <v>70128</v>
      </c>
      <c r="B952" s="4">
        <f>68.4993 * CHOOSE(CONTROL!$C$10, $C$13, 100%, $E$13) + CHOOSE(CONTROL!$C$29, 0.0274, 0)</f>
        <v>68.526700000000005</v>
      </c>
      <c r="C952" s="4">
        <f>68.343 * CHOOSE(CONTROL!$C$10, $C$13, 100%, $E$13) + CHOOSE(CONTROL!$C$29, 0.0274, 0)</f>
        <v>68.370400000000004</v>
      </c>
      <c r="D952" s="4">
        <f>85.6484 * CHOOSE(CONTROL!$C$10, $C$13, 100%, $E$13) + CHOOSE(CONTROL!$C$29, 0.0021, 0)</f>
        <v>85.650499999999994</v>
      </c>
      <c r="E952" s="4">
        <f>442.01348656872 * CHOOSE(CONTROL!$C$10, $C$13, 100%, $E$13) + CHOOSE(CONTROL!$C$29, 0.0021, 0)</f>
        <v>442.01558656871998</v>
      </c>
    </row>
    <row r="953" spans="1:5" ht="15">
      <c r="A953" s="13">
        <v>70159</v>
      </c>
      <c r="B953" s="4">
        <f>65.6685 * CHOOSE(CONTROL!$C$10, $C$13, 100%, $E$13) + CHOOSE(CONTROL!$C$29, 0.0274, 0)</f>
        <v>65.695899999999995</v>
      </c>
      <c r="C953" s="4">
        <f>65.5123 * CHOOSE(CONTROL!$C$10, $C$13, 100%, $E$13) + CHOOSE(CONTROL!$C$29, 0.0274, 0)</f>
        <v>65.539699999999996</v>
      </c>
      <c r="D953" s="4">
        <f>82.1 * CHOOSE(CONTROL!$C$10, $C$13, 100%, $E$13) + CHOOSE(CONTROL!$C$29, 0.0021, 0)</f>
        <v>82.102099999999993</v>
      </c>
      <c r="E953" s="4">
        <f>423.601828771058 * CHOOSE(CONTROL!$C$10, $C$13, 100%, $E$13) + CHOOSE(CONTROL!$C$29, 0.0021, 0)</f>
        <v>423.60392877105801</v>
      </c>
    </row>
    <row r="954" spans="1:5" ht="15">
      <c r="A954" s="13">
        <v>70188</v>
      </c>
      <c r="B954" s="4">
        <f>67.2131 * CHOOSE(CONTROL!$C$10, $C$13, 100%, $E$13) + CHOOSE(CONTROL!$C$29, 0.0274, 0)</f>
        <v>67.240499999999997</v>
      </c>
      <c r="C954" s="4">
        <f>67.0568 * CHOOSE(CONTROL!$C$10, $C$13, 100%, $E$13) + CHOOSE(CONTROL!$C$29, 0.0274, 0)</f>
        <v>67.084199999999996</v>
      </c>
      <c r="D954" s="4">
        <f>84.9272 * CHOOSE(CONTROL!$C$10, $C$13, 100%, $E$13) + CHOOSE(CONTROL!$C$29, 0.0021, 0)</f>
        <v>84.929299999999998</v>
      </c>
      <c r="E954" s="4">
        <f>433.659805562529 * CHOOSE(CONTROL!$C$10, $C$13, 100%, $E$13) + CHOOSE(CONTROL!$C$29, 0.0021, 0)</f>
        <v>433.661905562529</v>
      </c>
    </row>
    <row r="955" spans="1:5" ht="15">
      <c r="A955" s="13">
        <v>70219</v>
      </c>
      <c r="B955" s="4">
        <f>71.2692 * CHOOSE(CONTROL!$C$10, $C$13, 100%, $E$13) + CHOOSE(CONTROL!$C$29, 0.0274, 0)</f>
        <v>71.296599999999998</v>
      </c>
      <c r="C955" s="4">
        <f>71.113 * CHOOSE(CONTROL!$C$10, $C$13, 100%, $E$13) + CHOOSE(CONTROL!$C$29, 0.0274, 0)</f>
        <v>71.1404</v>
      </c>
      <c r="D955" s="4">
        <f>89.353 * CHOOSE(CONTROL!$C$10, $C$13, 100%, $E$13) + CHOOSE(CONTROL!$C$29, 0.0021, 0)</f>
        <v>89.355099999999993</v>
      </c>
      <c r="E955" s="4">
        <f>460.072587130281 * CHOOSE(CONTROL!$C$10, $C$13, 100%, $E$13) + CHOOSE(CONTROL!$C$29, 0.0021, 0)</f>
        <v>460.07468713028101</v>
      </c>
    </row>
    <row r="956" spans="1:5" ht="15">
      <c r="A956" s="13">
        <v>70249</v>
      </c>
      <c r="B956" s="4">
        <f>74.1512 * CHOOSE(CONTROL!$C$10, $C$13, 100%, $E$13) + CHOOSE(CONTROL!$C$29, 0.0274, 0)</f>
        <v>74.178600000000003</v>
      </c>
      <c r="C956" s="4">
        <f>73.9949 * CHOOSE(CONTROL!$C$10, $C$13, 100%, $E$13) + CHOOSE(CONTROL!$C$29, 0.0274, 0)</f>
        <v>74.022300000000001</v>
      </c>
      <c r="D956" s="4">
        <f>91.9024 * CHOOSE(CONTROL!$C$10, $C$13, 100%, $E$13) + CHOOSE(CONTROL!$C$29, 0.0021, 0)</f>
        <v>91.904499999999999</v>
      </c>
      <c r="E956" s="4">
        <f>478.839220430763 * CHOOSE(CONTROL!$C$10, $C$13, 100%, $E$13) + CHOOSE(CONTROL!$C$29, 0.0021, 0)</f>
        <v>478.84132043076301</v>
      </c>
    </row>
    <row r="957" spans="1:5" ht="15">
      <c r="A957" s="13">
        <v>70280</v>
      </c>
      <c r="B957" s="4">
        <f>75.912 * CHOOSE(CONTROL!$C$10, $C$13, 100%, $E$13) + CHOOSE(CONTROL!$C$29, 0.0274, 0)</f>
        <v>75.939400000000006</v>
      </c>
      <c r="C957" s="4">
        <f>75.7557 * CHOOSE(CONTROL!$C$10, $C$13, 100%, $E$13) + CHOOSE(CONTROL!$C$29, 0.0274, 0)</f>
        <v>75.783100000000005</v>
      </c>
      <c r="D957" s="4">
        <f>90.895 * CHOOSE(CONTROL!$C$10, $C$13, 100%, $E$13) + CHOOSE(CONTROL!$C$29, 0.0021, 0)</f>
        <v>90.897099999999995</v>
      </c>
      <c r="E957" s="4">
        <f>490.305183603931 * CHOOSE(CONTROL!$C$10, $C$13, 100%, $E$13) + CHOOSE(CONTROL!$C$29, 0.0021, 0)</f>
        <v>490.30728360393101</v>
      </c>
    </row>
    <row r="958" spans="1:5" ht="15">
      <c r="A958" s="13">
        <v>70310</v>
      </c>
      <c r="B958" s="4">
        <f>76.1502 * CHOOSE(CONTROL!$C$10, $C$13, 100%, $E$13) + CHOOSE(CONTROL!$C$29, 0.0274, 0)</f>
        <v>76.177599999999998</v>
      </c>
      <c r="C958" s="4">
        <f>75.9939 * CHOOSE(CONTROL!$C$10, $C$13, 100%, $E$13) + CHOOSE(CONTROL!$C$29, 0.0274, 0)</f>
        <v>76.021299999999997</v>
      </c>
      <c r="D958" s="4">
        <f>91.7155 * CHOOSE(CONTROL!$C$10, $C$13, 100%, $E$13) + CHOOSE(CONTROL!$C$29, 0.0021, 0)</f>
        <v>91.717600000000004</v>
      </c>
      <c r="E958" s="4">
        <f>491.856576005985 * CHOOSE(CONTROL!$C$10, $C$13, 100%, $E$13) + CHOOSE(CONTROL!$C$29, 0.0021, 0)</f>
        <v>491.85867600598499</v>
      </c>
    </row>
    <row r="959" spans="1:5" ht="15">
      <c r="A959" s="13">
        <v>70341</v>
      </c>
      <c r="B959" s="4">
        <f>76.1262 * CHOOSE(CONTROL!$C$10, $C$13, 100%, $E$13) + CHOOSE(CONTROL!$C$29, 0.0274, 0)</f>
        <v>76.153599999999997</v>
      </c>
      <c r="C959" s="4">
        <f>75.9699 * CHOOSE(CONTROL!$C$10, $C$13, 100%, $E$13) + CHOOSE(CONTROL!$C$29, 0.0274, 0)</f>
        <v>75.997299999999996</v>
      </c>
      <c r="D959" s="4">
        <f>93.1959 * CHOOSE(CONTROL!$C$10, $C$13, 100%, $E$13) + CHOOSE(CONTROL!$C$29, 0.0021, 0)</f>
        <v>93.197999999999993</v>
      </c>
      <c r="E959" s="4">
        <f>491.700133074686 * CHOOSE(CONTROL!$C$10, $C$13, 100%, $E$13) + CHOOSE(CONTROL!$C$29, 0.0021, 0)</f>
        <v>491.70223307468598</v>
      </c>
    </row>
    <row r="960" spans="1:5" ht="15">
      <c r="A960" s="13">
        <v>70372</v>
      </c>
      <c r="B960" s="4">
        <f>77.934 * CHOOSE(CONTROL!$C$10, $C$13, 100%, $E$13) + CHOOSE(CONTROL!$C$29, 0.0274, 0)</f>
        <v>77.961399999999998</v>
      </c>
      <c r="C960" s="4">
        <f>77.7778 * CHOOSE(CONTROL!$C$10, $C$13, 100%, $E$13) + CHOOSE(CONTROL!$C$29, 0.0274, 0)</f>
        <v>77.805199999999999</v>
      </c>
      <c r="D960" s="4">
        <f>92.2182 * CHOOSE(CONTROL!$C$10, $C$13, 100%, $E$13) + CHOOSE(CONTROL!$C$29, 0.0021, 0)</f>
        <v>92.220299999999995</v>
      </c>
      <c r="E960" s="4">
        <f>503.472463654982 * CHOOSE(CONTROL!$C$10, $C$13, 100%, $E$13) + CHOOSE(CONTROL!$C$29, 0.0021, 0)</f>
        <v>503.47456365498198</v>
      </c>
    </row>
    <row r="961" spans="1:5" ht="15">
      <c r="A961" s="13">
        <v>70402</v>
      </c>
      <c r="B961" s="4">
        <f>74.8529 * CHOOSE(CONTROL!$C$10, $C$13, 100%, $E$13) + CHOOSE(CONTROL!$C$29, 0.0274, 0)</f>
        <v>74.880300000000005</v>
      </c>
      <c r="C961" s="4">
        <f>74.6966 * CHOOSE(CONTROL!$C$10, $C$13, 100%, $E$13) + CHOOSE(CONTROL!$C$29, 0.0274, 0)</f>
        <v>74.724000000000004</v>
      </c>
      <c r="D961" s="4">
        <f>91.7563 * CHOOSE(CONTROL!$C$10, $C$13, 100%, $E$13) + CHOOSE(CONTROL!$C$29, 0.0021, 0)</f>
        <v>91.758399999999995</v>
      </c>
      <c r="E961" s="4">
        <f>483.408657715806 * CHOOSE(CONTROL!$C$10, $C$13, 100%, $E$13) + CHOOSE(CONTROL!$C$29, 0.0021, 0)</f>
        <v>483.41075771580597</v>
      </c>
    </row>
    <row r="962" spans="1:5" ht="15">
      <c r="A962" s="13">
        <v>70433</v>
      </c>
      <c r="B962" s="4">
        <f>72.3864 * CHOOSE(CONTROL!$C$10, $C$13, 100%, $E$13) + CHOOSE(CONTROL!$C$29, 0.0274, 0)</f>
        <v>72.413799999999995</v>
      </c>
      <c r="C962" s="4">
        <f>72.2301 * CHOOSE(CONTROL!$C$10, $C$13, 100%, $E$13) + CHOOSE(CONTROL!$C$29, 0.0274, 0)</f>
        <v>72.257499999999993</v>
      </c>
      <c r="D962" s="4">
        <f>90.5195 * CHOOSE(CONTROL!$C$10, $C$13, 100%, $E$13) + CHOOSE(CONTROL!$C$29, 0.0021, 0)</f>
        <v>90.521599999999992</v>
      </c>
      <c r="E962" s="4">
        <f>467.347183435713 * CHOOSE(CONTROL!$C$10, $C$13, 100%, $E$13) + CHOOSE(CONTROL!$C$29, 0.0021, 0)</f>
        <v>467.34928343571301</v>
      </c>
    </row>
    <row r="963" spans="1:5" ht="15">
      <c r="A963" s="13">
        <v>70463</v>
      </c>
      <c r="B963" s="4">
        <f>70.7977 * CHOOSE(CONTROL!$C$10, $C$13, 100%, $E$13) + CHOOSE(CONTROL!$C$29, 0.0274, 0)</f>
        <v>70.825100000000006</v>
      </c>
      <c r="C963" s="4">
        <f>70.6415 * CHOOSE(CONTROL!$C$10, $C$13, 100%, $E$13) + CHOOSE(CONTROL!$C$29, 0.0274, 0)</f>
        <v>70.668899999999994</v>
      </c>
      <c r="D963" s="4">
        <f>90.0943 * CHOOSE(CONTROL!$C$10, $C$13, 100%, $E$13) + CHOOSE(CONTROL!$C$29, 0.0021, 0)</f>
        <v>90.096400000000003</v>
      </c>
      <c r="E963" s="4">
        <f>457.002394603526 * CHOOSE(CONTROL!$C$10, $C$13, 100%, $E$13) + CHOOSE(CONTROL!$C$29, 0.0021, 0)</f>
        <v>457.00449460352598</v>
      </c>
    </row>
    <row r="964" spans="1:5" ht="15">
      <c r="A964" s="13">
        <v>70494</v>
      </c>
      <c r="B964" s="4">
        <f>69.6986 * CHOOSE(CONTROL!$C$10, $C$13, 100%, $E$13) + CHOOSE(CONTROL!$C$29, 0.0274, 0)</f>
        <v>69.725999999999999</v>
      </c>
      <c r="C964" s="4">
        <f>69.5424 * CHOOSE(CONTROL!$C$10, $C$13, 100%, $E$13) + CHOOSE(CONTROL!$C$29, 0.0274, 0)</f>
        <v>69.569800000000001</v>
      </c>
      <c r="D964" s="4">
        <f>86.9638 * CHOOSE(CONTROL!$C$10, $C$13, 100%, $E$13) + CHOOSE(CONTROL!$C$29, 0.0021, 0)</f>
        <v>86.965900000000005</v>
      </c>
      <c r="E964" s="4">
        <f>449.845130496568 * CHOOSE(CONTROL!$C$10, $C$13, 100%, $E$13) + CHOOSE(CONTROL!$C$29, 0.0021, 0)</f>
        <v>449.84723049656799</v>
      </c>
    </row>
    <row r="965" spans="1:5" ht="15">
      <c r="A965" s="13">
        <v>70525</v>
      </c>
      <c r="B965" s="4">
        <f>66.8179 * CHOOSE(CONTROL!$C$10, $C$13, 100%, $E$13) + CHOOSE(CONTROL!$C$29, 0.0274, 0)</f>
        <v>66.845299999999995</v>
      </c>
      <c r="C965" s="4">
        <f>66.6616 * CHOOSE(CONTROL!$C$10, $C$13, 100%, $E$13) + CHOOSE(CONTROL!$C$29, 0.0274, 0)</f>
        <v>66.689000000000007</v>
      </c>
      <c r="D965" s="4">
        <f>83.3597 * CHOOSE(CONTROL!$C$10, $C$13, 100%, $E$13) + CHOOSE(CONTROL!$C$29, 0.0021, 0)</f>
        <v>83.361800000000002</v>
      </c>
      <c r="E965" s="4">
        <f>431.10725290613 * CHOOSE(CONTROL!$C$10, $C$13, 100%, $E$13) + CHOOSE(CONTROL!$C$29, 0.0021, 0)</f>
        <v>431.10935290612997</v>
      </c>
    </row>
    <row r="966" spans="1:5" ht="15">
      <c r="A966" s="13">
        <v>70553</v>
      </c>
      <c r="B966" s="4">
        <f>68.3897 * CHOOSE(CONTROL!$C$10, $C$13, 100%, $E$13) + CHOOSE(CONTROL!$C$29, 0.0274, 0)</f>
        <v>68.417100000000005</v>
      </c>
      <c r="C966" s="4">
        <f>68.2335 * CHOOSE(CONTROL!$C$10, $C$13, 100%, $E$13) + CHOOSE(CONTROL!$C$29, 0.0274, 0)</f>
        <v>68.260900000000007</v>
      </c>
      <c r="D966" s="4">
        <f>86.2313 * CHOOSE(CONTROL!$C$10, $C$13, 100%, $E$13) + CHOOSE(CONTROL!$C$29, 0.0021, 0)</f>
        <v>86.233400000000003</v>
      </c>
      <c r="E966" s="4">
        <f>441.343438044765 * CHOOSE(CONTROL!$C$10, $C$13, 100%, $E$13) + CHOOSE(CONTROL!$C$29, 0.0021, 0)</f>
        <v>441.34553804476496</v>
      </c>
    </row>
    <row r="967" spans="1:5" ht="15">
      <c r="A967" s="13">
        <v>70584</v>
      </c>
      <c r="B967" s="4">
        <f>72.5175 * CHOOSE(CONTROL!$C$10, $C$13, 100%, $E$13) + CHOOSE(CONTROL!$C$29, 0.0274, 0)</f>
        <v>72.544899999999998</v>
      </c>
      <c r="C967" s="4">
        <f>72.3613 * CHOOSE(CONTROL!$C$10, $C$13, 100%, $E$13) + CHOOSE(CONTROL!$C$29, 0.0274, 0)</f>
        <v>72.3887</v>
      </c>
      <c r="D967" s="4">
        <f>90.7267 * CHOOSE(CONTROL!$C$10, $C$13, 100%, $E$13) + CHOOSE(CONTROL!$C$29, 0.0021, 0)</f>
        <v>90.728799999999993</v>
      </c>
      <c r="E967" s="4">
        <f>468.224204202734 * CHOOSE(CONTROL!$C$10, $C$13, 100%, $E$13) + CHOOSE(CONTROL!$C$29, 0.0021, 0)</f>
        <v>468.22630420273396</v>
      </c>
    </row>
    <row r="968" spans="1:5" ht="15">
      <c r="A968" s="13">
        <v>70614</v>
      </c>
      <c r="B968" s="4">
        <f>75.4504 * CHOOSE(CONTROL!$C$10, $C$13, 100%, $E$13) + CHOOSE(CONTROL!$C$29, 0.0274, 0)</f>
        <v>75.477800000000002</v>
      </c>
      <c r="C968" s="4">
        <f>75.2941 * CHOOSE(CONTROL!$C$10, $C$13, 100%, $E$13) + CHOOSE(CONTROL!$C$29, 0.0274, 0)</f>
        <v>75.3215</v>
      </c>
      <c r="D968" s="4">
        <f>93.3162 * CHOOSE(CONTROL!$C$10, $C$13, 100%, $E$13) + CHOOSE(CONTROL!$C$29, 0.0021, 0)</f>
        <v>93.318299999999994</v>
      </c>
      <c r="E968" s="4">
        <f>487.323346791281 * CHOOSE(CONTROL!$C$10, $C$13, 100%, $E$13) + CHOOSE(CONTROL!$C$29, 0.0021, 0)</f>
        <v>487.32544679128097</v>
      </c>
    </row>
    <row r="969" spans="1:5" ht="15">
      <c r="A969" s="13">
        <v>70645</v>
      </c>
      <c r="B969" s="4">
        <f>77.2423 * CHOOSE(CONTROL!$C$10, $C$13, 100%, $E$13) + CHOOSE(CONTROL!$C$29, 0.0274, 0)</f>
        <v>77.2697</v>
      </c>
      <c r="C969" s="4">
        <f>77.086 * CHOOSE(CONTROL!$C$10, $C$13, 100%, $E$13) + CHOOSE(CONTROL!$C$29, 0.0274, 0)</f>
        <v>77.113399999999999</v>
      </c>
      <c r="D969" s="4">
        <f>92.293 * CHOOSE(CONTROL!$C$10, $C$13, 100%, $E$13) + CHOOSE(CONTROL!$C$29, 0.0021, 0)</f>
        <v>92.295100000000005</v>
      </c>
      <c r="E969" s="4">
        <f>498.992465170321 * CHOOSE(CONTROL!$C$10, $C$13, 100%, $E$13) + CHOOSE(CONTROL!$C$29, 0.0021, 0)</f>
        <v>498.99456517032098</v>
      </c>
    </row>
    <row r="970" spans="1:5" ht="15">
      <c r="A970" s="13">
        <v>70675</v>
      </c>
      <c r="B970" s="4">
        <f>77.4847 * CHOOSE(CONTROL!$C$10, $C$13, 100%, $E$13) + CHOOSE(CONTROL!$C$29, 0.0274, 0)</f>
        <v>77.512100000000004</v>
      </c>
      <c r="C970" s="4">
        <f>77.3285 * CHOOSE(CONTROL!$C$10, $C$13, 100%, $E$13) + CHOOSE(CONTROL!$C$29, 0.0274, 0)</f>
        <v>77.355900000000005</v>
      </c>
      <c r="D970" s="4">
        <f>93.1263 * CHOOSE(CONTROL!$C$10, $C$13, 100%, $E$13) + CHOOSE(CONTROL!$C$29, 0.0021, 0)</f>
        <v>93.128399999999999</v>
      </c>
      <c r="E970" s="4">
        <f>500.571345314841 * CHOOSE(CONTROL!$C$10, $C$13, 100%, $E$13) + CHOOSE(CONTROL!$C$29, 0.0021, 0)</f>
        <v>500.57344531484097</v>
      </c>
    </row>
    <row r="971" spans="1:5" ht="15">
      <c r="A971" s="13">
        <v>70706</v>
      </c>
      <c r="B971" s="4">
        <f>77.4603 * CHOOSE(CONTROL!$C$10, $C$13, 100%, $E$13) + CHOOSE(CONTROL!$C$29, 0.0274, 0)</f>
        <v>77.487700000000004</v>
      </c>
      <c r="C971" s="4">
        <f>77.304 * CHOOSE(CONTROL!$C$10, $C$13, 100%, $E$13) + CHOOSE(CONTROL!$C$29, 0.0274, 0)</f>
        <v>77.331400000000002</v>
      </c>
      <c r="D971" s="4">
        <f>94.63 * CHOOSE(CONTROL!$C$10, $C$13, 100%, $E$13) + CHOOSE(CONTROL!$C$29, 0.0021, 0)</f>
        <v>94.632099999999994</v>
      </c>
      <c r="E971" s="4">
        <f>500.412130510352 * CHOOSE(CONTROL!$C$10, $C$13, 100%, $E$13) + CHOOSE(CONTROL!$C$29, 0.0021, 0)</f>
        <v>500.41423051035196</v>
      </c>
    </row>
    <row r="972" spans="1:5" ht="15">
      <c r="A972" s="13">
        <v>70737</v>
      </c>
      <c r="B972" s="4">
        <f>79.3001 * CHOOSE(CONTROL!$C$10, $C$13, 100%, $E$13) + CHOOSE(CONTROL!$C$29, 0.0274, 0)</f>
        <v>79.327500000000001</v>
      </c>
      <c r="C972" s="4">
        <f>79.1438 * CHOOSE(CONTROL!$C$10, $C$13, 100%, $E$13) + CHOOSE(CONTROL!$C$29, 0.0274, 0)</f>
        <v>79.171199999999999</v>
      </c>
      <c r="D972" s="4">
        <f>93.637 * CHOOSE(CONTROL!$C$10, $C$13, 100%, $E$13) + CHOOSE(CONTROL!$C$29, 0.0021, 0)</f>
        <v>93.639099999999999</v>
      </c>
      <c r="E972" s="4">
        <f>512.393044548183 * CHOOSE(CONTROL!$C$10, $C$13, 100%, $E$13) + CHOOSE(CONTROL!$C$29, 0.0021, 0)</f>
        <v>512.395144548183</v>
      </c>
    </row>
    <row r="973" spans="1:5" ht="15">
      <c r="A973" s="13">
        <v>70767</v>
      </c>
      <c r="B973" s="4">
        <f>76.1645 * CHOOSE(CONTROL!$C$10, $C$13, 100%, $E$13) + CHOOSE(CONTROL!$C$29, 0.0274, 0)</f>
        <v>76.191900000000004</v>
      </c>
      <c r="C973" s="4">
        <f>76.0082 * CHOOSE(CONTROL!$C$10, $C$13, 100%, $E$13) + CHOOSE(CONTROL!$C$29, 0.0274, 0)</f>
        <v>76.035600000000002</v>
      </c>
      <c r="D973" s="4">
        <f>93.1678 * CHOOSE(CONTROL!$C$10, $C$13, 100%, $E$13) + CHOOSE(CONTROL!$C$29, 0.0021, 0)</f>
        <v>93.169899999999998</v>
      </c>
      <c r="E973" s="4">
        <f>491.973745872411 * CHOOSE(CONTROL!$C$10, $C$13, 100%, $E$13) + CHOOSE(CONTROL!$C$29, 0.0021, 0)</f>
        <v>491.97584587241096</v>
      </c>
    </row>
    <row r="974" spans="1:5" ht="15">
      <c r="A974" s="13">
        <v>70798</v>
      </c>
      <c r="B974" s="4">
        <f>73.6544 * CHOOSE(CONTROL!$C$10, $C$13, 100%, $E$13) + CHOOSE(CONTROL!$C$29, 0.0274, 0)</f>
        <v>73.681799999999996</v>
      </c>
      <c r="C974" s="4">
        <f>73.4982 * CHOOSE(CONTROL!$C$10, $C$13, 100%, $E$13) + CHOOSE(CONTROL!$C$29, 0.0274, 0)</f>
        <v>73.525599999999997</v>
      </c>
      <c r="D974" s="4">
        <f>91.9115 * CHOOSE(CONTROL!$C$10, $C$13, 100%, $E$13) + CHOOSE(CONTROL!$C$29, 0.0021, 0)</f>
        <v>91.913600000000002</v>
      </c>
      <c r="E974" s="4">
        <f>475.627692611494 * CHOOSE(CONTROL!$C$10, $C$13, 100%, $E$13) + CHOOSE(CONTROL!$C$29, 0.0021, 0)</f>
        <v>475.629792611494</v>
      </c>
    </row>
    <row r="975" spans="1:5" ht="15">
      <c r="A975" s="13">
        <v>70828</v>
      </c>
      <c r="B975" s="4">
        <f>72.0377 * CHOOSE(CONTROL!$C$10, $C$13, 100%, $E$13) + CHOOSE(CONTROL!$C$29, 0.0274, 0)</f>
        <v>72.065100000000001</v>
      </c>
      <c r="C975" s="4">
        <f>71.8815 * CHOOSE(CONTROL!$C$10, $C$13, 100%, $E$13) + CHOOSE(CONTROL!$C$29, 0.0274, 0)</f>
        <v>71.908900000000003</v>
      </c>
      <c r="D975" s="4">
        <f>91.4796 * CHOOSE(CONTROL!$C$10, $C$13, 100%, $E$13) + CHOOSE(CONTROL!$C$29, 0.0021, 0)</f>
        <v>91.481700000000004</v>
      </c>
      <c r="E975" s="4">
        <f>465.099613664629 * CHOOSE(CONTROL!$C$10, $C$13, 100%, $E$13) + CHOOSE(CONTROL!$C$29, 0.0021, 0)</f>
        <v>465.10171366462896</v>
      </c>
    </row>
    <row r="976" spans="1:5" ht="15">
      <c r="A976" s="13">
        <v>70859</v>
      </c>
      <c r="B976" s="4">
        <f>70.9192 * CHOOSE(CONTROL!$C$10, $C$13, 100%, $E$13) + CHOOSE(CONTROL!$C$29, 0.0274, 0)</f>
        <v>70.946600000000004</v>
      </c>
      <c r="C976" s="4">
        <f>70.7629 * CHOOSE(CONTROL!$C$10, $C$13, 100%, $E$13) + CHOOSE(CONTROL!$C$29, 0.0274, 0)</f>
        <v>70.790300000000002</v>
      </c>
      <c r="D976" s="4">
        <f>88.2999 * CHOOSE(CONTROL!$C$10, $C$13, 100%, $E$13) + CHOOSE(CONTROL!$C$29, 0.0021, 0)</f>
        <v>88.301999999999992</v>
      </c>
      <c r="E976" s="4">
        <f>457.815536359236 * CHOOSE(CONTROL!$C$10, $C$13, 100%, $E$13) + CHOOSE(CONTROL!$C$29, 0.0021, 0)</f>
        <v>457.81763635923596</v>
      </c>
    </row>
    <row r="977" spans="1:5" ht="15">
      <c r="A977" s="13">
        <v>70890</v>
      </c>
      <c r="B977" s="4">
        <f>67.9875 * CHOOSE(CONTROL!$C$10, $C$13, 100%, $E$13) + CHOOSE(CONTROL!$C$29, 0.0274, 0)</f>
        <v>68.014899999999997</v>
      </c>
      <c r="C977" s="4">
        <f>67.8313 * CHOOSE(CONTROL!$C$10, $C$13, 100%, $E$13) + CHOOSE(CONTROL!$C$29, 0.0274, 0)</f>
        <v>67.858699999999999</v>
      </c>
      <c r="D977" s="4">
        <f>84.6391 * CHOOSE(CONTROL!$C$10, $C$13, 100%, $E$13) + CHOOSE(CONTROL!$C$29, 0.0021, 0)</f>
        <v>84.641199999999998</v>
      </c>
      <c r="E977" s="4">
        <f>438.74565897759 * CHOOSE(CONTROL!$C$10, $C$13, 100%, $E$13) + CHOOSE(CONTROL!$C$29, 0.0021, 0)</f>
        <v>438.74775897758997</v>
      </c>
    </row>
    <row r="978" spans="1:5" ht="15">
      <c r="A978" s="13">
        <v>70918</v>
      </c>
      <c r="B978" s="4">
        <f>69.5871 * CHOOSE(CONTROL!$C$10, $C$13, 100%, $E$13) + CHOOSE(CONTROL!$C$29, 0.0274, 0)</f>
        <v>69.614500000000007</v>
      </c>
      <c r="C978" s="4">
        <f>69.4309 * CHOOSE(CONTROL!$C$10, $C$13, 100%, $E$13) + CHOOSE(CONTROL!$C$29, 0.0274, 0)</f>
        <v>69.458299999999994</v>
      </c>
      <c r="D978" s="4">
        <f>87.556 * CHOOSE(CONTROL!$C$10, $C$13, 100%, $E$13) + CHOOSE(CONTROL!$C$29, 0.0021, 0)</f>
        <v>87.558099999999996</v>
      </c>
      <c r="E978" s="4">
        <f>449.163209978628 * CHOOSE(CONTROL!$C$10, $C$13, 100%, $E$13) + CHOOSE(CONTROL!$C$29, 0.0021, 0)</f>
        <v>449.16530997862799</v>
      </c>
    </row>
    <row r="979" spans="1:5" ht="15">
      <c r="A979" s="13">
        <v>70949</v>
      </c>
      <c r="B979" s="4">
        <f>73.7879 * CHOOSE(CONTROL!$C$10, $C$13, 100%, $E$13) + CHOOSE(CONTROL!$C$29, 0.0274, 0)</f>
        <v>73.815299999999993</v>
      </c>
      <c r="C979" s="4">
        <f>73.6316 * CHOOSE(CONTROL!$C$10, $C$13, 100%, $E$13) + CHOOSE(CONTROL!$C$29, 0.0274, 0)</f>
        <v>73.659000000000006</v>
      </c>
      <c r="D979" s="4">
        <f>92.122 * CHOOSE(CONTROL!$C$10, $C$13, 100%, $E$13) + CHOOSE(CONTROL!$C$29, 0.0021, 0)</f>
        <v>92.124099999999999</v>
      </c>
      <c r="E979" s="4">
        <f>476.520252529635 * CHOOSE(CONTROL!$C$10, $C$13, 100%, $E$13) + CHOOSE(CONTROL!$C$29, 0.0021, 0)</f>
        <v>476.52235252963499</v>
      </c>
    </row>
    <row r="980" spans="1:5" ht="15">
      <c r="A980" s="13">
        <v>70979</v>
      </c>
      <c r="B980" s="4">
        <f>76.7726 * CHOOSE(CONTROL!$C$10, $C$13, 100%, $E$13) + CHOOSE(CONTROL!$C$29, 0.0274, 0)</f>
        <v>76.8</v>
      </c>
      <c r="C980" s="4">
        <f>76.6163 * CHOOSE(CONTROL!$C$10, $C$13, 100%, $E$13) + CHOOSE(CONTROL!$C$29, 0.0274, 0)</f>
        <v>76.643699999999995</v>
      </c>
      <c r="D980" s="4">
        <f>94.7523 * CHOOSE(CONTROL!$C$10, $C$13, 100%, $E$13) + CHOOSE(CONTROL!$C$29, 0.0021, 0)</f>
        <v>94.754400000000004</v>
      </c>
      <c r="E980" s="4">
        <f>495.957795842653 * CHOOSE(CONTROL!$C$10, $C$13, 100%, $E$13) + CHOOSE(CONTROL!$C$29, 0.0021, 0)</f>
        <v>495.959895842653</v>
      </c>
    </row>
    <row r="981" spans="1:5" ht="15">
      <c r="A981" s="13">
        <v>71010</v>
      </c>
      <c r="B981" s="4">
        <f>78.5961 * CHOOSE(CONTROL!$C$10, $C$13, 100%, $E$13) + CHOOSE(CONTROL!$C$29, 0.0274, 0)</f>
        <v>78.623500000000007</v>
      </c>
      <c r="C981" s="4">
        <f>78.4399 * CHOOSE(CONTROL!$C$10, $C$13, 100%, $E$13) + CHOOSE(CONTROL!$C$29, 0.0274, 0)</f>
        <v>78.467299999999994</v>
      </c>
      <c r="D981" s="4">
        <f>93.7129 * CHOOSE(CONTROL!$C$10, $C$13, 100%, $E$13) + CHOOSE(CONTROL!$C$29, 0.0021, 0)</f>
        <v>93.715000000000003</v>
      </c>
      <c r="E981" s="4">
        <f>507.833668954011 * CHOOSE(CONTROL!$C$10, $C$13, 100%, $E$13) + CHOOSE(CONTROL!$C$29, 0.0021, 0)</f>
        <v>507.83576895401097</v>
      </c>
    </row>
    <row r="982" spans="1:5" ht="15">
      <c r="A982" s="13">
        <v>71040</v>
      </c>
      <c r="B982" s="4">
        <f>78.8429 * CHOOSE(CONTROL!$C$10, $C$13, 100%, $E$13) + CHOOSE(CONTROL!$C$29, 0.0274, 0)</f>
        <v>78.8703</v>
      </c>
      <c r="C982" s="4">
        <f>78.6866 * CHOOSE(CONTROL!$C$10, $C$13, 100%, $E$13) + CHOOSE(CONTROL!$C$29, 0.0274, 0)</f>
        <v>78.713999999999999</v>
      </c>
      <c r="D982" s="4">
        <f>94.5594 * CHOOSE(CONTROL!$C$10, $C$13, 100%, $E$13) + CHOOSE(CONTROL!$C$29, 0.0021, 0)</f>
        <v>94.561499999999995</v>
      </c>
      <c r="E982" s="4">
        <f>509.440523871863 * CHOOSE(CONTROL!$C$10, $C$13, 100%, $E$13) + CHOOSE(CONTROL!$C$29, 0.0021, 0)</f>
        <v>509.44262387186296</v>
      </c>
    </row>
    <row r="983" spans="1:5" ht="15">
      <c r="A983" s="13">
        <v>71071</v>
      </c>
      <c r="B983" s="4">
        <f>78.818 * CHOOSE(CONTROL!$C$10, $C$13, 100%, $E$13) + CHOOSE(CONTROL!$C$29, 0.0274, 0)</f>
        <v>78.845399999999998</v>
      </c>
      <c r="C983" s="4">
        <f>78.6617 * CHOOSE(CONTROL!$C$10, $C$13, 100%, $E$13) + CHOOSE(CONTROL!$C$29, 0.0274, 0)</f>
        <v>78.689099999999996</v>
      </c>
      <c r="D983" s="4">
        <f>96.0867 * CHOOSE(CONTROL!$C$10, $C$13, 100%, $E$13) + CHOOSE(CONTROL!$C$29, 0.0021, 0)</f>
        <v>96.088799999999992</v>
      </c>
      <c r="E983" s="4">
        <f>509.278488081828 * CHOOSE(CONTROL!$C$10, $C$13, 100%, $E$13) + CHOOSE(CONTROL!$C$29, 0.0021, 0)</f>
        <v>509.280588081828</v>
      </c>
    </row>
    <row r="984" spans="1:5" ht="15">
      <c r="A984" s="13">
        <v>71102</v>
      </c>
      <c r="B984" s="4">
        <f>80.6903 * CHOOSE(CONTROL!$C$10, $C$13, 100%, $E$13) + CHOOSE(CONTROL!$C$29, 0.0274, 0)</f>
        <v>80.717699999999994</v>
      </c>
      <c r="C984" s="4">
        <f>80.534 * CHOOSE(CONTROL!$C$10, $C$13, 100%, $E$13) + CHOOSE(CONTROL!$C$29, 0.0274, 0)</f>
        <v>80.561400000000006</v>
      </c>
      <c r="D984" s="4">
        <f>95.0781 * CHOOSE(CONTROL!$C$10, $C$13, 100%, $E$13) + CHOOSE(CONTROL!$C$29, 0.0021, 0)</f>
        <v>95.080200000000005</v>
      </c>
      <c r="E984" s="4">
        <f>521.471681282005 * CHOOSE(CONTROL!$C$10, $C$13, 100%, $E$13) + CHOOSE(CONTROL!$C$29, 0.0021, 0)</f>
        <v>521.47378128200501</v>
      </c>
    </row>
    <row r="985" spans="1:5" ht="15">
      <c r="A985" s="13">
        <v>71132</v>
      </c>
      <c r="B985" s="4">
        <f>77.4993 * CHOOSE(CONTROL!$C$10, $C$13, 100%, $E$13) + CHOOSE(CONTROL!$C$29, 0.0274, 0)</f>
        <v>77.526700000000005</v>
      </c>
      <c r="C985" s="4">
        <f>77.343 * CHOOSE(CONTROL!$C$10, $C$13, 100%, $E$13) + CHOOSE(CONTROL!$C$29, 0.0274, 0)</f>
        <v>77.370400000000004</v>
      </c>
      <c r="D985" s="4">
        <f>94.6015 * CHOOSE(CONTROL!$C$10, $C$13, 100%, $E$13) + CHOOSE(CONTROL!$C$29, 0.0021, 0)</f>
        <v>94.6036</v>
      </c>
      <c r="E985" s="4">
        <f>500.690591209942 * CHOOSE(CONTROL!$C$10, $C$13, 100%, $E$13) + CHOOSE(CONTROL!$C$29, 0.0021, 0)</f>
        <v>500.69269120994198</v>
      </c>
    </row>
    <row r="986" spans="1:5" ht="15">
      <c r="A986" s="13">
        <v>71163</v>
      </c>
      <c r="B986" s="4">
        <f>74.9448 * CHOOSE(CONTROL!$C$10, $C$13, 100%, $E$13) + CHOOSE(CONTROL!$C$29, 0.0274, 0)</f>
        <v>74.972200000000001</v>
      </c>
      <c r="C986" s="4">
        <f>74.7886 * CHOOSE(CONTROL!$C$10, $C$13, 100%, $E$13) + CHOOSE(CONTROL!$C$29, 0.0274, 0)</f>
        <v>74.816000000000003</v>
      </c>
      <c r="D986" s="4">
        <f>93.3255 * CHOOSE(CONTROL!$C$10, $C$13, 100%, $E$13) + CHOOSE(CONTROL!$C$29, 0.0021, 0)</f>
        <v>93.327600000000004</v>
      </c>
      <c r="E986" s="4">
        <f>484.054916766289 * CHOOSE(CONTROL!$C$10, $C$13, 100%, $E$13) + CHOOSE(CONTROL!$C$29, 0.0021, 0)</f>
        <v>484.057016766289</v>
      </c>
    </row>
    <row r="987" spans="1:5" ht="15">
      <c r="A987" s="13">
        <v>71193</v>
      </c>
      <c r="B987" s="4">
        <f>73.2996 * CHOOSE(CONTROL!$C$10, $C$13, 100%, $E$13) + CHOOSE(CONTROL!$C$29, 0.0274, 0)</f>
        <v>73.326999999999998</v>
      </c>
      <c r="C987" s="4">
        <f>73.1433 * CHOOSE(CONTROL!$C$10, $C$13, 100%, $E$13) + CHOOSE(CONTROL!$C$29, 0.0274, 0)</f>
        <v>73.170699999999997</v>
      </c>
      <c r="D987" s="4">
        <f>92.8868 * CHOOSE(CONTROL!$C$10, $C$13, 100%, $E$13) + CHOOSE(CONTROL!$C$29, 0.0021, 0)</f>
        <v>92.888899999999992</v>
      </c>
      <c r="E987" s="4">
        <f>473.340300150186 * CHOOSE(CONTROL!$C$10, $C$13, 100%, $E$13) + CHOOSE(CONTROL!$C$29, 0.0021, 0)</f>
        <v>473.34240015018599</v>
      </c>
    </row>
    <row r="988" spans="1:5" ht="15">
      <c r="A988" s="13">
        <v>71224</v>
      </c>
      <c r="B988" s="4">
        <f>72.1613 * CHOOSE(CONTROL!$C$10, $C$13, 100%, $E$13) + CHOOSE(CONTROL!$C$29, 0.0274, 0)</f>
        <v>72.188699999999997</v>
      </c>
      <c r="C988" s="4">
        <f>72.005 * CHOOSE(CONTROL!$C$10, $C$13, 100%, $E$13) + CHOOSE(CONTROL!$C$29, 0.0274, 0)</f>
        <v>72.032399999999996</v>
      </c>
      <c r="D988" s="4">
        <f>89.6571 * CHOOSE(CONTROL!$C$10, $C$13, 100%, $E$13) + CHOOSE(CONTROL!$C$29, 0.0021, 0)</f>
        <v>89.659199999999998</v>
      </c>
      <c r="E988" s="4">
        <f>465.927162756059 * CHOOSE(CONTROL!$C$10, $C$13, 100%, $E$13) + CHOOSE(CONTROL!$C$29, 0.0021, 0)</f>
        <v>465.92926275605896</v>
      </c>
    </row>
    <row r="989" spans="1:5" ht="15">
      <c r="A989" s="13">
        <v>71255</v>
      </c>
      <c r="B989" s="4">
        <f>69.1778 * CHOOSE(CONTROL!$C$10, $C$13, 100%, $E$13) + CHOOSE(CONTROL!$C$29, 0.0274, 0)</f>
        <v>69.205200000000005</v>
      </c>
      <c r="C989" s="4">
        <f>69.0216 * CHOOSE(CONTROL!$C$10, $C$13, 100%, $E$13) + CHOOSE(CONTROL!$C$29, 0.0274, 0)</f>
        <v>69.049000000000007</v>
      </c>
      <c r="D989" s="4">
        <f>85.9387 * CHOOSE(CONTROL!$C$10, $C$13, 100%, $E$13) + CHOOSE(CONTROL!$C$29, 0.0021, 0)</f>
        <v>85.940799999999996</v>
      </c>
      <c r="E989" s="4">
        <f>446.51940317412 * CHOOSE(CONTROL!$C$10, $C$13, 100%, $E$13) + CHOOSE(CONTROL!$C$29, 0.0021, 0)</f>
        <v>446.52150317411997</v>
      </c>
    </row>
    <row r="990" spans="1:5" ht="15">
      <c r="A990" s="13">
        <v>71283</v>
      </c>
      <c r="B990" s="4">
        <f>70.8057 * CHOOSE(CONTROL!$C$10, $C$13, 100%, $E$13) + CHOOSE(CONTROL!$C$29, 0.0274, 0)</f>
        <v>70.833100000000002</v>
      </c>
      <c r="C990" s="4">
        <f>70.6495 * CHOOSE(CONTROL!$C$10, $C$13, 100%, $E$13) + CHOOSE(CONTROL!$C$29, 0.0274, 0)</f>
        <v>70.676900000000003</v>
      </c>
      <c r="D990" s="4">
        <f>88.9014 * CHOOSE(CONTROL!$C$10, $C$13, 100%, $E$13) + CHOOSE(CONTROL!$C$29, 0.0021, 0)</f>
        <v>88.903499999999994</v>
      </c>
      <c r="E990" s="4">
        <f>457.121533498005 * CHOOSE(CONTROL!$C$10, $C$13, 100%, $E$13) + CHOOSE(CONTROL!$C$29, 0.0021, 0)</f>
        <v>457.12363349800501</v>
      </c>
    </row>
    <row r="991" spans="1:5" ht="15">
      <c r="A991" s="13">
        <v>71314</v>
      </c>
      <c r="B991" s="4">
        <f>75.0807 * CHOOSE(CONTROL!$C$10, $C$13, 100%, $E$13) + CHOOSE(CONTROL!$C$29, 0.0274, 0)</f>
        <v>75.108099999999993</v>
      </c>
      <c r="C991" s="4">
        <f>74.9244 * CHOOSE(CONTROL!$C$10, $C$13, 100%, $E$13) + CHOOSE(CONTROL!$C$29, 0.0274, 0)</f>
        <v>74.951800000000006</v>
      </c>
      <c r="D991" s="4">
        <f>93.5393 * CHOOSE(CONTROL!$C$10, $C$13, 100%, $E$13) + CHOOSE(CONTROL!$C$29, 0.0021, 0)</f>
        <v>93.541399999999996</v>
      </c>
      <c r="E991" s="4">
        <f>484.963291159951 * CHOOSE(CONTROL!$C$10, $C$13, 100%, $E$13) + CHOOSE(CONTROL!$C$29, 0.0021, 0)</f>
        <v>484.96539115995097</v>
      </c>
    </row>
    <row r="992" spans="1:5" ht="15">
      <c r="A992" s="13">
        <v>71344</v>
      </c>
      <c r="B992" s="4">
        <f>78.1181 * CHOOSE(CONTROL!$C$10, $C$13, 100%, $E$13) + CHOOSE(CONTROL!$C$29, 0.0274, 0)</f>
        <v>78.145499999999998</v>
      </c>
      <c r="C992" s="4">
        <f>77.9618 * CHOOSE(CONTROL!$C$10, $C$13, 100%, $E$13) + CHOOSE(CONTROL!$C$29, 0.0274, 0)</f>
        <v>77.989199999999997</v>
      </c>
      <c r="D992" s="4">
        <f>96.2109 * CHOOSE(CONTROL!$C$10, $C$13, 100%, $E$13) + CHOOSE(CONTROL!$C$29, 0.0021, 0)</f>
        <v>96.212999999999994</v>
      </c>
      <c r="E992" s="4">
        <f>504.745231018969 * CHOOSE(CONTROL!$C$10, $C$13, 100%, $E$13) + CHOOSE(CONTROL!$C$29, 0.0021, 0)</f>
        <v>504.74733101896896</v>
      </c>
    </row>
    <row r="993" spans="1:5" ht="15">
      <c r="A993" s="13">
        <v>71375</v>
      </c>
      <c r="B993" s="4">
        <f>79.9739 * CHOOSE(CONTROL!$C$10, $C$13, 100%, $E$13) + CHOOSE(CONTROL!$C$29, 0.0274, 0)</f>
        <v>80.001300000000001</v>
      </c>
      <c r="C993" s="4">
        <f>79.8176 * CHOOSE(CONTROL!$C$10, $C$13, 100%, $E$13) + CHOOSE(CONTROL!$C$29, 0.0274, 0)</f>
        <v>79.844999999999999</v>
      </c>
      <c r="D993" s="4">
        <f>95.1552 * CHOOSE(CONTROL!$C$10, $C$13, 100%, $E$13) + CHOOSE(CONTROL!$C$29, 0.0021, 0)</f>
        <v>95.157299999999992</v>
      </c>
      <c r="E993" s="4">
        <f>516.831522165899 * CHOOSE(CONTROL!$C$10, $C$13, 100%, $E$13) + CHOOSE(CONTROL!$C$29, 0.0021, 0)</f>
        <v>516.83362216589899</v>
      </c>
    </row>
    <row r="994" spans="1:5" ht="15">
      <c r="A994" s="13">
        <v>71405</v>
      </c>
      <c r="B994" s="4">
        <f>80.225 * CHOOSE(CONTROL!$C$10, $C$13, 100%, $E$13) + CHOOSE(CONTROL!$C$29, 0.0274, 0)</f>
        <v>80.252399999999994</v>
      </c>
      <c r="C994" s="4">
        <f>80.0687 * CHOOSE(CONTROL!$C$10, $C$13, 100%, $E$13) + CHOOSE(CONTROL!$C$29, 0.0274, 0)</f>
        <v>80.096100000000007</v>
      </c>
      <c r="D994" s="4">
        <f>96.015 * CHOOSE(CONTROL!$C$10, $C$13, 100%, $E$13) + CHOOSE(CONTROL!$C$29, 0.0021, 0)</f>
        <v>96.017099999999999</v>
      </c>
      <c r="E994" s="4">
        <f>518.466847517218 * CHOOSE(CONTROL!$C$10, $C$13, 100%, $E$13) + CHOOSE(CONTROL!$C$29, 0.0021, 0)</f>
        <v>518.468947517218</v>
      </c>
    </row>
    <row r="995" spans="1:5" ht="15">
      <c r="A995" s="13">
        <v>71436</v>
      </c>
      <c r="B995" s="4">
        <f>80.1996 * CHOOSE(CONTROL!$C$10, $C$13, 100%, $E$13) + CHOOSE(CONTROL!$C$29, 0.0274, 0)</f>
        <v>80.227000000000004</v>
      </c>
      <c r="C995" s="4">
        <f>80.0434 * CHOOSE(CONTROL!$C$10, $C$13, 100%, $E$13) + CHOOSE(CONTROL!$C$29, 0.0274, 0)</f>
        <v>80.070800000000006</v>
      </c>
      <c r="D995" s="4">
        <f>97.5663 * CHOOSE(CONTROL!$C$10, $C$13, 100%, $E$13) + CHOOSE(CONTROL!$C$29, 0.0021, 0)</f>
        <v>97.568399999999997</v>
      </c>
      <c r="E995" s="4">
        <f>518.301940759102 * CHOOSE(CONTROL!$C$10, $C$13, 100%, $E$13) + CHOOSE(CONTROL!$C$29, 0.0021, 0)</f>
        <v>518.30404075910201</v>
      </c>
    </row>
    <row r="996" spans="1:5" ht="15">
      <c r="A996" s="13">
        <v>71467</v>
      </c>
      <c r="B996" s="4">
        <f>82.105 * CHOOSE(CONTROL!$C$10, $C$13, 100%, $E$13) + CHOOSE(CONTROL!$C$29, 0.0274, 0)</f>
        <v>82.132400000000004</v>
      </c>
      <c r="C996" s="4">
        <f>81.9488 * CHOOSE(CONTROL!$C$10, $C$13, 100%, $E$13) + CHOOSE(CONTROL!$C$29, 0.0274, 0)</f>
        <v>81.976200000000006</v>
      </c>
      <c r="D996" s="4">
        <f>96.5418 * CHOOSE(CONTROL!$C$10, $C$13, 100%, $E$13) + CHOOSE(CONTROL!$C$29, 0.0021, 0)</f>
        <v>96.543899999999994</v>
      </c>
      <c r="E996" s="4">
        <f>530.711174307343 * CHOOSE(CONTROL!$C$10, $C$13, 100%, $E$13) + CHOOSE(CONTROL!$C$29, 0.0021, 0)</f>
        <v>530.713274307343</v>
      </c>
    </row>
    <row r="997" spans="1:5" ht="15">
      <c r="A997" s="13">
        <v>71497</v>
      </c>
      <c r="B997" s="4">
        <f>78.8577 * CHOOSE(CONTROL!$C$10, $C$13, 100%, $E$13) + CHOOSE(CONTROL!$C$29, 0.0274, 0)</f>
        <v>78.885099999999994</v>
      </c>
      <c r="C997" s="4">
        <f>78.7014 * CHOOSE(CONTROL!$C$10, $C$13, 100%, $E$13) + CHOOSE(CONTROL!$C$29, 0.0274, 0)</f>
        <v>78.728800000000007</v>
      </c>
      <c r="D997" s="4">
        <f>96.0577 * CHOOSE(CONTROL!$C$10, $C$13, 100%, $E$13) + CHOOSE(CONTROL!$C$29, 0.0021, 0)</f>
        <v>96.059799999999996</v>
      </c>
      <c r="E997" s="4">
        <f>509.561882578945 * CHOOSE(CONTROL!$C$10, $C$13, 100%, $E$13) + CHOOSE(CONTROL!$C$29, 0.0021, 0)</f>
        <v>509.563982578945</v>
      </c>
    </row>
    <row r="998" spans="1:5" ht="15">
      <c r="A998" s="13">
        <v>71528</v>
      </c>
      <c r="B998" s="4">
        <f>76.2581 * CHOOSE(CONTROL!$C$10, $C$13, 100%, $E$13) + CHOOSE(CONTROL!$C$29, 0.0274, 0)</f>
        <v>76.285499999999999</v>
      </c>
      <c r="C998" s="4">
        <f>76.1018 * CHOOSE(CONTROL!$C$10, $C$13, 100%, $E$13) + CHOOSE(CONTROL!$C$29, 0.0274, 0)</f>
        <v>76.129199999999997</v>
      </c>
      <c r="D998" s="4">
        <f>94.7616 * CHOOSE(CONTROL!$C$10, $C$13, 100%, $E$13) + CHOOSE(CONTROL!$C$29, 0.0021, 0)</f>
        <v>94.7637</v>
      </c>
      <c r="E998" s="4">
        <f>492.631455412352 * CHOOSE(CONTROL!$C$10, $C$13, 100%, $E$13) + CHOOSE(CONTROL!$C$29, 0.0021, 0)</f>
        <v>492.633555412352</v>
      </c>
    </row>
    <row r="999" spans="1:5" ht="15">
      <c r="A999" s="13">
        <v>71558</v>
      </c>
      <c r="B999" s="4">
        <f>74.5838 * CHOOSE(CONTROL!$C$10, $C$13, 100%, $E$13) + CHOOSE(CONTROL!$C$29, 0.0274, 0)</f>
        <v>74.611199999999997</v>
      </c>
      <c r="C999" s="4">
        <f>74.4275 * CHOOSE(CONTROL!$C$10, $C$13, 100%, $E$13) + CHOOSE(CONTROL!$C$29, 0.0274, 0)</f>
        <v>74.454899999999995</v>
      </c>
      <c r="D999" s="4">
        <f>94.316 * CHOOSE(CONTROL!$C$10, $C$13, 100%, $E$13) + CHOOSE(CONTROL!$C$29, 0.0021, 0)</f>
        <v>94.318100000000001</v>
      </c>
      <c r="E999" s="4">
        <f>481.726996031921 * CHOOSE(CONTROL!$C$10, $C$13, 100%, $E$13) + CHOOSE(CONTROL!$C$29, 0.0021, 0)</f>
        <v>481.72909603192096</v>
      </c>
    </row>
    <row r="1000" spans="1:5" ht="15">
      <c r="A1000" s="13">
        <v>71589</v>
      </c>
      <c r="B1000" s="4">
        <f>73.4253 * CHOOSE(CONTROL!$C$10, $C$13, 100%, $E$13) + CHOOSE(CONTROL!$C$29, 0.0274, 0)</f>
        <v>73.452699999999993</v>
      </c>
      <c r="C1000" s="4">
        <f>73.2691 * CHOOSE(CONTROL!$C$10, $C$13, 100%, $E$13) + CHOOSE(CONTROL!$C$29, 0.0274, 0)</f>
        <v>73.296499999999995</v>
      </c>
      <c r="D1000" s="4">
        <f>91.0356 * CHOOSE(CONTROL!$C$10, $C$13, 100%, $E$13) + CHOOSE(CONTROL!$C$29, 0.0021, 0)</f>
        <v>91.037700000000001</v>
      </c>
      <c r="E1000" s="4">
        <f>474.182511848107 * CHOOSE(CONTROL!$C$10, $C$13, 100%, $E$13) + CHOOSE(CONTROL!$C$29, 0.0021, 0)</f>
        <v>474.18461184810701</v>
      </c>
    </row>
    <row r="1001" spans="1:5" ht="15">
      <c r="A1001" s="13">
        <v>71620</v>
      </c>
      <c r="B1001" s="4">
        <f>70.3892 * CHOOSE(CONTROL!$C$10, $C$13, 100%, $E$13) + CHOOSE(CONTROL!$C$29, 0.0274, 0)</f>
        <v>70.416600000000003</v>
      </c>
      <c r="C1001" s="4">
        <f>70.2329 * CHOOSE(CONTROL!$C$10, $C$13, 100%, $E$13) + CHOOSE(CONTROL!$C$29, 0.0274, 0)</f>
        <v>70.260300000000001</v>
      </c>
      <c r="D1001" s="4">
        <f>87.2587 * CHOOSE(CONTROL!$C$10, $C$13, 100%, $E$13) + CHOOSE(CONTROL!$C$29, 0.0021, 0)</f>
        <v>87.260800000000003</v>
      </c>
      <c r="E1001" s="4">
        <f>454.430883431615 * CHOOSE(CONTROL!$C$10, $C$13, 100%, $E$13) + CHOOSE(CONTROL!$C$29, 0.0021, 0)</f>
        <v>454.43298343161496</v>
      </c>
    </row>
    <row r="1002" spans="1:5" ht="15">
      <c r="A1002" s="13">
        <v>71649</v>
      </c>
      <c r="B1002" s="4">
        <f>72.0458 * CHOOSE(CONTROL!$C$10, $C$13, 100%, $E$13) + CHOOSE(CONTROL!$C$29, 0.0274, 0)</f>
        <v>72.0732</v>
      </c>
      <c r="C1002" s="4">
        <f>71.8896 * CHOOSE(CONTROL!$C$10, $C$13, 100%, $E$13) + CHOOSE(CONTROL!$C$29, 0.0274, 0)</f>
        <v>71.917000000000002</v>
      </c>
      <c r="D1002" s="4">
        <f>90.268 * CHOOSE(CONTROL!$C$10, $C$13, 100%, $E$13) + CHOOSE(CONTROL!$C$29, 0.0021, 0)</f>
        <v>90.270099999999999</v>
      </c>
      <c r="E1002" s="4">
        <f>465.220863475241 * CHOOSE(CONTROL!$C$10, $C$13, 100%, $E$13) + CHOOSE(CONTROL!$C$29, 0.0021, 0)</f>
        <v>465.22296347524099</v>
      </c>
    </row>
    <row r="1003" spans="1:5" ht="15">
      <c r="A1003" s="13">
        <v>71680</v>
      </c>
      <c r="B1003" s="4">
        <f>76.3963 * CHOOSE(CONTROL!$C$10, $C$13, 100%, $E$13) + CHOOSE(CONTROL!$C$29, 0.0274, 0)</f>
        <v>76.423699999999997</v>
      </c>
      <c r="C1003" s="4">
        <f>76.2401 * CHOOSE(CONTROL!$C$10, $C$13, 100%, $E$13) + CHOOSE(CONTROL!$C$29, 0.0274, 0)</f>
        <v>76.267499999999998</v>
      </c>
      <c r="D1003" s="4">
        <f>94.9788 * CHOOSE(CONTROL!$C$10, $C$13, 100%, $E$13) + CHOOSE(CONTROL!$C$29, 0.0021, 0)</f>
        <v>94.980900000000005</v>
      </c>
      <c r="E1003" s="4">
        <f>493.555924484164 * CHOOSE(CONTROL!$C$10, $C$13, 100%, $E$13) + CHOOSE(CONTROL!$C$29, 0.0021, 0)</f>
        <v>493.55802448416398</v>
      </c>
    </row>
    <row r="1004" spans="1:5" ht="15">
      <c r="A1004" s="13">
        <v>71710</v>
      </c>
      <c r="B1004" s="4">
        <f>79.4874 * CHOOSE(CONTROL!$C$10, $C$13, 100%, $E$13) + CHOOSE(CONTROL!$C$29, 0.0274, 0)</f>
        <v>79.514799999999994</v>
      </c>
      <c r="C1004" s="4">
        <f>79.3311 * CHOOSE(CONTROL!$C$10, $C$13, 100%, $E$13) + CHOOSE(CONTROL!$C$29, 0.0274, 0)</f>
        <v>79.358500000000006</v>
      </c>
      <c r="D1004" s="4">
        <f>97.6924 * CHOOSE(CONTROL!$C$10, $C$13, 100%, $E$13) + CHOOSE(CONTROL!$C$29, 0.0021, 0)</f>
        <v>97.694500000000005</v>
      </c>
      <c r="E1004" s="4">
        <f>513.688362945342 * CHOOSE(CONTROL!$C$10, $C$13, 100%, $E$13) + CHOOSE(CONTROL!$C$29, 0.0021, 0)</f>
        <v>513.69046294534201</v>
      </c>
    </row>
    <row r="1005" spans="1:5" ht="15">
      <c r="A1005" s="13">
        <v>71741</v>
      </c>
      <c r="B1005" s="4">
        <f>81.376 * CHOOSE(CONTROL!$C$10, $C$13, 100%, $E$13) + CHOOSE(CONTROL!$C$29, 0.0274, 0)</f>
        <v>81.403400000000005</v>
      </c>
      <c r="C1005" s="4">
        <f>81.2197 * CHOOSE(CONTROL!$C$10, $C$13, 100%, $E$13) + CHOOSE(CONTROL!$C$29, 0.0274, 0)</f>
        <v>81.247100000000003</v>
      </c>
      <c r="D1005" s="4">
        <f>96.6201 * CHOOSE(CONTROL!$C$10, $C$13, 100%, $E$13) + CHOOSE(CONTROL!$C$29, 0.0021, 0)</f>
        <v>96.622199999999992</v>
      </c>
      <c r="E1005" s="4">
        <f>525.988800337912 * CHOOSE(CONTROL!$C$10, $C$13, 100%, $E$13) + CHOOSE(CONTROL!$C$29, 0.0021, 0)</f>
        <v>525.99090033791208</v>
      </c>
    </row>
    <row r="1006" spans="1:5" ht="15">
      <c r="A1006" s="13">
        <v>71771</v>
      </c>
      <c r="B1006" s="4">
        <f>81.6315 * CHOOSE(CONTROL!$C$10, $C$13, 100%, $E$13) + CHOOSE(CONTROL!$C$29, 0.0274, 0)</f>
        <v>81.658900000000003</v>
      </c>
      <c r="C1006" s="4">
        <f>81.4753 * CHOOSE(CONTROL!$C$10, $C$13, 100%, $E$13) + CHOOSE(CONTROL!$C$29, 0.0274, 0)</f>
        <v>81.502700000000004</v>
      </c>
      <c r="D1006" s="4">
        <f>97.4934 * CHOOSE(CONTROL!$C$10, $C$13, 100%, $E$13) + CHOOSE(CONTROL!$C$29, 0.0021, 0)</f>
        <v>97.495499999999993</v>
      </c>
      <c r="E1006" s="4">
        <f>527.653100564991 * CHOOSE(CONTROL!$C$10, $C$13, 100%, $E$13) + CHOOSE(CONTROL!$C$29, 0.0021, 0)</f>
        <v>527.65520056499099</v>
      </c>
    </row>
    <row r="1007" spans="1:5" ht="15">
      <c r="A1007" s="13">
        <v>71802</v>
      </c>
      <c r="B1007" s="4">
        <f>81.6057 * CHOOSE(CONTROL!$C$10, $C$13, 100%, $E$13) + CHOOSE(CONTROL!$C$29, 0.0274, 0)</f>
        <v>81.633099999999999</v>
      </c>
      <c r="C1007" s="4">
        <f>81.4495 * CHOOSE(CONTROL!$C$10, $C$13, 100%, $E$13) + CHOOSE(CONTROL!$C$29, 0.0274, 0)</f>
        <v>81.476900000000001</v>
      </c>
      <c r="D1007" s="4">
        <f>99.0691 * CHOOSE(CONTROL!$C$10, $C$13, 100%, $E$13) + CHOOSE(CONTROL!$C$29, 0.0021, 0)</f>
        <v>99.071200000000005</v>
      </c>
      <c r="E1007" s="4">
        <f>527.485271970664 * CHOOSE(CONTROL!$C$10, $C$13, 100%, $E$13) + CHOOSE(CONTROL!$C$29, 0.0021, 0)</f>
        <v>527.48737197066407</v>
      </c>
    </row>
    <row r="1008" spans="1:5" ht="15">
      <c r="A1008" s="13">
        <v>71833</v>
      </c>
      <c r="B1008" s="4">
        <f>83.5448 * CHOOSE(CONTROL!$C$10, $C$13, 100%, $E$13) + CHOOSE(CONTROL!$C$29, 0.0274, 0)</f>
        <v>83.572199999999995</v>
      </c>
      <c r="C1008" s="4">
        <f>83.3885 * CHOOSE(CONTROL!$C$10, $C$13, 100%, $E$13) + CHOOSE(CONTROL!$C$29, 0.0274, 0)</f>
        <v>83.415899999999993</v>
      </c>
      <c r="D1008" s="4">
        <f>98.0285 * CHOOSE(CONTROL!$C$10, $C$13, 100%, $E$13) + CHOOSE(CONTROL!$C$29, 0.0021, 0)</f>
        <v>98.030599999999993</v>
      </c>
      <c r="E1008" s="4">
        <f>540.114373693792 * CHOOSE(CONTROL!$C$10, $C$13, 100%, $E$13) + CHOOSE(CONTROL!$C$29, 0.0021, 0)</f>
        <v>540.11647369379205</v>
      </c>
    </row>
    <row r="1009" spans="1:5" ht="15">
      <c r="A1009" s="13">
        <v>71863</v>
      </c>
      <c r="B1009" s="4">
        <f>80.24 * CHOOSE(CONTROL!$C$10, $C$13, 100%, $E$13) + CHOOSE(CONTROL!$C$29, 0.0274, 0)</f>
        <v>80.267399999999995</v>
      </c>
      <c r="C1009" s="4">
        <f>80.0838 * CHOOSE(CONTROL!$C$10, $C$13, 100%, $E$13) + CHOOSE(CONTROL!$C$29, 0.0274, 0)</f>
        <v>80.111199999999997</v>
      </c>
      <c r="D1009" s="4">
        <f>97.5369 * CHOOSE(CONTROL!$C$10, $C$13, 100%, $E$13) + CHOOSE(CONTROL!$C$29, 0.0021, 0)</f>
        <v>97.539000000000001</v>
      </c>
      <c r="E1009" s="4">
        <f>518.590356471318 * CHOOSE(CONTROL!$C$10, $C$13, 100%, $E$13) + CHOOSE(CONTROL!$C$29, 0.0021, 0)</f>
        <v>518.59245647131809</v>
      </c>
    </row>
    <row r="1010" spans="1:5" ht="15">
      <c r="A1010" s="13">
        <v>71894</v>
      </c>
      <c r="B1010" s="4">
        <f>77.5945 * CHOOSE(CONTROL!$C$10, $C$13, 100%, $E$13) + CHOOSE(CONTROL!$C$29, 0.0274, 0)</f>
        <v>77.621899999999997</v>
      </c>
      <c r="C1010" s="4">
        <f>77.4383 * CHOOSE(CONTROL!$C$10, $C$13, 100%, $E$13) + CHOOSE(CONTROL!$C$29, 0.0274, 0)</f>
        <v>77.465699999999998</v>
      </c>
      <c r="D1010" s="4">
        <f>96.2204 * CHOOSE(CONTROL!$C$10, $C$13, 100%, $E$13) + CHOOSE(CONTROL!$C$29, 0.0021, 0)</f>
        <v>96.222499999999997</v>
      </c>
      <c r="E1010" s="4">
        <f>501.359954120383 * CHOOSE(CONTROL!$C$10, $C$13, 100%, $E$13) + CHOOSE(CONTROL!$C$29, 0.0021, 0)</f>
        <v>501.36205412038299</v>
      </c>
    </row>
    <row r="1011" spans="1:5" ht="15">
      <c r="A1011" s="13">
        <v>71924</v>
      </c>
      <c r="B1011" s="4">
        <f>75.8906 * CHOOSE(CONTROL!$C$10, $C$13, 100%, $E$13) + CHOOSE(CONTROL!$C$29, 0.0274, 0)</f>
        <v>75.918000000000006</v>
      </c>
      <c r="C1011" s="4">
        <f>75.7344 * CHOOSE(CONTROL!$C$10, $C$13, 100%, $E$13) + CHOOSE(CONTROL!$C$29, 0.0274, 0)</f>
        <v>75.761799999999994</v>
      </c>
      <c r="D1011" s="4">
        <f>95.7678 * CHOOSE(CONTROL!$C$10, $C$13, 100%, $E$13) + CHOOSE(CONTROL!$C$29, 0.0021, 0)</f>
        <v>95.769899999999993</v>
      </c>
      <c r="E1011" s="4">
        <f>490.262288320491 * CHOOSE(CONTROL!$C$10, $C$13, 100%, $E$13) + CHOOSE(CONTROL!$C$29, 0.0021, 0)</f>
        <v>490.26438832049098</v>
      </c>
    </row>
    <row r="1012" spans="1:5" ht="15">
      <c r="A1012" s="13">
        <v>71955</v>
      </c>
      <c r="B1012" s="4">
        <f>74.7117 * CHOOSE(CONTROL!$C$10, $C$13, 100%, $E$13) + CHOOSE(CONTROL!$C$29, 0.0274, 0)</f>
        <v>74.739099999999993</v>
      </c>
      <c r="C1012" s="4">
        <f>74.5555 * CHOOSE(CONTROL!$C$10, $C$13, 100%, $E$13) + CHOOSE(CONTROL!$C$29, 0.0274, 0)</f>
        <v>74.582899999999995</v>
      </c>
      <c r="D1012" s="4">
        <f>92.4357 * CHOOSE(CONTROL!$C$10, $C$13, 100%, $E$13) + CHOOSE(CONTROL!$C$29, 0.0021, 0)</f>
        <v>92.437799999999996</v>
      </c>
      <c r="E1012" s="4">
        <f>482.584130130018 * CHOOSE(CONTROL!$C$10, $C$13, 100%, $E$13) + CHOOSE(CONTROL!$C$29, 0.0021, 0)</f>
        <v>482.58623013001801</v>
      </c>
    </row>
    <row r="1013" spans="1:5" ht="15">
      <c r="A1013" s="13">
        <v>71986</v>
      </c>
      <c r="B1013" s="4">
        <f>71.6219 * CHOOSE(CONTROL!$C$10, $C$13, 100%, $E$13) + CHOOSE(CONTROL!$C$29, 0.0274, 0)</f>
        <v>71.649299999999997</v>
      </c>
      <c r="C1013" s="4">
        <f>71.4657 * CHOOSE(CONTROL!$C$10, $C$13, 100%, $E$13) + CHOOSE(CONTROL!$C$29, 0.0274, 0)</f>
        <v>71.493099999999998</v>
      </c>
      <c r="D1013" s="4">
        <f>88.5995 * CHOOSE(CONTROL!$C$10, $C$13, 100%, $E$13) + CHOOSE(CONTROL!$C$29, 0.0021, 0)</f>
        <v>88.601600000000005</v>
      </c>
      <c r="E1013" s="4">
        <f>462.482540172864 * CHOOSE(CONTROL!$C$10, $C$13, 100%, $E$13) + CHOOSE(CONTROL!$C$29, 0.0021, 0)</f>
        <v>462.48464017286398</v>
      </c>
    </row>
    <row r="1014" spans="1:5" ht="15">
      <c r="A1014" s="13">
        <v>72014</v>
      </c>
      <c r="B1014" s="4">
        <f>73.3079 * CHOOSE(CONTROL!$C$10, $C$13, 100%, $E$13) + CHOOSE(CONTROL!$C$29, 0.0274, 0)</f>
        <v>73.335300000000004</v>
      </c>
      <c r="C1014" s="4">
        <f>73.1516 * CHOOSE(CONTROL!$C$10, $C$13, 100%, $E$13) + CHOOSE(CONTROL!$C$29, 0.0274, 0)</f>
        <v>73.179000000000002</v>
      </c>
      <c r="D1014" s="4">
        <f>91.6561 * CHOOSE(CONTROL!$C$10, $C$13, 100%, $E$13) + CHOOSE(CONTROL!$C$29, 0.0021, 0)</f>
        <v>91.658199999999994</v>
      </c>
      <c r="E1014" s="4">
        <f>473.463698278377 * CHOOSE(CONTROL!$C$10, $C$13, 100%, $E$13) + CHOOSE(CONTROL!$C$29, 0.0021, 0)</f>
        <v>473.46579827837701</v>
      </c>
    </row>
    <row r="1015" spans="1:5" ht="15">
      <c r="A1015" s="13">
        <v>72045</v>
      </c>
      <c r="B1015" s="4">
        <f>77.7352 * CHOOSE(CONTROL!$C$10, $C$13, 100%, $E$13) + CHOOSE(CONTROL!$C$29, 0.0274, 0)</f>
        <v>77.762600000000006</v>
      </c>
      <c r="C1015" s="4">
        <f>77.579 * CHOOSE(CONTROL!$C$10, $C$13, 100%, $E$13) + CHOOSE(CONTROL!$C$29, 0.0274, 0)</f>
        <v>77.606399999999994</v>
      </c>
      <c r="D1015" s="4">
        <f>96.441 * CHOOSE(CONTROL!$C$10, $C$13, 100%, $E$13) + CHOOSE(CONTROL!$C$29, 0.0021, 0)</f>
        <v>96.443100000000001</v>
      </c>
      <c r="E1015" s="4">
        <f>502.300803037636 * CHOOSE(CONTROL!$C$10, $C$13, 100%, $E$13) + CHOOSE(CONTROL!$C$29, 0.0021, 0)</f>
        <v>502.30290303763599</v>
      </c>
    </row>
    <row r="1016" spans="1:5" ht="15">
      <c r="A1016" s="13">
        <v>72075</v>
      </c>
      <c r="B1016" s="4">
        <f>80.8809 * CHOOSE(CONTROL!$C$10, $C$13, 100%, $E$13) + CHOOSE(CONTROL!$C$29, 0.0274, 0)</f>
        <v>80.908299999999997</v>
      </c>
      <c r="C1016" s="4">
        <f>80.7246 * CHOOSE(CONTROL!$C$10, $C$13, 100%, $E$13) + CHOOSE(CONTROL!$C$29, 0.0274, 0)</f>
        <v>80.751999999999995</v>
      </c>
      <c r="D1016" s="4">
        <f>99.1972 * CHOOSE(CONTROL!$C$10, $C$13, 100%, $E$13) + CHOOSE(CONTROL!$C$29, 0.0021, 0)</f>
        <v>99.199299999999994</v>
      </c>
      <c r="E1016" s="4">
        <f>522.789950274039 * CHOOSE(CONTROL!$C$10, $C$13, 100%, $E$13) + CHOOSE(CONTROL!$C$29, 0.0021, 0)</f>
        <v>522.79205027403907</v>
      </c>
    </row>
    <row r="1017" spans="1:5" ht="15">
      <c r="A1017" s="13">
        <v>72106</v>
      </c>
      <c r="B1017" s="4">
        <f>82.8028 * CHOOSE(CONTROL!$C$10, $C$13, 100%, $E$13) + CHOOSE(CONTROL!$C$29, 0.0274, 0)</f>
        <v>82.830200000000005</v>
      </c>
      <c r="C1017" s="4">
        <f>82.6466 * CHOOSE(CONTROL!$C$10, $C$13, 100%, $E$13) + CHOOSE(CONTROL!$C$29, 0.0274, 0)</f>
        <v>82.674000000000007</v>
      </c>
      <c r="D1017" s="4">
        <f>98.1081 * CHOOSE(CONTROL!$C$10, $C$13, 100%, $E$13) + CHOOSE(CONTROL!$C$29, 0.0021, 0)</f>
        <v>98.110199999999992</v>
      </c>
      <c r="E1017" s="4">
        <f>535.308328179157 * CHOOSE(CONTROL!$C$10, $C$13, 100%, $E$13) + CHOOSE(CONTROL!$C$29, 0.0021, 0)</f>
        <v>535.31042817915704</v>
      </c>
    </row>
    <row r="1018" spans="1:5" ht="15">
      <c r="A1018" s="13">
        <v>72136</v>
      </c>
      <c r="B1018" s="4">
        <f>83.0629 * CHOOSE(CONTROL!$C$10, $C$13, 100%, $E$13) + CHOOSE(CONTROL!$C$29, 0.0274, 0)</f>
        <v>83.090299999999999</v>
      </c>
      <c r="C1018" s="4">
        <f>82.9066 * CHOOSE(CONTROL!$C$10, $C$13, 100%, $E$13) + CHOOSE(CONTROL!$C$29, 0.0274, 0)</f>
        <v>82.933999999999997</v>
      </c>
      <c r="D1018" s="4">
        <f>98.9951 * CHOOSE(CONTROL!$C$10, $C$13, 100%, $E$13) + CHOOSE(CONTROL!$C$29, 0.0021, 0)</f>
        <v>98.997199999999992</v>
      </c>
      <c r="E1018" s="4">
        <f>537.002116662055 * CHOOSE(CONTROL!$C$10, $C$13, 100%, $E$13) + CHOOSE(CONTROL!$C$29, 0.0021, 0)</f>
        <v>537.004216662055</v>
      </c>
    </row>
    <row r="1019" spans="1:5" ht="15">
      <c r="A1019" s="13">
        <v>72167</v>
      </c>
      <c r="B1019" s="4">
        <f>83.0367 * CHOOSE(CONTROL!$C$10, $C$13, 100%, $E$13) + CHOOSE(CONTROL!$C$29, 0.0274, 0)</f>
        <v>83.064099999999996</v>
      </c>
      <c r="C1019" s="4">
        <f>82.8804 * CHOOSE(CONTROL!$C$10, $C$13, 100%, $E$13) + CHOOSE(CONTROL!$C$29, 0.0274, 0)</f>
        <v>82.907799999999995</v>
      </c>
      <c r="D1019" s="4">
        <f>100.5956 * CHOOSE(CONTROL!$C$10, $C$13, 100%, $E$13) + CHOOSE(CONTROL!$C$29, 0.0021, 0)</f>
        <v>100.5977</v>
      </c>
      <c r="E1019" s="4">
        <f>536.831314462099 * CHOOSE(CONTROL!$C$10, $C$13, 100%, $E$13) + CHOOSE(CONTROL!$C$29, 0.0021, 0)</f>
        <v>536.83341446209909</v>
      </c>
    </row>
    <row r="1020" spans="1:5" ht="15">
      <c r="A1020" s="13">
        <v>72198</v>
      </c>
      <c r="B1020" s="4">
        <f>85.01 * CHOOSE(CONTROL!$C$10, $C$13, 100%, $E$13) + CHOOSE(CONTROL!$C$29, 0.0274, 0)</f>
        <v>85.037400000000005</v>
      </c>
      <c r="C1020" s="4">
        <f>84.8537 * CHOOSE(CONTROL!$C$10, $C$13, 100%, $E$13) + CHOOSE(CONTROL!$C$29, 0.0274, 0)</f>
        <v>84.881100000000004</v>
      </c>
      <c r="D1020" s="4">
        <f>99.5386 * CHOOSE(CONTROL!$C$10, $C$13, 100%, $E$13) + CHOOSE(CONTROL!$C$29, 0.0021, 0)</f>
        <v>99.540700000000001</v>
      </c>
      <c r="E1020" s="4">
        <f>549.684180008797 * CHOOSE(CONTROL!$C$10, $C$13, 100%, $E$13) + CHOOSE(CONTROL!$C$29, 0.0021, 0)</f>
        <v>549.6862800087971</v>
      </c>
    </row>
    <row r="1021" spans="1:5" ht="15">
      <c r="A1021" s="13">
        <v>72228</v>
      </c>
      <c r="B1021" s="4">
        <f>81.6468 * CHOOSE(CONTROL!$C$10, $C$13, 100%, $E$13) + CHOOSE(CONTROL!$C$29, 0.0274, 0)</f>
        <v>81.674199999999999</v>
      </c>
      <c r="C1021" s="4">
        <f>81.4906 * CHOOSE(CONTROL!$C$10, $C$13, 100%, $E$13) + CHOOSE(CONTROL!$C$29, 0.0274, 0)</f>
        <v>81.518000000000001</v>
      </c>
      <c r="D1021" s="4">
        <f>99.0392 * CHOOSE(CONTROL!$C$10, $C$13, 100%, $E$13) + CHOOSE(CONTROL!$C$29, 0.0021, 0)</f>
        <v>99.041299999999993</v>
      </c>
      <c r="E1021" s="4">
        <f>527.778797864424 * CHOOSE(CONTROL!$C$10, $C$13, 100%, $E$13) + CHOOSE(CONTROL!$C$29, 0.0021, 0)</f>
        <v>527.78089786442399</v>
      </c>
    </row>
    <row r="1022" spans="1:5" ht="15">
      <c r="A1022" s="13">
        <v>72259</v>
      </c>
      <c r="B1022" s="4">
        <f>78.9546 * CHOOSE(CONTROL!$C$10, $C$13, 100%, $E$13) + CHOOSE(CONTROL!$C$29, 0.0274, 0)</f>
        <v>78.981999999999999</v>
      </c>
      <c r="C1022" s="4">
        <f>78.7983 * CHOOSE(CONTROL!$C$10, $C$13, 100%, $E$13) + CHOOSE(CONTROL!$C$29, 0.0274, 0)</f>
        <v>78.825699999999998</v>
      </c>
      <c r="D1022" s="4">
        <f>97.7021 * CHOOSE(CONTROL!$C$10, $C$13, 100%, $E$13) + CHOOSE(CONTROL!$C$29, 0.0021, 0)</f>
        <v>97.7042</v>
      </c>
      <c r="E1022" s="4">
        <f>510.243105335595 * CHOOSE(CONTROL!$C$10, $C$13, 100%, $E$13) + CHOOSE(CONTROL!$C$29, 0.0021, 0)</f>
        <v>510.24520533559496</v>
      </c>
    </row>
    <row r="1023" spans="1:5" ht="15">
      <c r="A1023" s="13">
        <v>72289</v>
      </c>
      <c r="B1023" s="4">
        <f>77.2206 * CHOOSE(CONTROL!$C$10, $C$13, 100%, $E$13) + CHOOSE(CONTROL!$C$29, 0.0274, 0)</f>
        <v>77.248000000000005</v>
      </c>
      <c r="C1023" s="4">
        <f>77.0643 * CHOOSE(CONTROL!$C$10, $C$13, 100%, $E$13) + CHOOSE(CONTROL!$C$29, 0.0274, 0)</f>
        <v>77.091700000000003</v>
      </c>
      <c r="D1023" s="4">
        <f>97.2424 * CHOOSE(CONTROL!$C$10, $C$13, 100%, $E$13) + CHOOSE(CONTROL!$C$29, 0.0021, 0)</f>
        <v>97.244500000000002</v>
      </c>
      <c r="E1023" s="4">
        <f>498.948809863497 * CHOOSE(CONTROL!$C$10, $C$13, 100%, $E$13) + CHOOSE(CONTROL!$C$29, 0.0021, 0)</f>
        <v>498.95090986349697</v>
      </c>
    </row>
    <row r="1024" spans="1:5" ht="15">
      <c r="A1024" s="13">
        <v>72320</v>
      </c>
      <c r="B1024" s="4">
        <f>76.0209 * CHOOSE(CONTROL!$C$10, $C$13, 100%, $E$13) + CHOOSE(CONTROL!$C$29, 0.0274, 0)</f>
        <v>76.048299999999998</v>
      </c>
      <c r="C1024" s="4">
        <f>75.8646 * CHOOSE(CONTROL!$C$10, $C$13, 100%, $E$13) + CHOOSE(CONTROL!$C$29, 0.0274, 0)</f>
        <v>75.891999999999996</v>
      </c>
      <c r="D1024" s="4">
        <f>93.8579 * CHOOSE(CONTROL!$C$10, $C$13, 100%, $E$13) + CHOOSE(CONTROL!$C$29, 0.0021, 0)</f>
        <v>93.86</v>
      </c>
      <c r="E1024" s="4">
        <f>491.134609215504 * CHOOSE(CONTROL!$C$10, $C$13, 100%, $E$13) + CHOOSE(CONTROL!$C$29, 0.0021, 0)</f>
        <v>491.13670921550397</v>
      </c>
    </row>
    <row r="1025" spans="1:5" ht="15">
      <c r="A1025" s="13">
        <v>72351</v>
      </c>
      <c r="B1025" s="4">
        <f>72.8765 * CHOOSE(CONTROL!$C$10, $C$13, 100%, $E$13) + CHOOSE(CONTROL!$C$29, 0.0274, 0)</f>
        <v>72.903899999999993</v>
      </c>
      <c r="C1025" s="4">
        <f>72.7202 * CHOOSE(CONTROL!$C$10, $C$13, 100%, $E$13) + CHOOSE(CONTROL!$C$29, 0.0274, 0)</f>
        <v>72.747600000000006</v>
      </c>
      <c r="D1025" s="4">
        <f>89.9613 * CHOOSE(CONTROL!$C$10, $C$13, 100%, $E$13) + CHOOSE(CONTROL!$C$29, 0.0021, 0)</f>
        <v>89.963399999999993</v>
      </c>
      <c r="E1025" s="4">
        <f>470.676857060337 * CHOOSE(CONTROL!$C$10, $C$13, 100%, $E$13) + CHOOSE(CONTROL!$C$29, 0.0021, 0)</f>
        <v>470.67895706033698</v>
      </c>
    </row>
    <row r="1026" spans="1:5" ht="15">
      <c r="A1026" s="13">
        <v>72379</v>
      </c>
      <c r="B1026" s="4">
        <f>74.5922 * CHOOSE(CONTROL!$C$10, $C$13, 100%, $E$13) + CHOOSE(CONTROL!$C$29, 0.0274, 0)</f>
        <v>74.619600000000005</v>
      </c>
      <c r="C1026" s="4">
        <f>74.4359 * CHOOSE(CONTROL!$C$10, $C$13, 100%, $E$13) + CHOOSE(CONTROL!$C$29, 0.0274, 0)</f>
        <v>74.463300000000004</v>
      </c>
      <c r="D1026" s="4">
        <f>93.066 * CHOOSE(CONTROL!$C$10, $C$13, 100%, $E$13) + CHOOSE(CONTROL!$C$29, 0.0021, 0)</f>
        <v>93.068100000000001</v>
      </c>
      <c r="E1026" s="4">
        <f>481.852580541819 * CHOOSE(CONTROL!$C$10, $C$13, 100%, $E$13) + CHOOSE(CONTROL!$C$29, 0.0021, 0)</f>
        <v>481.85468054181899</v>
      </c>
    </row>
    <row r="1027" spans="1:5" ht="15">
      <c r="A1027" s="13">
        <v>72410</v>
      </c>
      <c r="B1027" s="4">
        <f>79.0978 * CHOOSE(CONTROL!$C$10, $C$13, 100%, $E$13) + CHOOSE(CONTROL!$C$29, 0.0274, 0)</f>
        <v>79.125200000000007</v>
      </c>
      <c r="C1027" s="4">
        <f>78.9415 * CHOOSE(CONTROL!$C$10, $C$13, 100%, $E$13) + CHOOSE(CONTROL!$C$29, 0.0274, 0)</f>
        <v>78.968900000000005</v>
      </c>
      <c r="D1027" s="4">
        <f>97.9261 * CHOOSE(CONTROL!$C$10, $C$13, 100%, $E$13) + CHOOSE(CONTROL!$C$29, 0.0021, 0)</f>
        <v>97.928200000000004</v>
      </c>
      <c r="E1027" s="4">
        <f>511.200624318205 * CHOOSE(CONTROL!$C$10, $C$13, 100%, $E$13) + CHOOSE(CONTROL!$C$29, 0.0021, 0)</f>
        <v>511.20272431820496</v>
      </c>
    </row>
    <row r="1028" spans="1:5" ht="15">
      <c r="A1028" s="13">
        <v>72440</v>
      </c>
      <c r="B1028" s="4">
        <f>82.299 * CHOOSE(CONTROL!$C$10, $C$13, 100%, $E$13) + CHOOSE(CONTROL!$C$29, 0.0274, 0)</f>
        <v>82.326400000000007</v>
      </c>
      <c r="C1028" s="4">
        <f>82.1428 * CHOOSE(CONTROL!$C$10, $C$13, 100%, $E$13) + CHOOSE(CONTROL!$C$29, 0.0274, 0)</f>
        <v>82.170199999999994</v>
      </c>
      <c r="D1028" s="4">
        <f>100.7257 * CHOOSE(CONTROL!$C$10, $C$13, 100%, $E$13) + CHOOSE(CONTROL!$C$29, 0.0021, 0)</f>
        <v>100.7278</v>
      </c>
      <c r="E1028" s="4">
        <f>532.052800535435 * CHOOSE(CONTROL!$C$10, $C$13, 100%, $E$13) + CHOOSE(CONTROL!$C$29, 0.0021, 0)</f>
        <v>532.05490053543508</v>
      </c>
    </row>
    <row r="1029" spans="1:5" ht="15">
      <c r="A1029" s="13">
        <v>72471</v>
      </c>
      <c r="B1029" s="4">
        <f>84.2549 * CHOOSE(CONTROL!$C$10, $C$13, 100%, $E$13) + CHOOSE(CONTROL!$C$29, 0.0274, 0)</f>
        <v>84.282300000000006</v>
      </c>
      <c r="C1029" s="4">
        <f>84.0987 * CHOOSE(CONTROL!$C$10, $C$13, 100%, $E$13) + CHOOSE(CONTROL!$C$29, 0.0274, 0)</f>
        <v>84.126099999999994</v>
      </c>
      <c r="D1029" s="4">
        <f>99.6195 * CHOOSE(CONTROL!$C$10, $C$13, 100%, $E$13) + CHOOSE(CONTROL!$C$29, 0.0021, 0)</f>
        <v>99.621600000000001</v>
      </c>
      <c r="E1029" s="4">
        <f>544.792980447248 * CHOOSE(CONTROL!$C$10, $C$13, 100%, $E$13) + CHOOSE(CONTROL!$C$29, 0.0021, 0)</f>
        <v>544.7950804472481</v>
      </c>
    </row>
    <row r="1030" spans="1:5" ht="15">
      <c r="A1030" s="13">
        <v>72501</v>
      </c>
      <c r="B1030" s="4">
        <f>84.5196 * CHOOSE(CONTROL!$C$10, $C$13, 100%, $E$13) + CHOOSE(CONTROL!$C$29, 0.0274, 0)</f>
        <v>84.546999999999997</v>
      </c>
      <c r="C1030" s="4">
        <f>84.3633 * CHOOSE(CONTROL!$C$10, $C$13, 100%, $E$13) + CHOOSE(CONTROL!$C$29, 0.0274, 0)</f>
        <v>84.390699999999995</v>
      </c>
      <c r="D1030" s="4">
        <f>100.5204 * CHOOSE(CONTROL!$C$10, $C$13, 100%, $E$13) + CHOOSE(CONTROL!$C$29, 0.0021, 0)</f>
        <v>100.52249999999999</v>
      </c>
      <c r="E1030" s="4">
        <f>546.516779662149 * CHOOSE(CONTROL!$C$10, $C$13, 100%, $E$13) + CHOOSE(CONTROL!$C$29, 0.0021, 0)</f>
        <v>546.51887966214906</v>
      </c>
    </row>
    <row r="1031" spans="1:5" ht="15">
      <c r="A1031" s="13">
        <v>72532</v>
      </c>
      <c r="B1031" s="4">
        <f>84.4929 * CHOOSE(CONTROL!$C$10, $C$13, 100%, $E$13) + CHOOSE(CONTROL!$C$29, 0.0274, 0)</f>
        <v>84.520300000000006</v>
      </c>
      <c r="C1031" s="4">
        <f>84.3366 * CHOOSE(CONTROL!$C$10, $C$13, 100%, $E$13) + CHOOSE(CONTROL!$C$29, 0.0274, 0)</f>
        <v>84.364000000000004</v>
      </c>
      <c r="D1031" s="4">
        <f>102.1461 * CHOOSE(CONTROL!$C$10, $C$13, 100%, $E$13) + CHOOSE(CONTROL!$C$29, 0.0021, 0)</f>
        <v>102.1482</v>
      </c>
      <c r="E1031" s="4">
        <f>546.34295116989 * CHOOSE(CONTROL!$C$10, $C$13, 100%, $E$13) + CHOOSE(CONTROL!$C$29, 0.0021, 0)</f>
        <v>546.34505116988998</v>
      </c>
    </row>
    <row r="1032" spans="1:5" ht="15">
      <c r="A1032" s="13">
        <v>72563</v>
      </c>
      <c r="B1032" s="4">
        <f>86.501 * CHOOSE(CONTROL!$C$10, $C$13, 100%, $E$13) + CHOOSE(CONTROL!$C$29, 0.0274, 0)</f>
        <v>86.528400000000005</v>
      </c>
      <c r="C1032" s="4">
        <f>86.3448 * CHOOSE(CONTROL!$C$10, $C$13, 100%, $E$13) + CHOOSE(CONTROL!$C$29, 0.0274, 0)</f>
        <v>86.372200000000007</v>
      </c>
      <c r="D1032" s="4">
        <f>101.0725 * CHOOSE(CONTROL!$C$10, $C$13, 100%, $E$13) + CHOOSE(CONTROL!$C$29, 0.0021, 0)</f>
        <v>101.0746</v>
      </c>
      <c r="E1032" s="4">
        <f>559.423545212376 * CHOOSE(CONTROL!$C$10, $C$13, 100%, $E$13) + CHOOSE(CONTROL!$C$29, 0.0021, 0)</f>
        <v>559.42564521237603</v>
      </c>
    </row>
    <row r="1033" spans="1:5" ht="15">
      <c r="A1033" s="13">
        <v>72593</v>
      </c>
      <c r="B1033" s="4">
        <f>83.0785 * CHOOSE(CONTROL!$C$10, $C$13, 100%, $E$13) + CHOOSE(CONTROL!$C$29, 0.0274, 0)</f>
        <v>83.105900000000005</v>
      </c>
      <c r="C1033" s="4">
        <f>82.9222 * CHOOSE(CONTROL!$C$10, $C$13, 100%, $E$13) + CHOOSE(CONTROL!$C$29, 0.0274, 0)</f>
        <v>82.949600000000004</v>
      </c>
      <c r="D1033" s="4">
        <f>100.5653 * CHOOSE(CONTROL!$C$10, $C$13, 100%, $E$13) + CHOOSE(CONTROL!$C$29, 0.0021, 0)</f>
        <v>100.56739999999999</v>
      </c>
      <c r="E1033" s="4">
        <f>537.130041080166 * CHOOSE(CONTROL!$C$10, $C$13, 100%, $E$13) + CHOOSE(CONTROL!$C$29, 0.0021, 0)</f>
        <v>537.13214108016609</v>
      </c>
    </row>
    <row r="1034" spans="1:5" ht="15">
      <c r="A1034" s="13">
        <v>72624</v>
      </c>
      <c r="B1034" s="4">
        <f>80.3387 * CHOOSE(CONTROL!$C$10, $C$13, 100%, $E$13) + CHOOSE(CONTROL!$C$29, 0.0274, 0)</f>
        <v>80.366100000000003</v>
      </c>
      <c r="C1034" s="4">
        <f>80.1824 * CHOOSE(CONTROL!$C$10, $C$13, 100%, $E$13) + CHOOSE(CONTROL!$C$29, 0.0274, 0)</f>
        <v>80.209800000000001</v>
      </c>
      <c r="D1034" s="4">
        <f>99.2071 * CHOOSE(CONTROL!$C$10, $C$13, 100%, $E$13) + CHOOSE(CONTROL!$C$29, 0.0021, 0)</f>
        <v>99.209199999999996</v>
      </c>
      <c r="E1034" s="4">
        <f>519.283649208246 * CHOOSE(CONTROL!$C$10, $C$13, 100%, $E$13) + CHOOSE(CONTROL!$C$29, 0.0021, 0)</f>
        <v>519.28574920824599</v>
      </c>
    </row>
    <row r="1035" spans="1:5" ht="15">
      <c r="A1035" s="13">
        <v>72654</v>
      </c>
      <c r="B1035" s="4">
        <f>78.574 * CHOOSE(CONTROL!$C$10, $C$13, 100%, $E$13) + CHOOSE(CONTROL!$C$29, 0.0274, 0)</f>
        <v>78.601399999999998</v>
      </c>
      <c r="C1035" s="4">
        <f>78.4178 * CHOOSE(CONTROL!$C$10, $C$13, 100%, $E$13) + CHOOSE(CONTROL!$C$29, 0.0274, 0)</f>
        <v>78.4452</v>
      </c>
      <c r="D1035" s="4">
        <f>98.7401 * CHOOSE(CONTROL!$C$10, $C$13, 100%, $E$13) + CHOOSE(CONTROL!$C$29, 0.0021, 0)</f>
        <v>98.742199999999997</v>
      </c>
      <c r="E1035" s="4">
        <f>507.789240157623 * CHOOSE(CONTROL!$C$10, $C$13, 100%, $E$13) + CHOOSE(CONTROL!$C$29, 0.0021, 0)</f>
        <v>507.79134015762298</v>
      </c>
    </row>
    <row r="1036" spans="1:5" ht="15">
      <c r="A1036" s="13">
        <v>72685</v>
      </c>
      <c r="B1036" s="4">
        <f>77.3531 * CHOOSE(CONTROL!$C$10, $C$13, 100%, $E$13) + CHOOSE(CONTROL!$C$29, 0.0274, 0)</f>
        <v>77.380499999999998</v>
      </c>
      <c r="C1036" s="4">
        <f>77.1969 * CHOOSE(CONTROL!$C$10, $C$13, 100%, $E$13) + CHOOSE(CONTROL!$C$29, 0.0274, 0)</f>
        <v>77.224299999999999</v>
      </c>
      <c r="D1036" s="4">
        <f>95.3024 * CHOOSE(CONTROL!$C$10, $C$13, 100%, $E$13) + CHOOSE(CONTROL!$C$29, 0.0021, 0)</f>
        <v>95.304500000000004</v>
      </c>
      <c r="E1036" s="4">
        <f>499.836586636776 * CHOOSE(CONTROL!$C$10, $C$13, 100%, $E$13) + CHOOSE(CONTROL!$C$29, 0.0021, 0)</f>
        <v>499.838686636776</v>
      </c>
    </row>
    <row r="1037" spans="1:5" ht="15">
      <c r="A1037" s="13">
        <v>72716</v>
      </c>
      <c r="B1037" s="4">
        <f>74.1532 * CHOOSE(CONTROL!$C$10, $C$13, 100%, $E$13) + CHOOSE(CONTROL!$C$29, 0.0274, 0)</f>
        <v>74.180599999999998</v>
      </c>
      <c r="C1037" s="4">
        <f>73.9969 * CHOOSE(CONTROL!$C$10, $C$13, 100%, $E$13) + CHOOSE(CONTROL!$C$29, 0.0274, 0)</f>
        <v>74.024299999999997</v>
      </c>
      <c r="D1037" s="4">
        <f>91.3446 * CHOOSE(CONTROL!$C$10, $C$13, 100%, $E$13) + CHOOSE(CONTROL!$C$29, 0.0021, 0)</f>
        <v>91.346699999999998</v>
      </c>
      <c r="E1037" s="4">
        <f>479.016361762309 * CHOOSE(CONTROL!$C$10, $C$13, 100%, $E$13) + CHOOSE(CONTROL!$C$29, 0.0021, 0)</f>
        <v>479.01846176230896</v>
      </c>
    </row>
    <row r="1038" spans="1:5" ht="15">
      <c r="A1038" s="13">
        <v>72744</v>
      </c>
      <c r="B1038" s="4">
        <f>75.8992 * CHOOSE(CONTROL!$C$10, $C$13, 100%, $E$13) + CHOOSE(CONTROL!$C$29, 0.0274, 0)</f>
        <v>75.926599999999993</v>
      </c>
      <c r="C1038" s="4">
        <f>75.7429 * CHOOSE(CONTROL!$C$10, $C$13, 100%, $E$13) + CHOOSE(CONTROL!$C$29, 0.0274, 0)</f>
        <v>75.770300000000006</v>
      </c>
      <c r="D1038" s="4">
        <f>94.4981 * CHOOSE(CONTROL!$C$10, $C$13, 100%, $E$13) + CHOOSE(CONTROL!$C$29, 0.0021, 0)</f>
        <v>94.500199999999992</v>
      </c>
      <c r="E1038" s="4">
        <f>490.390097950649 * CHOOSE(CONTROL!$C$10, $C$13, 100%, $E$13) + CHOOSE(CONTROL!$C$29, 0.0021, 0)</f>
        <v>490.39219795064901</v>
      </c>
    </row>
    <row r="1039" spans="1:5" ht="15">
      <c r="A1039" s="13">
        <v>72775</v>
      </c>
      <c r="B1039" s="4">
        <f>80.4844 * CHOOSE(CONTROL!$C$10, $C$13, 100%, $E$13) + CHOOSE(CONTROL!$C$29, 0.0274, 0)</f>
        <v>80.511799999999994</v>
      </c>
      <c r="C1039" s="4">
        <f>80.3281 * CHOOSE(CONTROL!$C$10, $C$13, 100%, $E$13) + CHOOSE(CONTROL!$C$29, 0.0274, 0)</f>
        <v>80.355500000000006</v>
      </c>
      <c r="D1039" s="4">
        <f>99.4347 * CHOOSE(CONTROL!$C$10, $C$13, 100%, $E$13) + CHOOSE(CONTROL!$C$29, 0.0021, 0)</f>
        <v>99.436800000000005</v>
      </c>
      <c r="E1039" s="4">
        <f>520.258133618278 * CHOOSE(CONTROL!$C$10, $C$13, 100%, $E$13) + CHOOSE(CONTROL!$C$29, 0.0021, 0)</f>
        <v>520.26023361827799</v>
      </c>
    </row>
    <row r="1040" spans="1:5" ht="15">
      <c r="A1040" s="13">
        <v>72805</v>
      </c>
      <c r="B1040" s="4">
        <f>83.7422 * CHOOSE(CONTROL!$C$10, $C$13, 100%, $E$13) + CHOOSE(CONTROL!$C$29, 0.0274, 0)</f>
        <v>83.769599999999997</v>
      </c>
      <c r="C1040" s="4">
        <f>83.5859 * CHOOSE(CONTROL!$C$10, $C$13, 100%, $E$13) + CHOOSE(CONTROL!$C$29, 0.0274, 0)</f>
        <v>83.613299999999995</v>
      </c>
      <c r="D1040" s="4">
        <f>102.2783 * CHOOSE(CONTROL!$C$10, $C$13, 100%, $E$13) + CHOOSE(CONTROL!$C$29, 0.0021, 0)</f>
        <v>102.2804</v>
      </c>
      <c r="E1040" s="4">
        <f>541.479771004039 * CHOOSE(CONTROL!$C$10, $C$13, 100%, $E$13) + CHOOSE(CONTROL!$C$29, 0.0021, 0)</f>
        <v>541.48187100403902</v>
      </c>
    </row>
    <row r="1041" spans="1:5" ht="15">
      <c r="A1041" s="13">
        <v>72836</v>
      </c>
      <c r="B1041" s="4">
        <f>85.7327 * CHOOSE(CONTROL!$C$10, $C$13, 100%, $E$13) + CHOOSE(CONTROL!$C$29, 0.0274, 0)</f>
        <v>85.760099999999994</v>
      </c>
      <c r="C1041" s="4">
        <f>85.5764 * CHOOSE(CONTROL!$C$10, $C$13, 100%, $E$13) + CHOOSE(CONTROL!$C$29, 0.0274, 0)</f>
        <v>85.603800000000007</v>
      </c>
      <c r="D1041" s="4">
        <f>101.1546 * CHOOSE(CONTROL!$C$10, $C$13, 100%, $E$13) + CHOOSE(CONTROL!$C$29, 0.0021, 0)</f>
        <v>101.1567</v>
      </c>
      <c r="E1041" s="4">
        <f>554.445682835076 * CHOOSE(CONTROL!$C$10, $C$13, 100%, $E$13) + CHOOSE(CONTROL!$C$29, 0.0021, 0)</f>
        <v>554.44778283507605</v>
      </c>
    </row>
    <row r="1042" spans="1:5" ht="15">
      <c r="A1042" s="13">
        <v>72866</v>
      </c>
      <c r="B1042" s="4">
        <f>86.002 * CHOOSE(CONTROL!$C$10, $C$13, 100%, $E$13) + CHOOSE(CONTROL!$C$29, 0.0274, 0)</f>
        <v>86.029399999999995</v>
      </c>
      <c r="C1042" s="4">
        <f>85.8457 * CHOOSE(CONTROL!$C$10, $C$13, 100%, $E$13) + CHOOSE(CONTROL!$C$29, 0.0274, 0)</f>
        <v>85.873099999999994</v>
      </c>
      <c r="D1042" s="4">
        <f>102.0698 * CHOOSE(CONTROL!$C$10, $C$13, 100%, $E$13) + CHOOSE(CONTROL!$C$29, 0.0021, 0)</f>
        <v>102.0719</v>
      </c>
      <c r="E1042" s="4">
        <f>556.200024515455 * CHOOSE(CONTROL!$C$10, $C$13, 100%, $E$13) + CHOOSE(CONTROL!$C$29, 0.0021, 0)</f>
        <v>556.20212451545501</v>
      </c>
    </row>
    <row r="1043" spans="1:5" ht="15">
      <c r="A1043" s="13">
        <v>72897</v>
      </c>
      <c r="B1043" s="4">
        <f>85.9748 * CHOOSE(CONTROL!$C$10, $C$13, 100%, $E$13) + CHOOSE(CONTROL!$C$29, 0.0274, 0)</f>
        <v>86.002200000000002</v>
      </c>
      <c r="C1043" s="4">
        <f>85.8186 * CHOOSE(CONTROL!$C$10, $C$13, 100%, $E$13) + CHOOSE(CONTROL!$C$29, 0.0274, 0)</f>
        <v>85.846000000000004</v>
      </c>
      <c r="D1043" s="4">
        <f>103.721 * CHOOSE(CONTROL!$C$10, $C$13, 100%, $E$13) + CHOOSE(CONTROL!$C$29, 0.0021, 0)</f>
        <v>103.7231</v>
      </c>
      <c r="E1043" s="4">
        <f>556.023116110711 * CHOOSE(CONTROL!$C$10, $C$13, 100%, $E$13) + CHOOSE(CONTROL!$C$29, 0.0021, 0)</f>
        <v>556.02521611071109</v>
      </c>
    </row>
    <row r="1044" spans="1:5" ht="15">
      <c r="A1044" s="13">
        <v>72928</v>
      </c>
      <c r="B1044" s="4">
        <f>88.0185 * CHOOSE(CONTROL!$C$10, $C$13, 100%, $E$13) + CHOOSE(CONTROL!$C$29, 0.0274, 0)</f>
        <v>88.045900000000003</v>
      </c>
      <c r="C1044" s="4">
        <f>87.8622 * CHOOSE(CONTROL!$C$10, $C$13, 100%, $E$13) + CHOOSE(CONTROL!$C$29, 0.0274, 0)</f>
        <v>87.889600000000002</v>
      </c>
      <c r="D1044" s="4">
        <f>102.6305 * CHOOSE(CONTROL!$C$10, $C$13, 100%, $E$13) + CHOOSE(CONTROL!$C$29, 0.0021, 0)</f>
        <v>102.6326</v>
      </c>
      <c r="E1044" s="4">
        <f>569.335473567704 * CHOOSE(CONTROL!$C$10, $C$13, 100%, $E$13) + CHOOSE(CONTROL!$C$29, 0.0021, 0)</f>
        <v>569.337573567704</v>
      </c>
    </row>
    <row r="1045" spans="1:5" ht="15">
      <c r="A1045" s="13">
        <v>72958</v>
      </c>
      <c r="B1045" s="4">
        <f>84.5354 * CHOOSE(CONTROL!$C$10, $C$13, 100%, $E$13) + CHOOSE(CONTROL!$C$29, 0.0274, 0)</f>
        <v>84.562799999999996</v>
      </c>
      <c r="C1045" s="4">
        <f>84.3792 * CHOOSE(CONTROL!$C$10, $C$13, 100%, $E$13) + CHOOSE(CONTROL!$C$29, 0.0274, 0)</f>
        <v>84.406599999999997</v>
      </c>
      <c r="D1045" s="4">
        <f>102.1153 * CHOOSE(CONTROL!$C$10, $C$13, 100%, $E$13) + CHOOSE(CONTROL!$C$29, 0.0021, 0)</f>
        <v>102.1174</v>
      </c>
      <c r="E1045" s="4">
        <f>546.646970659273 * CHOOSE(CONTROL!$C$10, $C$13, 100%, $E$13) + CHOOSE(CONTROL!$C$29, 0.0021, 0)</f>
        <v>546.64907065927309</v>
      </c>
    </row>
    <row r="1046" spans="1:5" ht="15">
      <c r="A1046" s="13">
        <v>72989</v>
      </c>
      <c r="B1046" s="4">
        <f>81.7472 * CHOOSE(CONTROL!$C$10, $C$13, 100%, $E$13) + CHOOSE(CONTROL!$C$29, 0.0274, 0)</f>
        <v>81.774600000000007</v>
      </c>
      <c r="C1046" s="4">
        <f>81.591 * CHOOSE(CONTROL!$C$10, $C$13, 100%, $E$13) + CHOOSE(CONTROL!$C$29, 0.0274, 0)</f>
        <v>81.618399999999994</v>
      </c>
      <c r="D1046" s="4">
        <f>100.7357 * CHOOSE(CONTROL!$C$10, $C$13, 100%, $E$13) + CHOOSE(CONTROL!$C$29, 0.0021, 0)</f>
        <v>100.73779999999999</v>
      </c>
      <c r="E1046" s="4">
        <f>528.484374438879 * CHOOSE(CONTROL!$C$10, $C$13, 100%, $E$13) + CHOOSE(CONTROL!$C$29, 0.0021, 0)</f>
        <v>528.48647443887899</v>
      </c>
    </row>
    <row r="1047" spans="1:5" ht="15">
      <c r="A1047" s="13">
        <v>73019</v>
      </c>
      <c r="B1047" s="4">
        <f>79.9514 * CHOOSE(CONTROL!$C$10, $C$13, 100%, $E$13) + CHOOSE(CONTROL!$C$29, 0.0274, 0)</f>
        <v>79.978800000000007</v>
      </c>
      <c r="C1047" s="4">
        <f>79.7951 * CHOOSE(CONTROL!$C$10, $C$13, 100%, $E$13) + CHOOSE(CONTROL!$C$29, 0.0274, 0)</f>
        <v>79.822500000000005</v>
      </c>
      <c r="D1047" s="4">
        <f>100.2614 * CHOOSE(CONTROL!$C$10, $C$13, 100%, $E$13) + CHOOSE(CONTROL!$C$29, 0.0021, 0)</f>
        <v>100.26349999999999</v>
      </c>
      <c r="E1047" s="4">
        <f>516.786306175175 * CHOOSE(CONTROL!$C$10, $C$13, 100%, $E$13) + CHOOSE(CONTROL!$C$29, 0.0021, 0)</f>
        <v>516.78840617517506</v>
      </c>
    </row>
    <row r="1048" spans="1:5" ht="15">
      <c r="A1048" s="13">
        <v>73050</v>
      </c>
      <c r="B1048" s="4">
        <f>78.7089 * CHOOSE(CONTROL!$C$10, $C$13, 100%, $E$13) + CHOOSE(CONTROL!$C$29, 0.0274, 0)</f>
        <v>78.7363</v>
      </c>
      <c r="C1048" s="4">
        <f>78.5527 * CHOOSE(CONTROL!$C$10, $C$13, 100%, $E$13) + CHOOSE(CONTROL!$C$29, 0.0274, 0)</f>
        <v>78.580100000000002</v>
      </c>
      <c r="D1048" s="4">
        <f>96.7697 * CHOOSE(CONTROL!$C$10, $C$13, 100%, $E$13) + CHOOSE(CONTROL!$C$29, 0.0021, 0)</f>
        <v>96.771799999999999</v>
      </c>
      <c r="E1048" s="4">
        <f>508.692746658133 * CHOOSE(CONTROL!$C$10, $C$13, 100%, $E$13) + CHOOSE(CONTROL!$C$29, 0.0021, 0)</f>
        <v>508.69484665813297</v>
      </c>
    </row>
    <row r="1049" spans="1:5" ht="15">
      <c r="A1049" s="13">
        <v>73081</v>
      </c>
      <c r="B1049" s="4">
        <f>75.4524 * CHOOSE(CONTROL!$C$10, $C$13, 100%, $E$13) + CHOOSE(CONTROL!$C$29, 0.0274, 0)</f>
        <v>75.479799999999997</v>
      </c>
      <c r="C1049" s="4">
        <f>75.2962 * CHOOSE(CONTROL!$C$10, $C$13, 100%, $E$13) + CHOOSE(CONTROL!$C$29, 0.0274, 0)</f>
        <v>75.323599999999999</v>
      </c>
      <c r="D1049" s="4">
        <f>92.7496 * CHOOSE(CONTROL!$C$10, $C$13, 100%, $E$13) + CHOOSE(CONTROL!$C$29, 0.0021, 0)</f>
        <v>92.7517</v>
      </c>
      <c r="E1049" s="4">
        <f>487.503626732566 * CHOOSE(CONTROL!$C$10, $C$13, 100%, $E$13) + CHOOSE(CONTROL!$C$29, 0.0021, 0)</f>
        <v>487.50572673256596</v>
      </c>
    </row>
    <row r="1050" spans="1:5" ht="15">
      <c r="A1050" s="13">
        <v>73109</v>
      </c>
      <c r="B1050" s="4">
        <f>77.2293 * CHOOSE(CONTROL!$C$10, $C$13, 100%, $E$13) + CHOOSE(CONTROL!$C$29, 0.0274, 0)</f>
        <v>77.256699999999995</v>
      </c>
      <c r="C1050" s="4">
        <f>77.073 * CHOOSE(CONTROL!$C$10, $C$13, 100%, $E$13) + CHOOSE(CONTROL!$C$29, 0.0274, 0)</f>
        <v>77.100399999999993</v>
      </c>
      <c r="D1050" s="4">
        <f>95.9527 * CHOOSE(CONTROL!$C$10, $C$13, 100%, $E$13) + CHOOSE(CONTROL!$C$29, 0.0021, 0)</f>
        <v>95.954799999999992</v>
      </c>
      <c r="E1050" s="4">
        <f>499.078884038842 * CHOOSE(CONTROL!$C$10, $C$13, 100%, $E$13) + CHOOSE(CONTROL!$C$29, 0.0021, 0)</f>
        <v>499.08098403884196</v>
      </c>
    </row>
    <row r="1051" spans="1:5" ht="15">
      <c r="A1051" s="13">
        <v>73140</v>
      </c>
      <c r="B1051" s="4">
        <f>81.8955 * CHOOSE(CONTROL!$C$10, $C$13, 100%, $E$13) + CHOOSE(CONTROL!$C$29, 0.0274, 0)</f>
        <v>81.922899999999998</v>
      </c>
      <c r="C1051" s="4">
        <f>81.7392 * CHOOSE(CONTROL!$C$10, $C$13, 100%, $E$13) + CHOOSE(CONTROL!$C$29, 0.0274, 0)</f>
        <v>81.766599999999997</v>
      </c>
      <c r="D1051" s="4">
        <f>100.9669 * CHOOSE(CONTROL!$C$10, $C$13, 100%, $E$13) + CHOOSE(CONTROL!$C$29, 0.0021, 0)</f>
        <v>100.96899999999999</v>
      </c>
      <c r="E1051" s="4">
        <f>529.476124871655 * CHOOSE(CONTROL!$C$10, $C$13, 100%, $E$13) + CHOOSE(CONTROL!$C$29, 0.0021, 0)</f>
        <v>529.47822487165502</v>
      </c>
    </row>
    <row r="1052" spans="1:5" ht="15">
      <c r="A1052" s="13">
        <v>73170</v>
      </c>
      <c r="B1052" s="4">
        <f>85.2109 * CHOOSE(CONTROL!$C$10, $C$13, 100%, $E$13) + CHOOSE(CONTROL!$C$29, 0.0274, 0)</f>
        <v>85.238299999999995</v>
      </c>
      <c r="C1052" s="4">
        <f>85.0546 * CHOOSE(CONTROL!$C$10, $C$13, 100%, $E$13) + CHOOSE(CONTROL!$C$29, 0.0274, 0)</f>
        <v>85.081999999999994</v>
      </c>
      <c r="D1052" s="4">
        <f>103.8552 * CHOOSE(CONTROL!$C$10, $C$13, 100%, $E$13) + CHOOSE(CONTROL!$C$29, 0.0021, 0)</f>
        <v>103.8573</v>
      </c>
      <c r="E1052" s="4">
        <f>551.073769579866 * CHOOSE(CONTROL!$C$10, $C$13, 100%, $E$13) + CHOOSE(CONTROL!$C$29, 0.0021, 0)</f>
        <v>551.07586957986609</v>
      </c>
    </row>
    <row r="1053" spans="1:5" ht="15">
      <c r="A1053" s="13">
        <v>73201</v>
      </c>
      <c r="B1053" s="4">
        <f>87.2365 * CHOOSE(CONTROL!$C$10, $C$13, 100%, $E$13) + CHOOSE(CONTROL!$C$29, 0.0274, 0)</f>
        <v>87.263900000000007</v>
      </c>
      <c r="C1053" s="4">
        <f>87.0802 * CHOOSE(CONTROL!$C$10, $C$13, 100%, $E$13) + CHOOSE(CONTROL!$C$29, 0.0274, 0)</f>
        <v>87.107600000000005</v>
      </c>
      <c r="D1053" s="4">
        <f>102.7139 * CHOOSE(CONTROL!$C$10, $C$13, 100%, $E$13) + CHOOSE(CONTROL!$C$29, 0.0021, 0)</f>
        <v>102.71599999999999</v>
      </c>
      <c r="E1053" s="4">
        <f>564.269412873281 * CHOOSE(CONTROL!$C$10, $C$13, 100%, $E$13) + CHOOSE(CONTROL!$C$29, 0.0021, 0)</f>
        <v>564.27151287328104</v>
      </c>
    </row>
    <row r="1054" spans="1:5" ht="15">
      <c r="A1054" s="13">
        <v>73231</v>
      </c>
      <c r="B1054" s="4">
        <f>87.5106 * CHOOSE(CONTROL!$C$10, $C$13, 100%, $E$13) + CHOOSE(CONTROL!$C$29, 0.0274, 0)</f>
        <v>87.537999999999997</v>
      </c>
      <c r="C1054" s="4">
        <f>87.3543 * CHOOSE(CONTROL!$C$10, $C$13, 100%, $E$13) + CHOOSE(CONTROL!$C$29, 0.0274, 0)</f>
        <v>87.381699999999995</v>
      </c>
      <c r="D1054" s="4">
        <f>103.6434 * CHOOSE(CONTROL!$C$10, $C$13, 100%, $E$13) + CHOOSE(CONTROL!$C$29, 0.0021, 0)</f>
        <v>103.6455</v>
      </c>
      <c r="E1054" s="4">
        <f>566.054838173925 * CHOOSE(CONTROL!$C$10, $C$13, 100%, $E$13) + CHOOSE(CONTROL!$C$29, 0.0021, 0)</f>
        <v>566.056938173925</v>
      </c>
    </row>
    <row r="1055" spans="1:5" ht="15">
      <c r="A1055" s="13">
        <v>73262</v>
      </c>
      <c r="B1055" s="4">
        <f>87.4829 * CHOOSE(CONTROL!$C$10, $C$13, 100%, $E$13) + CHOOSE(CONTROL!$C$29, 0.0274, 0)</f>
        <v>87.510300000000001</v>
      </c>
      <c r="C1055" s="4">
        <f>87.3267 * CHOOSE(CONTROL!$C$10, $C$13, 100%, $E$13) + CHOOSE(CONTROL!$C$29, 0.0274, 0)</f>
        <v>87.354100000000003</v>
      </c>
      <c r="D1055" s="4">
        <f>105.3206 * CHOOSE(CONTROL!$C$10, $C$13, 100%, $E$13) + CHOOSE(CONTROL!$C$29, 0.0021, 0)</f>
        <v>105.3227</v>
      </c>
      <c r="E1055" s="4">
        <f>565.874795286465 * CHOOSE(CONTROL!$C$10, $C$13, 100%, $E$13) + CHOOSE(CONTROL!$C$29, 0.0021, 0)</f>
        <v>565.87689528646501</v>
      </c>
    </row>
    <row r="1056" spans="1:5" ht="15">
      <c r="A1056" s="13">
        <v>73293</v>
      </c>
      <c r="B1056" s="4">
        <f>89.5627 * CHOOSE(CONTROL!$C$10, $C$13, 100%, $E$13) + CHOOSE(CONTROL!$C$29, 0.0274, 0)</f>
        <v>89.590100000000007</v>
      </c>
      <c r="C1056" s="4">
        <f>89.4064 * CHOOSE(CONTROL!$C$10, $C$13, 100%, $E$13) + CHOOSE(CONTROL!$C$29, 0.0274, 0)</f>
        <v>89.433800000000005</v>
      </c>
      <c r="D1056" s="4">
        <f>104.213 * CHOOSE(CONTROL!$C$10, $C$13, 100%, $E$13) + CHOOSE(CONTROL!$C$29, 0.0021, 0)</f>
        <v>104.21509999999999</v>
      </c>
      <c r="E1056" s="4">
        <f>579.423022567823 * CHOOSE(CONTROL!$C$10, $C$13, 100%, $E$13) + CHOOSE(CONTROL!$C$29, 0.0021, 0)</f>
        <v>579.425122567823</v>
      </c>
    </row>
    <row r="1057" spans="1:5" ht="15">
      <c r="A1057" s="13">
        <v>73323</v>
      </c>
      <c r="B1057" s="4">
        <f>86.0181 * CHOOSE(CONTROL!$C$10, $C$13, 100%, $E$13) + CHOOSE(CONTROL!$C$29, 0.0274, 0)</f>
        <v>86.045500000000004</v>
      </c>
      <c r="C1057" s="4">
        <f>85.8619 * CHOOSE(CONTROL!$C$10, $C$13, 100%, $E$13) + CHOOSE(CONTROL!$C$29, 0.0274, 0)</f>
        <v>85.889300000000006</v>
      </c>
      <c r="D1057" s="4">
        <f>103.6897 * CHOOSE(CONTROL!$C$10, $C$13, 100%, $E$13) + CHOOSE(CONTROL!$C$29, 0.0021, 0)</f>
        <v>103.6918</v>
      </c>
      <c r="E1057" s="4">
        <f>556.332522251091 * CHOOSE(CONTROL!$C$10, $C$13, 100%, $E$13) + CHOOSE(CONTROL!$C$29, 0.0021, 0)</f>
        <v>556.33462225109099</v>
      </c>
    </row>
    <row r="1058" spans="1:5" ht="15">
      <c r="A1058" s="13">
        <v>73354</v>
      </c>
      <c r="B1058" s="4">
        <f>83.1806 * CHOOSE(CONTROL!$C$10, $C$13, 100%, $E$13) + CHOOSE(CONTROL!$C$29, 0.0274, 0)</f>
        <v>83.207999999999998</v>
      </c>
      <c r="C1058" s="4">
        <f>83.0244 * CHOOSE(CONTROL!$C$10, $C$13, 100%, $E$13) + CHOOSE(CONTROL!$C$29, 0.0274, 0)</f>
        <v>83.0518</v>
      </c>
      <c r="D1058" s="4">
        <f>102.2884 * CHOOSE(CONTROL!$C$10, $C$13, 100%, $E$13) + CHOOSE(CONTROL!$C$29, 0.0021, 0)</f>
        <v>102.29049999999999</v>
      </c>
      <c r="E1058" s="4">
        <f>537.848119138541 * CHOOSE(CONTROL!$C$10, $C$13, 100%, $E$13) + CHOOSE(CONTROL!$C$29, 0.0021, 0)</f>
        <v>537.85021913854109</v>
      </c>
    </row>
    <row r="1059" spans="1:5" ht="15">
      <c r="A1059" s="13">
        <v>73384</v>
      </c>
      <c r="B1059" s="4">
        <f>81.3531 * CHOOSE(CONTROL!$C$10, $C$13, 100%, $E$13) + CHOOSE(CONTROL!$C$29, 0.0274, 0)</f>
        <v>81.380499999999998</v>
      </c>
      <c r="C1059" s="4">
        <f>81.1968 * CHOOSE(CONTROL!$C$10, $C$13, 100%, $E$13) + CHOOSE(CONTROL!$C$29, 0.0274, 0)</f>
        <v>81.224199999999996</v>
      </c>
      <c r="D1059" s="4">
        <f>101.8067 * CHOOSE(CONTROL!$C$10, $C$13, 100%, $E$13) + CHOOSE(CONTROL!$C$29, 0.0021, 0)</f>
        <v>101.80880000000001</v>
      </c>
      <c r="E1059" s="4">
        <f>525.942783205255 * CHOOSE(CONTROL!$C$10, $C$13, 100%, $E$13) + CHOOSE(CONTROL!$C$29, 0.0021, 0)</f>
        <v>525.944883205255</v>
      </c>
    </row>
    <row r="1060" spans="1:5" ht="15">
      <c r="A1060" s="13">
        <v>73415</v>
      </c>
      <c r="B1060" s="4">
        <f>80.0887 * CHOOSE(CONTROL!$C$10, $C$13, 100%, $E$13) + CHOOSE(CONTROL!$C$29, 0.0274, 0)</f>
        <v>80.116100000000003</v>
      </c>
      <c r="C1060" s="4">
        <f>79.9324 * CHOOSE(CONTROL!$C$10, $C$13, 100%, $E$13) + CHOOSE(CONTROL!$C$29, 0.0274, 0)</f>
        <v>79.959800000000001</v>
      </c>
      <c r="D1060" s="4">
        <f>98.26 * CHOOSE(CONTROL!$C$10, $C$13, 100%, $E$13) + CHOOSE(CONTROL!$C$29, 0.0021, 0)</f>
        <v>98.262100000000004</v>
      </c>
      <c r="E1060" s="4">
        <f>517.705821103964 * CHOOSE(CONTROL!$C$10, $C$13, 100%, $E$13) + CHOOSE(CONTROL!$C$29, 0.0021, 0)</f>
        <v>517.70792110396405</v>
      </c>
    </row>
    <row r="1061" spans="1:5" ht="15">
      <c r="A1061" s="10"/>
      <c r="B1061" s="4"/>
      <c r="C1061" s="4"/>
      <c r="D1061" s="4"/>
      <c r="E1061" s="4"/>
    </row>
    <row r="1062" spans="1:5" ht="15">
      <c r="A1062" s="3">
        <v>2014</v>
      </c>
      <c r="B1062" s="4">
        <f>AVERAGE(B17:B28)</f>
        <v>16.290503767748671</v>
      </c>
      <c r="C1062" s="4">
        <f>AVERAGE(C17:C28)</f>
        <v>16.138757766446602</v>
      </c>
      <c r="D1062" s="4">
        <f>AVERAGE(D17:D28)</f>
        <v>23.342927086906801</v>
      </c>
      <c r="E1062" s="4">
        <f>AVERAGE(E17:E28)</f>
        <v>101.59021666666666</v>
      </c>
    </row>
    <row r="1063" spans="1:5" ht="15">
      <c r="A1063" s="3">
        <v>2015</v>
      </c>
      <c r="B1063" s="4">
        <f>AVERAGE(B29:B40)</f>
        <v>15.258649999999998</v>
      </c>
      <c r="C1063" s="4">
        <f>AVERAGE(C29:C40)</f>
        <v>15.102350000000003</v>
      </c>
      <c r="D1063" s="4">
        <f>AVERAGE(D29:D40)</f>
        <v>22.981016666666662</v>
      </c>
      <c r="E1063" s="4">
        <f>AVERAGE(E29:E40)</f>
        <v>97.033766666666665</v>
      </c>
    </row>
    <row r="1064" spans="1:5" ht="15">
      <c r="A1064" s="3">
        <v>2016</v>
      </c>
      <c r="B1064" s="4">
        <f>AVERAGE(B41:B52)</f>
        <v>14.555658333333334</v>
      </c>
      <c r="C1064" s="4">
        <f>AVERAGE(C41:C52)</f>
        <v>14.399399999999998</v>
      </c>
      <c r="D1064" s="4">
        <f>AVERAGE(D41:D52)</f>
        <v>22.303591666666662</v>
      </c>
      <c r="E1064" s="4">
        <f>AVERAGE(E41:E52)</f>
        <v>92.534599999999998</v>
      </c>
    </row>
    <row r="1065" spans="1:5" ht="15">
      <c r="A1065" s="3">
        <v>2017</v>
      </c>
      <c r="B1065" s="4">
        <f>AVERAGE(B53:B64)</f>
        <v>15.65085</v>
      </c>
      <c r="C1065" s="4">
        <f>AVERAGE(C53:C64)</f>
        <v>15.494583333333333</v>
      </c>
      <c r="D1065" s="4">
        <f>AVERAGE(D53:D64)</f>
        <v>23.269083333333331</v>
      </c>
      <c r="E1065" s="4">
        <f>AVERAGE(E53:E64)</f>
        <v>98.612931654866543</v>
      </c>
    </row>
    <row r="1066" spans="1:5" ht="15">
      <c r="A1066" s="3">
        <v>2018</v>
      </c>
      <c r="B1066" s="4">
        <f>AVERAGE(B65:B76)</f>
        <v>15.676433333333334</v>
      </c>
      <c r="C1066" s="4">
        <f>AVERAGE(C65:C76)</f>
        <v>15.520150000000001</v>
      </c>
      <c r="D1066" s="4">
        <f>AVERAGE(D65:D76)</f>
        <v>23.731566666666666</v>
      </c>
      <c r="E1066" s="4">
        <f>AVERAGE(E65:E76)</f>
        <v>100.12668516438806</v>
      </c>
    </row>
    <row r="1067" spans="1:5" ht="15">
      <c r="A1067" s="3">
        <v>2019</v>
      </c>
      <c r="B1067" s="4">
        <f>AVERAGE(B77:B88)</f>
        <v>17.290416666666669</v>
      </c>
      <c r="C1067" s="4">
        <f>AVERAGE(C77:C88)</f>
        <v>17.134175000000003</v>
      </c>
      <c r="D1067" s="4">
        <f>AVERAGE(D77:D88)</f>
        <v>25.358833333333333</v>
      </c>
      <c r="E1067" s="4">
        <f>AVERAGE(E77:E88)</f>
        <v>111.33210183105474</v>
      </c>
    </row>
    <row r="1068" spans="1:5" ht="15">
      <c r="A1068" s="3">
        <v>2020</v>
      </c>
      <c r="B1068" s="4">
        <f>AVERAGE(B89:B100)</f>
        <v>17.923749999999995</v>
      </c>
      <c r="C1068" s="4">
        <f>AVERAGE(C89:C100)</f>
        <v>17.767508333333335</v>
      </c>
      <c r="D1068" s="4">
        <f>AVERAGE(D89:D100)</f>
        <v>26.091250000000002</v>
      </c>
      <c r="E1068" s="4">
        <f>AVERAGE(E89:E100)</f>
        <v>114.18210030517592</v>
      </c>
    </row>
    <row r="1069" spans="1:5" ht="15">
      <c r="A1069" s="3">
        <v>2021</v>
      </c>
      <c r="B1069" s="4">
        <f>AVERAGE(B101:B112)</f>
        <v>18.072724999999998</v>
      </c>
      <c r="C1069" s="4">
        <f>AVERAGE(C101:C112)</f>
        <v>17.916458333333335</v>
      </c>
      <c r="D1069" s="4">
        <f>AVERAGE(D101:D112)</f>
        <v>26.327966666666665</v>
      </c>
      <c r="E1069" s="4">
        <f>AVERAGE(E101:E112)</f>
        <v>114.05210305175791</v>
      </c>
    </row>
    <row r="1070" spans="1:5" ht="15">
      <c r="A1070" s="3">
        <v>2022</v>
      </c>
      <c r="B1070" s="4">
        <f>AVERAGE(B113:B124)</f>
        <v>17.973325000000003</v>
      </c>
      <c r="C1070" s="4">
        <f>AVERAGE(C113:C124)</f>
        <v>17.817091666666666</v>
      </c>
      <c r="D1070" s="4">
        <f>AVERAGE(D113:D124)</f>
        <v>26.763741666666661</v>
      </c>
      <c r="E1070" s="4">
        <f>AVERAGE(E113:E124)</f>
        <v>114.38272286376956</v>
      </c>
    </row>
    <row r="1071" spans="1:5" ht="15">
      <c r="A1071" s="3">
        <v>2023</v>
      </c>
      <c r="B1071" s="4">
        <f>AVERAGE(B125:B136)</f>
        <v>18.733050000000002</v>
      </c>
      <c r="C1071" s="4">
        <f>AVERAGE(C125:C136)</f>
        <v>18.576774999999998</v>
      </c>
      <c r="D1071" s="4">
        <f>AVERAGE(D125:D136)</f>
        <v>27.851016666666663</v>
      </c>
      <c r="E1071" s="4">
        <f>AVERAGE(E125:E136)</f>
        <v>119.10155678710926</v>
      </c>
    </row>
    <row r="1072" spans="1:5" ht="15">
      <c r="A1072" s="3">
        <v>2024</v>
      </c>
      <c r="B1072" s="4">
        <f>AVERAGE(B137:B148)</f>
        <v>19.568441666666669</v>
      </c>
      <c r="C1072" s="4">
        <f>AVERAGE(C137:C148)</f>
        <v>19.412200000000002</v>
      </c>
      <c r="D1072" s="4">
        <f>AVERAGE(D137:D148)</f>
        <v>28.884149999999995</v>
      </c>
      <c r="E1072" s="4">
        <f>AVERAGE(E137:E148)</f>
        <v>124.01473427734375</v>
      </c>
    </row>
    <row r="1073" spans="1:5" ht="15">
      <c r="A1073" s="3">
        <v>2025</v>
      </c>
      <c r="B1073" s="4">
        <f>AVERAGE(B149:B160)</f>
        <v>20.533325000000001</v>
      </c>
      <c r="C1073" s="4">
        <f>AVERAGE(C149:C160)</f>
        <v>20.377075000000001</v>
      </c>
      <c r="D1073" s="4">
        <f>AVERAGE(D149:D160)</f>
        <v>29.867924999999996</v>
      </c>
      <c r="E1073" s="4">
        <f>AVERAGE(E149:E160)</f>
        <v>129.11004067382817</v>
      </c>
    </row>
    <row r="1074" spans="1:5" ht="15">
      <c r="A1074" s="3">
        <v>2026</v>
      </c>
      <c r="B1074" s="4">
        <f>AVERAGE(B161:B172)</f>
        <v>21.343550000000004</v>
      </c>
      <c r="C1074" s="4">
        <f>AVERAGE(C161:C172)</f>
        <v>21.187324999999998</v>
      </c>
      <c r="D1074" s="4">
        <f>AVERAGE(D161:D172)</f>
        <v>30.971774999999997</v>
      </c>
      <c r="E1074" s="4">
        <f>AVERAGE(E161:E172)</f>
        <v>134.43554116210944</v>
      </c>
    </row>
    <row r="1075" spans="1:5" ht="15">
      <c r="A1075" s="3">
        <v>2027</v>
      </c>
      <c r="B1075" s="4">
        <f>AVERAGE(B173:B184)</f>
        <v>22.195775000000001</v>
      </c>
      <c r="C1075" s="4">
        <f>AVERAGE(C173:C184)</f>
        <v>22.039516666666668</v>
      </c>
      <c r="D1075" s="4">
        <f>AVERAGE(D173:D184)</f>
        <v>32.027374999999999</v>
      </c>
      <c r="E1075" s="4">
        <f>AVERAGE(E173:E184)</f>
        <v>139.95969582519518</v>
      </c>
    </row>
    <row r="1076" spans="1:5" ht="15">
      <c r="A1076" s="3">
        <v>2028</v>
      </c>
      <c r="B1076" s="4">
        <f>AVERAGE(B185:B196)</f>
        <v>23.052258333333331</v>
      </c>
      <c r="C1076" s="4">
        <f>AVERAGE(C185:C196)</f>
        <v>22.896016666666668</v>
      </c>
      <c r="D1076" s="4">
        <f>AVERAGE(D185:D196)</f>
        <v>33.079100000000004</v>
      </c>
      <c r="E1076" s="4">
        <f>AVERAGE(E185:E196)</f>
        <v>145.71119118652345</v>
      </c>
    </row>
    <row r="1077" spans="1:5" ht="15">
      <c r="A1077" s="3">
        <v>2029</v>
      </c>
      <c r="B1077" s="4">
        <f>AVERAGE(B197:B208)</f>
        <v>23.992558333333331</v>
      </c>
      <c r="C1077" s="4">
        <f>AVERAGE(C197:C208)</f>
        <v>23.836325000000002</v>
      </c>
      <c r="D1077" s="4">
        <f>AVERAGE(D197:D208)</f>
        <v>34.171366666666664</v>
      </c>
      <c r="E1077" s="4">
        <f>AVERAGE(E197:E208)</f>
        <v>151.69915200195319</v>
      </c>
    </row>
    <row r="1078" spans="1:5" ht="15">
      <c r="A1078" s="3">
        <v>2030</v>
      </c>
      <c r="B1078" s="4">
        <f>AVERAGE(B209:B220)</f>
        <v>24.973608333333335</v>
      </c>
      <c r="C1078" s="4">
        <f>AVERAGE(C209:C220)</f>
        <v>24.817341666666664</v>
      </c>
      <c r="D1078" s="4">
        <f>AVERAGE(D209:D220)</f>
        <v>35.308341666666657</v>
      </c>
      <c r="E1078" s="4">
        <f>AVERAGE(E209:E220)</f>
        <v>157.94774819335933</v>
      </c>
    </row>
    <row r="1079" spans="1:5" ht="15">
      <c r="A1079" s="3">
        <v>2031</v>
      </c>
      <c r="B1079" s="4">
        <f>AVERAGE(B221:B232)</f>
        <v>25.403458333333333</v>
      </c>
      <c r="C1079" s="4">
        <f>AVERAGE(C221:C232)</f>
        <v>25.247183333333329</v>
      </c>
      <c r="D1079" s="4">
        <f>AVERAGE(D221:D232)</f>
        <v>35.832166666666673</v>
      </c>
      <c r="E1079" s="4">
        <f>AVERAGE(E221:E232)</f>
        <v>160.74624668761587</v>
      </c>
    </row>
    <row r="1080" spans="1:5" ht="15">
      <c r="A1080" s="3">
        <v>2032</v>
      </c>
      <c r="B1080" s="4">
        <f>AVERAGE(B233:B244)</f>
        <v>25.840883333333334</v>
      </c>
      <c r="C1080" s="4">
        <f>AVERAGE(C233:C244)</f>
        <v>25.684650000000001</v>
      </c>
      <c r="D1080" s="4">
        <f>AVERAGE(D233:D244)</f>
        <v>36.364241666666665</v>
      </c>
      <c r="E1080" s="4">
        <f>AVERAGE(E233:E244)</f>
        <v>163.59432928825268</v>
      </c>
    </row>
    <row r="1081" spans="1:5" ht="15">
      <c r="A1081" s="3">
        <v>2033</v>
      </c>
      <c r="B1081" s="4">
        <f>AVERAGE(B245:B256)</f>
        <v>26.28605833333334</v>
      </c>
      <c r="C1081" s="4">
        <f>AVERAGE(C245:C256)</f>
        <v>26.12981666666667</v>
      </c>
      <c r="D1081" s="4">
        <f>AVERAGE(D245:D256)</f>
        <v>36.904641666666656</v>
      </c>
      <c r="E1081" s="4">
        <f>AVERAGE(E245:E256)</f>
        <v>166.49287453196058</v>
      </c>
    </row>
    <row r="1082" spans="1:5" ht="15">
      <c r="A1082" s="3">
        <v>2034</v>
      </c>
      <c r="B1082" s="4">
        <f>AVERAGE(B257:B268)</f>
        <v>26.739099999999997</v>
      </c>
      <c r="C1082" s="4">
        <f>AVERAGE(C257:C268)</f>
        <v>26.582850000000004</v>
      </c>
      <c r="D1082" s="4">
        <f>AVERAGE(D257:D268)</f>
        <v>37.453583333333334</v>
      </c>
      <c r="E1082" s="4">
        <f>AVERAGE(E257:E268)</f>
        <v>169.44277652144035</v>
      </c>
    </row>
    <row r="1083" spans="1:5" ht="15">
      <c r="A1083" s="3">
        <v>2035</v>
      </c>
      <c r="B1083" s="4">
        <f>AVERAGE(B269:B280)</f>
        <v>27.200158333333334</v>
      </c>
      <c r="C1083" s="4">
        <f>AVERAGE(C269:C280)</f>
        <v>27.043891666666664</v>
      </c>
      <c r="D1083" s="4">
        <f>AVERAGE(D269:D280)</f>
        <v>38.011124999999993</v>
      </c>
      <c r="E1083" s="4">
        <f>AVERAGE(E269:E280)</f>
        <v>172.44494520120375</v>
      </c>
    </row>
    <row r="1084" spans="1:5" ht="15">
      <c r="A1084" s="3">
        <v>2036</v>
      </c>
      <c r="B1084" s="4">
        <f>AVERAGE(B281:B292)</f>
        <v>27.669350000000005</v>
      </c>
      <c r="C1084" s="4">
        <f>AVERAGE(C281:C292)</f>
        <v>27.513091666666668</v>
      </c>
      <c r="D1084" s="4">
        <f>AVERAGE(D281:D292)</f>
        <v>38.577449999999999</v>
      </c>
      <c r="E1084" s="4">
        <f>AVERAGE(E281:E292)</f>
        <v>175.5003066382601</v>
      </c>
    </row>
    <row r="1085" spans="1:5" ht="15">
      <c r="A1085" s="3">
        <v>2037</v>
      </c>
      <c r="B1085" s="4">
        <f>AVERAGE(B293:B304)</f>
        <v>28.146825000000003</v>
      </c>
      <c r="C1085" s="4">
        <f>AVERAGE(C293:C304)</f>
        <v>27.990574999999996</v>
      </c>
      <c r="D1085" s="4">
        <f>AVERAGE(D293:D304)</f>
        <v>39.152674999999995</v>
      </c>
      <c r="E1085" s="4">
        <f>AVERAGE(E293:E304)</f>
        <v>178.60980330777656</v>
      </c>
    </row>
    <row r="1086" spans="1:5" ht="15">
      <c r="A1086" s="3">
        <f t="shared" ref="A1086:A1117" si="0">A1085+1</f>
        <v>2038</v>
      </c>
      <c r="B1086" s="4">
        <f>AVERAGE(B305:B316)</f>
        <v>28.632741666666675</v>
      </c>
      <c r="C1086" s="4">
        <f>AVERAGE(C305:C316)</f>
        <v>28.476499999999998</v>
      </c>
      <c r="D1086" s="4">
        <f>AVERAGE(D305:D316)</f>
        <v>39.736958333333334</v>
      </c>
      <c r="E1086" s="4">
        <f>AVERAGE(E305:E316)</f>
        <v>181.77439438379977</v>
      </c>
    </row>
    <row r="1087" spans="1:5" ht="15">
      <c r="A1087" s="3">
        <f t="shared" si="0"/>
        <v>2039</v>
      </c>
      <c r="B1087" s="4">
        <f>AVERAGE(B317:B328)</f>
        <v>29.127249999999993</v>
      </c>
      <c r="C1087" s="4">
        <f>AVERAGE(C317:C328)</f>
        <v>28.970983333333326</v>
      </c>
      <c r="D1087" s="4">
        <f>AVERAGE(D317:D328)</f>
        <v>40.330408333333331</v>
      </c>
      <c r="E1087" s="4">
        <f>AVERAGE(E317:E328)</f>
        <v>184.99505603512844</v>
      </c>
    </row>
    <row r="1088" spans="1:5" ht="15">
      <c r="A1088" s="3">
        <f t="shared" si="0"/>
        <v>2040</v>
      </c>
      <c r="B1088" s="4">
        <f>AVERAGE(B329:B340)</f>
        <v>29.630483333333334</v>
      </c>
      <c r="C1088" s="4">
        <f>AVERAGE(C329:C340)</f>
        <v>29.474233333333334</v>
      </c>
      <c r="D1088" s="4">
        <f>AVERAGE(D329:D340)</f>
        <v>40.933191666666666</v>
      </c>
      <c r="E1088" s="4">
        <f>AVERAGE(E329:E340)</f>
        <v>188.27278172642801</v>
      </c>
    </row>
    <row r="1089" spans="1:5" ht="15">
      <c r="A1089" s="3">
        <f t="shared" si="0"/>
        <v>2041</v>
      </c>
      <c r="B1089" s="4">
        <f>AVERAGE(B341:B352)</f>
        <v>30.142616666666665</v>
      </c>
      <c r="C1089" s="4">
        <f>AVERAGE(C341:C352)</f>
        <v>29.986374999999999</v>
      </c>
      <c r="D1089" s="4">
        <f>AVERAGE(D341:D352)</f>
        <v>41.545466666666663</v>
      </c>
      <c r="E1089" s="4">
        <f>AVERAGE(E341:E352)</f>
        <v>191.60858252468128</v>
      </c>
    </row>
    <row r="1090" spans="1:5" ht="15">
      <c r="A1090" s="3">
        <f t="shared" si="0"/>
        <v>2042</v>
      </c>
      <c r="B1090" s="4">
        <f>AVERAGE(B353:B364)</f>
        <v>30.663791666666668</v>
      </c>
      <c r="C1090" s="4">
        <f>AVERAGE(C353:C364)</f>
        <v>30.507549999999998</v>
      </c>
      <c r="D1090" s="4">
        <f>AVERAGE(D353:D364)</f>
        <v>42.167366666666666</v>
      </c>
      <c r="E1090" s="4">
        <f>AVERAGE(E353:E364)</f>
        <v>195.00348741106754</v>
      </c>
    </row>
    <row r="1091" spans="1:5" ht="15">
      <c r="A1091" s="3">
        <f t="shared" si="0"/>
        <v>2043</v>
      </c>
      <c r="B1091" s="4">
        <f>AVERAGE(B365:B376)</f>
        <v>31.194175000000005</v>
      </c>
      <c r="C1091" s="4">
        <f>AVERAGE(C365:C376)</f>
        <v>31.037949999999995</v>
      </c>
      <c r="D1091" s="4">
        <f>AVERAGE(D365:D376)</f>
        <v>42.799025</v>
      </c>
      <c r="E1091" s="4">
        <f>AVERAGE(E365:E376)</f>
        <v>198.45854359836878</v>
      </c>
    </row>
    <row r="1092" spans="1:5" ht="15">
      <c r="A1092" s="3">
        <f t="shared" si="0"/>
        <v>2044</v>
      </c>
      <c r="B1092" s="4">
        <f>AVERAGE(B377:B388)</f>
        <v>31.733941666666666</v>
      </c>
      <c r="C1092" s="4">
        <f>AVERAGE(C377:C388)</f>
        <v>31.577700000000004</v>
      </c>
      <c r="D1092" s="4">
        <f>AVERAGE(D377:D388)</f>
        <v>43.440658333333324</v>
      </c>
      <c r="E1092" s="4">
        <f>AVERAGE(E377:E388)</f>
        <v>201.97481685399919</v>
      </c>
    </row>
    <row r="1093" spans="1:5" ht="15">
      <c r="A1093" s="3">
        <f t="shared" si="0"/>
        <v>2045</v>
      </c>
      <c r="B1093" s="4">
        <f>AVERAGE(B389:B400)</f>
        <v>32.283224999999995</v>
      </c>
      <c r="C1093" s="4">
        <f>AVERAGE(C389:C400)</f>
        <v>32.126991666666662</v>
      </c>
      <c r="D1093" s="4">
        <f>AVERAGE(D389:D400)</f>
        <v>44.09235833333333</v>
      </c>
      <c r="E1093" s="4">
        <f>AVERAGE(E389:E400)</f>
        <v>205.55339182875767</v>
      </c>
    </row>
    <row r="1094" spans="1:5" ht="15">
      <c r="A1094" s="3">
        <f t="shared" si="0"/>
        <v>2046</v>
      </c>
      <c r="B1094" s="4">
        <f>AVERAGE(B401:B412)</f>
        <v>32.842233333333333</v>
      </c>
      <c r="C1094" s="4">
        <f>AVERAGE(C401:C412)</f>
        <v>32.685991666666673</v>
      </c>
      <c r="D1094" s="4">
        <f>AVERAGE(D401:D412)</f>
        <v>44.754291666666667</v>
      </c>
      <c r="E1094" s="4">
        <f>AVERAGE(E401:E412)</f>
        <v>209.19537239140706</v>
      </c>
    </row>
    <row r="1095" spans="1:5" ht="15">
      <c r="A1095" s="3">
        <f t="shared" si="0"/>
        <v>2047</v>
      </c>
      <c r="B1095" s="4">
        <f>AVERAGE(B413:B424)</f>
        <v>33.411108333333331</v>
      </c>
      <c r="C1095" s="4">
        <f>AVERAGE(C413:C424)</f>
        <v>33.254866666666665</v>
      </c>
      <c r="D1095" s="4">
        <f>AVERAGE(D413:D424)</f>
        <v>45.426666666666655</v>
      </c>
      <c r="E1095" s="4">
        <f>AVERAGE(E413:E424)</f>
        <v>212.90188196917777</v>
      </c>
    </row>
    <row r="1096" spans="1:5" ht="15">
      <c r="A1096" s="3">
        <f t="shared" si="0"/>
        <v>2048</v>
      </c>
      <c r="B1096" s="4">
        <f>AVERAGE(B425:B436)</f>
        <v>33.990049999999997</v>
      </c>
      <c r="C1096" s="4">
        <f>AVERAGE(C425:C436)</f>
        <v>33.833783333333336</v>
      </c>
      <c r="D1096" s="4">
        <f>AVERAGE(D425:D436)</f>
        <v>46.109591666666667</v>
      </c>
      <c r="E1096" s="4">
        <f>AVERAGE(E425:E436)</f>
        <v>216.67406389430994</v>
      </c>
    </row>
    <row r="1097" spans="1:5" ht="15">
      <c r="A1097" s="3">
        <f t="shared" si="0"/>
        <v>2049</v>
      </c>
      <c r="B1097" s="4">
        <f>AVERAGE(B437:B448)</f>
        <v>34.579191666666667</v>
      </c>
      <c r="C1097" s="4">
        <f>AVERAGE(C437:C448)</f>
        <v>34.422958333333334</v>
      </c>
      <c r="D1097" s="4">
        <f>AVERAGE(D437:D448)</f>
        <v>46.803233333333331</v>
      </c>
      <c r="E1097" s="4">
        <f>AVERAGE(E437:E448)</f>
        <v>220.51308175673003</v>
      </c>
    </row>
    <row r="1098" spans="1:5" ht="15">
      <c r="A1098" s="3">
        <f t="shared" si="0"/>
        <v>2050</v>
      </c>
      <c r="B1098" s="4">
        <f>AVERAGE(B449:B460)</f>
        <v>35.178775000000002</v>
      </c>
      <c r="C1098" s="4">
        <f>AVERAGE(C449:C460)</f>
        <v>35.022508333333334</v>
      </c>
      <c r="D1098" s="4">
        <f>AVERAGE(D449:D460)</f>
        <v>47.507816666666677</v>
      </c>
      <c r="E1098" s="4">
        <f>AVERAGE(E449:E460)</f>
        <v>224.42011976297957</v>
      </c>
    </row>
    <row r="1099" spans="1:5" ht="15">
      <c r="A1099" s="3">
        <f t="shared" si="0"/>
        <v>2051</v>
      </c>
      <c r="B1099" s="4">
        <f>AVERAGE(B461:B472)</f>
        <v>35.788924999999992</v>
      </c>
      <c r="C1099" s="4">
        <f>AVERAGE(C461:C472)</f>
        <v>35.63268333333334</v>
      </c>
      <c r="D1099" s="4">
        <f>AVERAGE(D461:D472)</f>
        <v>48.223475000000001</v>
      </c>
      <c r="E1099" s="4">
        <f>AVERAGE(E461:E472)</f>
        <v>228.39638310150403</v>
      </c>
    </row>
    <row r="1100" spans="1:5" ht="15">
      <c r="A1100" s="3">
        <f t="shared" si="0"/>
        <v>2052</v>
      </c>
      <c r="B1100" s="4">
        <f>AVERAGE(B473:B484)</f>
        <v>36.409866666666666</v>
      </c>
      <c r="C1100" s="4">
        <f>AVERAGE(C473:C484)</f>
        <v>36.253616666666666</v>
      </c>
      <c r="D1100" s="4">
        <f>AVERAGE(D473:D484)</f>
        <v>48.950391666666668</v>
      </c>
      <c r="E1100" s="4">
        <f>AVERAGE(E473:E484)</f>
        <v>232.44309831440958</v>
      </c>
    </row>
    <row r="1101" spans="1:5" ht="15">
      <c r="A1101" s="3">
        <f t="shared" si="0"/>
        <v>2053</v>
      </c>
      <c r="B1101" s="4">
        <f>AVERAGE(B485:B496)</f>
        <v>37.041783333333335</v>
      </c>
      <c r="C1101" s="4">
        <f>AVERAGE(C485:C496)</f>
        <v>36.885516666666668</v>
      </c>
      <c r="D1101" s="4">
        <f>AVERAGE(D485:D496)</f>
        <v>49.688733333333339</v>
      </c>
      <c r="E1101" s="4">
        <f>AVERAGE(E485:E496)</f>
        <v>236.56151367581279</v>
      </c>
    </row>
    <row r="1102" spans="1:5" ht="15">
      <c r="A1102" s="3">
        <f t="shared" si="0"/>
        <v>2054</v>
      </c>
      <c r="B1102" s="4">
        <f>AVERAGE(B497:B508)</f>
        <v>37.684850000000004</v>
      </c>
      <c r="C1102" s="4">
        <f>AVERAGE(C497:C508)</f>
        <v>37.528608333333331</v>
      </c>
      <c r="D1102" s="4">
        <f>AVERAGE(D497:D508)</f>
        <v>50.438691666666671</v>
      </c>
      <c r="E1102" s="4">
        <f>AVERAGE(E497:E508)</f>
        <v>240.75289957688861</v>
      </c>
    </row>
    <row r="1103" spans="1:5" ht="15">
      <c r="A1103" s="3">
        <f t="shared" si="0"/>
        <v>2055</v>
      </c>
      <c r="B1103" s="4">
        <f>AVERAGE(B509:B520)</f>
        <v>38.339291666666675</v>
      </c>
      <c r="C1103" s="4">
        <f>AVERAGE(C509:C520)</f>
        <v>38.183033333333334</v>
      </c>
      <c r="D1103" s="4">
        <f>AVERAGE(D509:D520)</f>
        <v>51.200424999999996</v>
      </c>
      <c r="E1103" s="4">
        <f>AVERAGE(E509:E520)</f>
        <v>245.01854891774391</v>
      </c>
    </row>
    <row r="1104" spans="1:5" ht="15">
      <c r="A1104" s="3">
        <f t="shared" si="0"/>
        <v>2056</v>
      </c>
      <c r="B1104" s="4">
        <f>AVERAGE(B521:B532)</f>
        <v>39.005283333333331</v>
      </c>
      <c r="C1104" s="4">
        <f>AVERAGE(C521:C532)</f>
        <v>38.849049999999998</v>
      </c>
      <c r="D1104" s="4">
        <f>AVERAGE(D521:D532)</f>
        <v>51.974141666666661</v>
      </c>
      <c r="E1104" s="4">
        <f>AVERAGE(E521:E532)</f>
        <v>249.35977750623235</v>
      </c>
    </row>
    <row r="1105" spans="1:5" ht="15">
      <c r="A1105" s="3">
        <f t="shared" si="0"/>
        <v>2057</v>
      </c>
      <c r="B1105" s="4">
        <f>AVERAGE(B533:B544)</f>
        <v>39.683066666666669</v>
      </c>
      <c r="C1105" s="4">
        <f>AVERAGE(C533:C544)</f>
        <v>39.526808333333335</v>
      </c>
      <c r="D1105" s="4">
        <f>AVERAGE(D533:D544)</f>
        <v>52.760016666666672</v>
      </c>
      <c r="E1105" s="4">
        <f>AVERAGE(E533:E544)</f>
        <v>253.77792446383739</v>
      </c>
    </row>
    <row r="1106" spans="1:5" ht="15">
      <c r="A1106" s="3">
        <f t="shared" si="0"/>
        <v>2058</v>
      </c>
      <c r="B1106" s="4">
        <f>AVERAGE(B545:B556)</f>
        <v>40.372799999999998</v>
      </c>
      <c r="C1106" s="4">
        <f>AVERAGE(C545:C556)</f>
        <v>40.216550000000005</v>
      </c>
      <c r="D1106" s="4">
        <f>AVERAGE(D545:D556)</f>
        <v>53.558275000000002</v>
      </c>
      <c r="E1106" s="4">
        <f>AVERAGE(E545:E556)</f>
        <v>258.27435263874543</v>
      </c>
    </row>
    <row r="1107" spans="1:5" ht="15">
      <c r="A1107" s="3">
        <f t="shared" si="0"/>
        <v>2059</v>
      </c>
      <c r="B1107" s="4">
        <f>AVERAGE(B557:B568)</f>
        <v>41.074741666666668</v>
      </c>
      <c r="C1107" s="4">
        <f>AVERAGE(C557:C568)</f>
        <v>40.918483333333334</v>
      </c>
      <c r="D1107" s="4">
        <f>AVERAGE(D557:D568)</f>
        <v>54.369083333333329</v>
      </c>
      <c r="E1107" s="4">
        <f>AVERAGE(E557:E568)</f>
        <v>262.85044902623775</v>
      </c>
    </row>
    <row r="1108" spans="1:5" ht="15">
      <c r="A1108" s="3">
        <f t="shared" si="0"/>
        <v>2060</v>
      </c>
      <c r="B1108" s="4">
        <f>AVERAGE(B569:B580)</f>
        <v>41.789066666666663</v>
      </c>
      <c r="C1108" s="4">
        <f>AVERAGE(C569:C580)</f>
        <v>41.632808333333337</v>
      </c>
      <c r="D1108" s="4">
        <f>AVERAGE(D569:D580)</f>
        <v>55.192624999999992</v>
      </c>
      <c r="E1108" s="4">
        <f>AVERAGE(E569:E580)</f>
        <v>267.50762519653125</v>
      </c>
    </row>
    <row r="1109" spans="1:5" ht="15">
      <c r="A1109" s="3">
        <f t="shared" si="0"/>
        <v>2061</v>
      </c>
      <c r="B1109" s="4">
        <f>AVERAGE(B581:B592)</f>
        <v>42.516008333333332</v>
      </c>
      <c r="C1109" s="4">
        <f>AVERAGE(C581:C592)</f>
        <v>42.359783333333333</v>
      </c>
      <c r="D1109" s="4">
        <f>AVERAGE(D581:D592)</f>
        <v>56.02911666666666</v>
      </c>
      <c r="E1109" s="4">
        <f>AVERAGE(E581:E592)</f>
        <v>272.24731773020153</v>
      </c>
    </row>
    <row r="1110" spans="1:5" ht="15">
      <c r="A1110" s="3">
        <f t="shared" si="0"/>
        <v>2062</v>
      </c>
      <c r="B1110" s="4">
        <f t="shared" ref="B1110:E1129" ca="1" si="1">AVERAGE(OFFSET(B$593,($A1110-$A$1110)*12,0,12,1))</f>
        <v>43.255825000000009</v>
      </c>
      <c r="C1110" s="4">
        <f t="shared" ca="1" si="1"/>
        <v>43.099558333333334</v>
      </c>
      <c r="D1110" s="4">
        <f t="shared" ca="1" si="1"/>
        <v>56.878766666666657</v>
      </c>
      <c r="E1110" s="4">
        <f t="shared" ca="1" si="1"/>
        <v>277.07098866131662</v>
      </c>
    </row>
    <row r="1111" spans="1:5" ht="15">
      <c r="A1111" s="3">
        <f t="shared" si="0"/>
        <v>2063</v>
      </c>
      <c r="B1111" s="4">
        <f t="shared" ca="1" si="1"/>
        <v>44.008666666666663</v>
      </c>
      <c r="C1111" s="4">
        <f t="shared" ca="1" si="1"/>
        <v>43.85243333333333</v>
      </c>
      <c r="D1111" s="4">
        <f t="shared" ca="1" si="1"/>
        <v>57.741783333333323</v>
      </c>
      <c r="E1111" s="4">
        <f t="shared" ca="1" si="1"/>
        <v>281.98012592842747</v>
      </c>
    </row>
    <row r="1112" spans="1:5" ht="15">
      <c r="A1112" s="3">
        <f t="shared" si="0"/>
        <v>2064</v>
      </c>
      <c r="B1112" s="4">
        <f t="shared" ca="1" si="1"/>
        <v>44.774850000000008</v>
      </c>
      <c r="C1112" s="4">
        <f t="shared" ca="1" si="1"/>
        <v>44.618591666666667</v>
      </c>
      <c r="D1112" s="4">
        <f t="shared" ca="1" si="1"/>
        <v>58.618374999999993</v>
      </c>
      <c r="E1112" s="4">
        <f t="shared" ca="1" si="1"/>
        <v>286.97624383354406</v>
      </c>
    </row>
    <row r="1113" spans="1:5" ht="15">
      <c r="A1113" s="3">
        <f t="shared" si="0"/>
        <v>2065</v>
      </c>
      <c r="B1113" s="4">
        <f t="shared" ca="1" si="1"/>
        <v>45.554550000000006</v>
      </c>
      <c r="C1113" s="4">
        <f t="shared" ca="1" si="1"/>
        <v>45.39830833333334</v>
      </c>
      <c r="D1113" s="4">
        <f t="shared" ca="1" si="1"/>
        <v>59.508741666666651</v>
      </c>
      <c r="E1113" s="4">
        <f t="shared" ca="1" si="1"/>
        <v>292.06088350924767</v>
      </c>
    </row>
    <row r="1114" spans="1:5" ht="15">
      <c r="A1114" s="3">
        <f t="shared" si="0"/>
        <v>2066</v>
      </c>
      <c r="B1114" s="4">
        <f t="shared" ca="1" si="1"/>
        <v>46.348033333333326</v>
      </c>
      <c r="C1114" s="4">
        <f t="shared" ca="1" si="1"/>
        <v>46.191791666666667</v>
      </c>
      <c r="D1114" s="4">
        <f t="shared" ca="1" si="1"/>
        <v>60.413108333333327</v>
      </c>
      <c r="E1114" s="4">
        <f t="shared" ca="1" si="1"/>
        <v>297.23561339407746</v>
      </c>
    </row>
    <row r="1115" spans="1:5" ht="15">
      <c r="A1115" s="3">
        <f t="shared" si="0"/>
        <v>2067</v>
      </c>
      <c r="B1115" s="4">
        <f t="shared" ca="1" si="1"/>
        <v>47.155550000000005</v>
      </c>
      <c r="C1115" s="4">
        <f t="shared" ca="1" si="1"/>
        <v>46.999275000000004</v>
      </c>
      <c r="D1115" s="4">
        <f t="shared" ca="1" si="1"/>
        <v>61.331708333333331</v>
      </c>
      <c r="E1115" s="4">
        <f t="shared" ca="1" si="1"/>
        <v>302.50202971634008</v>
      </c>
    </row>
    <row r="1116" spans="1:5" ht="15">
      <c r="A1116" s="3">
        <f t="shared" si="0"/>
        <v>2068</v>
      </c>
      <c r="B1116" s="4">
        <f t="shared" ca="1" si="1"/>
        <v>47.977299999999993</v>
      </c>
      <c r="C1116" s="4">
        <f t="shared" ca="1" si="1"/>
        <v>47.821049999999993</v>
      </c>
      <c r="D1116" s="4">
        <f t="shared" ca="1" si="1"/>
        <v>62.264724999999999</v>
      </c>
      <c r="E1116" s="4">
        <f t="shared" ca="1" si="1"/>
        <v>307.86175698649259</v>
      </c>
    </row>
    <row r="1117" spans="1:5" ht="15">
      <c r="A1117" s="3">
        <f t="shared" si="0"/>
        <v>2069</v>
      </c>
      <c r="B1117" s="4">
        <f t="shared" ca="1" si="1"/>
        <v>48.813583333333327</v>
      </c>
      <c r="C1117" s="4">
        <f t="shared" ca="1" si="1"/>
        <v>48.657350000000001</v>
      </c>
      <c r="D1117" s="4">
        <f t="shared" ca="1" si="1"/>
        <v>63.212449999999997</v>
      </c>
      <c r="E1117" s="4">
        <f t="shared" ca="1" si="1"/>
        <v>313.31644849824767</v>
      </c>
    </row>
    <row r="1118" spans="1:5" ht="15">
      <c r="A1118" s="3">
        <f t="shared" ref="A1118:A1148" si="2">A1117+1</f>
        <v>2070</v>
      </c>
      <c r="B1118" s="4">
        <f t="shared" ca="1" si="1"/>
        <v>49.664658333333335</v>
      </c>
      <c r="C1118" s="4">
        <f t="shared" ca="1" si="1"/>
        <v>49.508408333333328</v>
      </c>
      <c r="D1118" s="4">
        <f t="shared" ca="1" si="1"/>
        <v>64.175041666666658</v>
      </c>
      <c r="E1118" s="4">
        <f t="shared" ca="1" si="1"/>
        <v>318.86778683855999</v>
      </c>
    </row>
    <row r="1119" spans="1:5" ht="15">
      <c r="A1119" s="3">
        <f t="shared" si="2"/>
        <v>2071</v>
      </c>
      <c r="B1119" s="4">
        <f t="shared" ca="1" si="1"/>
        <v>50.530758333333331</v>
      </c>
      <c r="C1119" s="4">
        <f t="shared" ca="1" si="1"/>
        <v>50.374508333333331</v>
      </c>
      <c r="D1119" s="4">
        <f t="shared" ca="1" si="1"/>
        <v>65.152783333333332</v>
      </c>
      <c r="E1119" s="4">
        <f t="shared" ca="1" si="1"/>
        <v>324.51748440664556</v>
      </c>
    </row>
    <row r="1120" spans="1:5" ht="15">
      <c r="A1120" s="3">
        <f t="shared" si="2"/>
        <v>2072</v>
      </c>
      <c r="B1120" s="4">
        <f t="shared" ca="1" si="1"/>
        <v>51.412158333333331</v>
      </c>
      <c r="C1120" s="4">
        <f t="shared" ca="1" si="1"/>
        <v>51.255899999999997</v>
      </c>
      <c r="D1120" s="4">
        <f t="shared" ca="1" si="1"/>
        <v>66.145916666666679</v>
      </c>
      <c r="E1120" s="4">
        <f t="shared" ca="1" si="1"/>
        <v>330.26728394220004</v>
      </c>
    </row>
    <row r="1121" spans="1:5" ht="15">
      <c r="A1121" s="3">
        <f t="shared" si="2"/>
        <v>2073</v>
      </c>
      <c r="B1121" s="4">
        <f t="shared" ca="1" si="1"/>
        <v>52.309141666666669</v>
      </c>
      <c r="C1121" s="4">
        <f t="shared" ca="1" si="1"/>
        <v>52.152891666666669</v>
      </c>
      <c r="D1121" s="4">
        <f t="shared" ca="1" si="1"/>
        <v>67.154641666666677</v>
      </c>
      <c r="E1121" s="4">
        <f t="shared" ca="1" si="1"/>
        <v>336.11895906297372</v>
      </c>
    </row>
    <row r="1122" spans="1:5" ht="15">
      <c r="A1122" s="3">
        <f t="shared" si="2"/>
        <v>2074</v>
      </c>
      <c r="B1122" s="4">
        <f t="shared" ca="1" si="1"/>
        <v>53.22195</v>
      </c>
      <c r="C1122" s="4">
        <f t="shared" ca="1" si="1"/>
        <v>53.065724999999993</v>
      </c>
      <c r="D1122" s="4">
        <f t="shared" ca="1" si="1"/>
        <v>68.179249999999996</v>
      </c>
      <c r="E1122" s="4">
        <f t="shared" ca="1" si="1"/>
        <v>342.07431481187274</v>
      </c>
    </row>
    <row r="1123" spans="1:5" ht="15">
      <c r="A1123" s="3">
        <f t="shared" si="2"/>
        <v>2075</v>
      </c>
      <c r="B1123" s="4">
        <f t="shared" ca="1" si="1"/>
        <v>54.150908333333341</v>
      </c>
      <c r="C1123" s="4">
        <f t="shared" ca="1" si="1"/>
        <v>53.99466666666666</v>
      </c>
      <c r="D1123" s="4">
        <f t="shared" ca="1" si="1"/>
        <v>69.219966666666679</v>
      </c>
      <c r="E1123" s="4">
        <f t="shared" ca="1" si="1"/>
        <v>348.13518821375374</v>
      </c>
    </row>
    <row r="1124" spans="1:5" ht="15">
      <c r="A1124" s="3">
        <f t="shared" si="2"/>
        <v>2076</v>
      </c>
      <c r="B1124" s="4">
        <f t="shared" ca="1" si="1"/>
        <v>55.096274999999991</v>
      </c>
      <c r="C1124" s="4">
        <f t="shared" ca="1" si="1"/>
        <v>54.940041666666673</v>
      </c>
      <c r="D1124" s="4">
        <f t="shared" ca="1" si="1"/>
        <v>70.277041666666662</v>
      </c>
      <c r="E1124" s="4">
        <f t="shared" ca="1" si="1"/>
        <v>354.3034488420829</v>
      </c>
    </row>
    <row r="1125" spans="1:5" ht="15">
      <c r="A1125" s="3">
        <f t="shared" si="2"/>
        <v>2077</v>
      </c>
      <c r="B1125" s="4">
        <f t="shared" ca="1" si="1"/>
        <v>56.058349999999997</v>
      </c>
      <c r="C1125" s="4">
        <f t="shared" ca="1" si="1"/>
        <v>55.902108333333331</v>
      </c>
      <c r="D1125" s="4">
        <f t="shared" ca="1" si="1"/>
        <v>71.350741666666664</v>
      </c>
      <c r="E1125" s="4">
        <f t="shared" ca="1" si="1"/>
        <v>360.58099939563641</v>
      </c>
    </row>
    <row r="1126" spans="1:5" ht="15">
      <c r="A1126" s="3">
        <f t="shared" si="2"/>
        <v>2078</v>
      </c>
      <c r="B1126" s="4">
        <f t="shared" ca="1" si="1"/>
        <v>57.037416666666665</v>
      </c>
      <c r="C1126" s="4">
        <f t="shared" ca="1" si="1"/>
        <v>56.881166666666651</v>
      </c>
      <c r="D1126" s="4">
        <f t="shared" ca="1" si="1"/>
        <v>72.441341666666673</v>
      </c>
      <c r="E1126" s="4">
        <f t="shared" ca="1" si="1"/>
        <v>366.96977628541777</v>
      </c>
    </row>
    <row r="1127" spans="1:5" ht="15">
      <c r="A1127" s="3">
        <f t="shared" si="2"/>
        <v>2079</v>
      </c>
      <c r="B1127" s="4">
        <f t="shared" ca="1" si="1"/>
        <v>58.033783333333332</v>
      </c>
      <c r="C1127" s="4">
        <f t="shared" ca="1" si="1"/>
        <v>57.877516666666658</v>
      </c>
      <c r="D1127" s="4">
        <f t="shared" ca="1" si="1"/>
        <v>73.549058333333321</v>
      </c>
      <c r="E1127" s="4">
        <f t="shared" ca="1" si="1"/>
        <v>373.47175023197627</v>
      </c>
    </row>
    <row r="1128" spans="1:5" ht="15">
      <c r="A1128" s="3">
        <f t="shared" si="2"/>
        <v>2080</v>
      </c>
      <c r="B1128" s="4">
        <f t="shared" ca="1" si="1"/>
        <v>59.047758333333327</v>
      </c>
      <c r="C1128" s="4">
        <f t="shared" ca="1" si="1"/>
        <v>58.891474999999993</v>
      </c>
      <c r="D1128" s="4">
        <f t="shared" ca="1" si="1"/>
        <v>74.674191666666658</v>
      </c>
      <c r="E1128" s="4">
        <f t="shared" ca="1" si="1"/>
        <v>380.08892687330496</v>
      </c>
    </row>
    <row r="1129" spans="1:5" ht="15">
      <c r="A1129" s="3">
        <f t="shared" si="2"/>
        <v>2081</v>
      </c>
      <c r="B1129" s="4">
        <f t="shared" ca="1" si="1"/>
        <v>60.079616666666674</v>
      </c>
      <c r="C1129" s="4">
        <f t="shared" ca="1" si="1"/>
        <v>59.923374999999993</v>
      </c>
      <c r="D1129" s="4">
        <f t="shared" ca="1" si="1"/>
        <v>75.817050000000009</v>
      </c>
      <c r="E1129" s="4">
        <f t="shared" ca="1" si="1"/>
        <v>386.82334738351432</v>
      </c>
    </row>
    <row r="1130" spans="1:5" ht="15">
      <c r="A1130" s="3">
        <f t="shared" si="2"/>
        <v>2082</v>
      </c>
      <c r="B1130" s="4">
        <f t="shared" ref="B1130:E1148" ca="1" si="3">AVERAGE(OFFSET(B$593,($A1130-$A$1110)*12,0,12,1))</f>
        <v>61.129749999999994</v>
      </c>
      <c r="C1130" s="4">
        <f t="shared" ca="1" si="3"/>
        <v>60.973491666666661</v>
      </c>
      <c r="D1130" s="4">
        <f t="shared" ca="1" si="3"/>
        <v>76.977866666666657</v>
      </c>
      <c r="E1130" s="4">
        <f t="shared" ca="1" si="3"/>
        <v>393.67708910246239</v>
      </c>
    </row>
    <row r="1131" spans="1:5" ht="15">
      <c r="A1131" s="3">
        <f t="shared" si="2"/>
        <v>2083</v>
      </c>
      <c r="B1131" s="4">
        <f t="shared" ca="1" si="3"/>
        <v>62.198399999999999</v>
      </c>
      <c r="C1131" s="4">
        <f t="shared" ca="1" si="3"/>
        <v>62.042166666666652</v>
      </c>
      <c r="D1131" s="4">
        <f t="shared" ca="1" si="3"/>
        <v>78.156950000000009</v>
      </c>
      <c r="E1131" s="4">
        <f t="shared" ca="1" si="3"/>
        <v>400.65226617654633</v>
      </c>
    </row>
    <row r="1132" spans="1:5" ht="15">
      <c r="A1132" s="3">
        <f t="shared" si="2"/>
        <v>2084</v>
      </c>
      <c r="B1132" s="4">
        <f t="shared" ca="1" si="3"/>
        <v>63.285975000000008</v>
      </c>
      <c r="C1132" s="4">
        <f t="shared" ca="1" si="3"/>
        <v>63.129691666666673</v>
      </c>
      <c r="D1132" s="4">
        <f t="shared" ca="1" si="3"/>
        <v>79.354558333333344</v>
      </c>
      <c r="E1132" s="4">
        <f t="shared" ca="1" si="3"/>
        <v>407.75103021084266</v>
      </c>
    </row>
    <row r="1133" spans="1:5" ht="15">
      <c r="A1133" s="3">
        <f t="shared" si="2"/>
        <v>2085</v>
      </c>
      <c r="B1133" s="4">
        <f t="shared" ca="1" si="3"/>
        <v>64.392708333333346</v>
      </c>
      <c r="C1133" s="4">
        <f t="shared" ca="1" si="3"/>
        <v>64.236466666666672</v>
      </c>
      <c r="D1133" s="4">
        <f t="shared" ca="1" si="3"/>
        <v>80.570999999999984</v>
      </c>
      <c r="E1133" s="4">
        <f t="shared" ca="1" si="3"/>
        <v>414.97557093280528</v>
      </c>
    </row>
    <row r="1134" spans="1:5" ht="15">
      <c r="A1134" s="3">
        <f t="shared" si="2"/>
        <v>2086</v>
      </c>
      <c r="B1134" s="4">
        <f t="shared" ca="1" si="3"/>
        <v>65.51906666666666</v>
      </c>
      <c r="C1134" s="4">
        <f t="shared" ca="1" si="3"/>
        <v>65.362791666666666</v>
      </c>
      <c r="D1134" s="4">
        <f t="shared" ca="1" si="3"/>
        <v>81.806566666666683</v>
      </c>
      <c r="E1134" s="4">
        <f t="shared" ca="1" si="3"/>
        <v>422.32811686772169</v>
      </c>
    </row>
    <row r="1135" spans="1:5" ht="15">
      <c r="A1135" s="3">
        <f t="shared" si="2"/>
        <v>2087</v>
      </c>
      <c r="B1135" s="4">
        <f t="shared" ca="1" si="3"/>
        <v>66.665274999999994</v>
      </c>
      <c r="C1135" s="4">
        <f t="shared" ca="1" si="3"/>
        <v>66.509016666666653</v>
      </c>
      <c r="D1135" s="4">
        <f t="shared" ca="1" si="3"/>
        <v>83.061558333333338</v>
      </c>
      <c r="E1135" s="4">
        <f t="shared" ca="1" si="3"/>
        <v>429.81093602613697</v>
      </c>
    </row>
    <row r="1136" spans="1:5" ht="15">
      <c r="A1136" s="3">
        <f t="shared" si="2"/>
        <v>2088</v>
      </c>
      <c r="B1136" s="4">
        <f t="shared" ca="1" si="3"/>
        <v>67.831741666666673</v>
      </c>
      <c r="C1136" s="4">
        <f t="shared" ca="1" si="3"/>
        <v>67.675491666666673</v>
      </c>
      <c r="D1136" s="4">
        <f t="shared" ca="1" si="3"/>
        <v>84.336300000000008</v>
      </c>
      <c r="E1136" s="4">
        <f t="shared" ca="1" si="3"/>
        <v>437.42633660345928</v>
      </c>
    </row>
    <row r="1137" spans="1:5" ht="15">
      <c r="A1137" s="3">
        <f t="shared" si="2"/>
        <v>2089</v>
      </c>
      <c r="B1137" s="4">
        <f t="shared" ca="1" si="3"/>
        <v>69.018816666666666</v>
      </c>
      <c r="C1137" s="4">
        <f t="shared" ca="1" si="3"/>
        <v>68.862583333333347</v>
      </c>
      <c r="D1137" s="4">
        <f t="shared" ca="1" si="3"/>
        <v>85.631074999999996</v>
      </c>
      <c r="E1137" s="4">
        <f t="shared" ca="1" si="3"/>
        <v>445.17666769195779</v>
      </c>
    </row>
    <row r="1138" spans="1:5" ht="15">
      <c r="A1138" s="3">
        <f t="shared" si="2"/>
        <v>2090</v>
      </c>
      <c r="B1138" s="4">
        <f t="shared" ca="1" si="3"/>
        <v>70.22685833333334</v>
      </c>
      <c r="C1138" s="4">
        <f t="shared" ca="1" si="3"/>
        <v>70.070633333333333</v>
      </c>
      <c r="D1138" s="4">
        <f t="shared" ca="1" si="3"/>
        <v>86.946224999999984</v>
      </c>
      <c r="E1138" s="4">
        <f t="shared" ca="1" si="3"/>
        <v>453.06432000537893</v>
      </c>
    </row>
    <row r="1139" spans="1:5" ht="15">
      <c r="A1139" s="3">
        <f t="shared" si="2"/>
        <v>2091</v>
      </c>
      <c r="B1139" s="4">
        <f t="shared" ca="1" si="3"/>
        <v>71.456266666666664</v>
      </c>
      <c r="C1139" s="4">
        <f t="shared" ca="1" si="3"/>
        <v>71.300025000000005</v>
      </c>
      <c r="D1139" s="4">
        <f t="shared" ca="1" si="3"/>
        <v>88.282050000000012</v>
      </c>
      <c r="E1139" s="4">
        <f t="shared" ca="1" si="3"/>
        <v>461.09172661640082</v>
      </c>
    </row>
    <row r="1140" spans="1:5" ht="15">
      <c r="A1140" s="3">
        <f t="shared" si="2"/>
        <v>2092</v>
      </c>
      <c r="B1140" s="4">
        <f t="shared" ca="1" si="3"/>
        <v>72.707400000000007</v>
      </c>
      <c r="C1140" s="4">
        <f t="shared" ca="1" si="3"/>
        <v>72.551141666666666</v>
      </c>
      <c r="D1140" s="4">
        <f t="shared" ca="1" si="3"/>
        <v>89.638858333333346</v>
      </c>
      <c r="E1140" s="4">
        <f t="shared" ca="1" si="3"/>
        <v>469.26136370715238</v>
      </c>
    </row>
    <row r="1141" spans="1:5" ht="15">
      <c r="A1141" s="3">
        <f t="shared" si="2"/>
        <v>2093</v>
      </c>
      <c r="B1141" s="4">
        <f t="shared" ca="1" si="3"/>
        <v>73.980625000000003</v>
      </c>
      <c r="C1141" s="4">
        <f t="shared" ca="1" si="3"/>
        <v>73.824366666666677</v>
      </c>
      <c r="D1141" s="4">
        <f t="shared" ca="1" si="3"/>
        <v>91.017016666666663</v>
      </c>
      <c r="E1141" s="4">
        <f t="shared" ca="1" si="3"/>
        <v>477.57575133303135</v>
      </c>
    </row>
    <row r="1142" spans="1:5" ht="15">
      <c r="A1142" s="3">
        <f t="shared" si="2"/>
        <v>2094</v>
      </c>
      <c r="B1142" s="4">
        <f t="shared" ca="1" si="3"/>
        <v>75.276350000000008</v>
      </c>
      <c r="C1142" s="4">
        <f t="shared" ca="1" si="3"/>
        <v>75.120083333333341</v>
      </c>
      <c r="D1142" s="4">
        <f t="shared" ca="1" si="3"/>
        <v>92.416883333333331</v>
      </c>
      <c r="E1142" s="4">
        <f t="shared" ca="1" si="3"/>
        <v>486.03745420005743</v>
      </c>
    </row>
    <row r="1143" spans="1:5" ht="15">
      <c r="A1143" s="3">
        <f t="shared" si="2"/>
        <v>2095</v>
      </c>
      <c r="B1143" s="4">
        <f t="shared" ca="1" si="3"/>
        <v>76.594958333333309</v>
      </c>
      <c r="C1143" s="4">
        <f t="shared" ca="1" si="3"/>
        <v>76.438699999999997</v>
      </c>
      <c r="D1143" s="4">
        <f t="shared" ca="1" si="3"/>
        <v>93.838725000000011</v>
      </c>
      <c r="E1143" s="4">
        <f t="shared" ca="1" si="3"/>
        <v>494.64908245599423</v>
      </c>
    </row>
    <row r="1144" spans="1:5" ht="15">
      <c r="A1144" s="3">
        <f t="shared" si="2"/>
        <v>2096</v>
      </c>
      <c r="B1144" s="4">
        <f t="shared" ca="1" si="3"/>
        <v>77.936858333333319</v>
      </c>
      <c r="C1144" s="4">
        <f t="shared" ca="1" si="3"/>
        <v>77.780625000000001</v>
      </c>
      <c r="D1144" s="4">
        <f t="shared" ca="1" si="3"/>
        <v>95.282916666666651</v>
      </c>
      <c r="E1144" s="4">
        <f t="shared" ca="1" si="3"/>
        <v>503.4132924954942</v>
      </c>
    </row>
    <row r="1145" spans="1:5" ht="15">
      <c r="A1145" s="3">
        <f t="shared" si="2"/>
        <v>2097</v>
      </c>
      <c r="B1145" s="4">
        <f t="shared" ca="1" si="3"/>
        <v>79.302500000000023</v>
      </c>
      <c r="C1145" s="4">
        <f t="shared" ca="1" si="3"/>
        <v>79.146233333333342</v>
      </c>
      <c r="D1145" s="4">
        <f t="shared" ca="1" si="3"/>
        <v>96.749833333333314</v>
      </c>
      <c r="E1145" s="4">
        <f t="shared" ca="1" si="3"/>
        <v>512.33278777950375</v>
      </c>
    </row>
    <row r="1146" spans="1:5" ht="15">
      <c r="A1146" s="3">
        <f t="shared" si="2"/>
        <v>2098</v>
      </c>
      <c r="B1146" s="4">
        <f t="shared" ca="1" si="3"/>
        <v>80.692250000000001</v>
      </c>
      <c r="C1146" s="4">
        <f t="shared" ca="1" si="3"/>
        <v>80.535991666666675</v>
      </c>
      <c r="D1146" s="4">
        <f t="shared" ca="1" si="3"/>
        <v>98.239808333333329</v>
      </c>
      <c r="E1146" s="4">
        <f t="shared" ca="1" si="3"/>
        <v>521.41031966918922</v>
      </c>
    </row>
    <row r="1147" spans="1:5" ht="15">
      <c r="A1147" s="3">
        <f t="shared" si="2"/>
        <v>2099</v>
      </c>
      <c r="B1147" s="4">
        <f t="shared" ca="1" si="3"/>
        <v>82.106558333333325</v>
      </c>
      <c r="C1147" s="4">
        <f t="shared" ca="1" si="3"/>
        <v>81.950291666666672</v>
      </c>
      <c r="D1147" s="4">
        <f t="shared" ca="1" si="3"/>
        <v>99.753241666666668</v>
      </c>
      <c r="E1147" s="4">
        <f t="shared" ca="1" si="3"/>
        <v>530.64868827463999</v>
      </c>
    </row>
    <row r="1148" spans="1:5" ht="15">
      <c r="A1148" s="3">
        <f t="shared" si="2"/>
        <v>2100</v>
      </c>
      <c r="B1148" s="4">
        <f t="shared" ca="1" si="3"/>
        <v>83.545841666666675</v>
      </c>
      <c r="C1148" s="4">
        <f t="shared" ca="1" si="3"/>
        <v>83.389574999999994</v>
      </c>
      <c r="D1148" s="4">
        <f t="shared" ca="1" si="3"/>
        <v>101.29044166666665</v>
      </c>
      <c r="E1148" s="4">
        <f t="shared" ca="1" si="3"/>
        <v>540.05074331860624</v>
      </c>
    </row>
    <row r="1149" spans="1:5">
      <c r="A1149" s="34"/>
    </row>
    <row r="1150" spans="1:5">
      <c r="A1150" s="34"/>
    </row>
    <row r="1151" spans="1:5">
      <c r="A1151" s="34"/>
    </row>
    <row r="1152" spans="1:5">
      <c r="A1152" s="34"/>
    </row>
    <row r="1153" spans="1:1">
      <c r="A1153" s="34"/>
    </row>
    <row r="1154" spans="1:1">
      <c r="A1154" s="34"/>
    </row>
    <row r="1155" spans="1:1">
      <c r="A1155" s="34"/>
    </row>
    <row r="1156" spans="1:1">
      <c r="A1156" s="34"/>
    </row>
    <row r="1157" spans="1:1">
      <c r="A1157" s="34"/>
    </row>
    <row r="1158" spans="1:1">
      <c r="A1158" s="34"/>
    </row>
    <row r="1159" spans="1:1">
      <c r="A1159" s="34"/>
    </row>
    <row r="1160" spans="1:1">
      <c r="A1160" s="34"/>
    </row>
    <row r="1161" spans="1:1">
      <c r="A1161" s="34"/>
    </row>
    <row r="1162" spans="1:1">
      <c r="A1162" s="34"/>
    </row>
    <row r="1163" spans="1:1">
      <c r="A1163" s="34"/>
    </row>
    <row r="1164" spans="1:1">
      <c r="A1164" s="34"/>
    </row>
    <row r="1165" spans="1:1">
      <c r="A1165" s="34"/>
    </row>
    <row r="1166" spans="1:1">
      <c r="A1166" s="34"/>
    </row>
    <row r="1167" spans="1:1">
      <c r="A1167" s="34"/>
    </row>
    <row r="1168" spans="1:1">
      <c r="A1168" s="34"/>
    </row>
  </sheetData>
  <mergeCells count="1">
    <mergeCell ref="B14:C14"/>
  </mergeCells>
  <pageMargins left="0.25" right="0.25" top="0.5" bottom="0.5" header="0.25" footer="0.25"/>
  <pageSetup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S1147"/>
  <sheetViews>
    <sheetView zoomScale="70" workbookViewId="0">
      <pane xSplit="1" ySplit="15" topLeftCell="B16" activePane="bottomRight" state="frozen"/>
      <selection activeCell="C5" sqref="C5"/>
      <selection pane="topRight" activeCell="C5" sqref="C5"/>
      <selection pane="bottomLeft" activeCell="C5" sqref="C5"/>
      <selection pane="bottomRight" activeCell="A39" sqref="A39"/>
    </sheetView>
  </sheetViews>
  <sheetFormatPr defaultColWidth="7.109375" defaultRowHeight="12.75"/>
  <cols>
    <col min="1" max="1" width="14.5546875" style="34" customWidth="1"/>
    <col min="2" max="2" width="19" style="34" customWidth="1"/>
    <col min="3" max="3" width="16.109375" style="34" customWidth="1"/>
    <col min="4" max="4" width="20.21875" style="34" customWidth="1"/>
    <col min="5" max="5" width="20.6640625" style="34" customWidth="1"/>
    <col min="6" max="6" width="16.109375" style="34" customWidth="1"/>
    <col min="7" max="9" width="20" style="34" customWidth="1"/>
    <col min="10" max="10" width="16.109375" style="34" customWidth="1"/>
    <col min="11" max="13" width="19.109375" style="34" customWidth="1"/>
    <col min="14" max="14" width="16.109375" style="34" customWidth="1"/>
    <col min="15" max="15" width="19.77734375" style="34" customWidth="1"/>
    <col min="16" max="16" width="16.109375" style="34" customWidth="1"/>
    <col min="17" max="19" width="17.6640625" style="34" customWidth="1"/>
    <col min="20" max="16384" width="7.109375" style="34"/>
  </cols>
  <sheetData>
    <row r="1" spans="1:19" ht="15.75">
      <c r="A1" s="92" t="s">
        <v>65</v>
      </c>
    </row>
    <row r="2" spans="1:19" ht="15.75">
      <c r="A2" s="92" t="s">
        <v>66</v>
      </c>
    </row>
    <row r="3" spans="1:19" ht="15.75">
      <c r="A3" s="92" t="s">
        <v>67</v>
      </c>
    </row>
    <row r="4" spans="1:19" ht="15.75">
      <c r="A4" s="92" t="s">
        <v>68</v>
      </c>
    </row>
    <row r="5" spans="1:19" ht="15.75">
      <c r="A5" s="92" t="s">
        <v>69</v>
      </c>
    </row>
    <row r="6" spans="1:19" ht="15.75">
      <c r="A6" s="92" t="s">
        <v>73</v>
      </c>
    </row>
    <row r="7" spans="1:19" s="62" customFormat="1"/>
    <row r="8" spans="1:19" s="62" customFormat="1" ht="15" customHeight="1">
      <c r="A8" s="87" t="s">
        <v>25</v>
      </c>
    </row>
    <row r="9" spans="1:19" ht="15" customHeight="1">
      <c r="A9" s="77"/>
    </row>
    <row r="10" spans="1:19" ht="15" customHeight="1">
      <c r="A10" s="77"/>
    </row>
    <row r="11" spans="1:19" ht="15" customHeight="1">
      <c r="B11" s="76"/>
      <c r="H11" s="73" t="s">
        <v>52</v>
      </c>
    </row>
    <row r="12" spans="1:19" ht="15" customHeight="1">
      <c r="A12" s="76"/>
      <c r="B12" s="75" t="s">
        <v>24</v>
      </c>
      <c r="C12" s="74">
        <f>1-0.149</f>
        <v>0.85099999999999998</v>
      </c>
      <c r="D12" s="75" t="s">
        <v>23</v>
      </c>
      <c r="E12" s="74">
        <f>1+0.149</f>
        <v>1.149</v>
      </c>
      <c r="H12" s="73"/>
      <c r="P12" s="97"/>
      <c r="Q12" s="97"/>
      <c r="R12" s="97"/>
      <c r="S12" s="97"/>
    </row>
    <row r="13" spans="1:19" ht="15" customHeight="1">
      <c r="B13" s="96" t="s">
        <v>51</v>
      </c>
      <c r="C13" s="96"/>
      <c r="D13" s="96"/>
      <c r="E13" s="98" t="s">
        <v>50</v>
      </c>
      <c r="F13" s="98"/>
      <c r="G13" s="99"/>
      <c r="H13" s="100" t="s">
        <v>49</v>
      </c>
      <c r="I13" s="100"/>
      <c r="J13" s="100"/>
      <c r="K13" s="100"/>
      <c r="L13" s="99" t="s">
        <v>48</v>
      </c>
      <c r="M13" s="99"/>
      <c r="N13" s="99"/>
      <c r="O13" s="99"/>
      <c r="P13" s="97"/>
      <c r="Q13" s="97"/>
      <c r="R13" s="97"/>
      <c r="S13" s="97"/>
    </row>
    <row r="14" spans="1:19" ht="63">
      <c r="B14" s="72" t="s">
        <v>47</v>
      </c>
      <c r="C14" s="71" t="s">
        <v>45</v>
      </c>
      <c r="D14" s="70" t="s">
        <v>44</v>
      </c>
      <c r="E14" s="72" t="s">
        <v>47</v>
      </c>
      <c r="F14" s="71" t="s">
        <v>45</v>
      </c>
      <c r="G14" s="70" t="s">
        <v>44</v>
      </c>
      <c r="H14" s="72" t="s">
        <v>47</v>
      </c>
      <c r="I14" s="72" t="s">
        <v>46</v>
      </c>
      <c r="J14" s="71" t="s">
        <v>45</v>
      </c>
      <c r="K14" s="70" t="s">
        <v>44</v>
      </c>
      <c r="L14" s="72" t="s">
        <v>47</v>
      </c>
      <c r="M14" s="72" t="s">
        <v>46</v>
      </c>
      <c r="N14" s="71" t="s">
        <v>45</v>
      </c>
      <c r="O14" s="70" t="s">
        <v>44</v>
      </c>
      <c r="P14" s="62"/>
      <c r="Q14" s="69"/>
      <c r="R14" s="69"/>
      <c r="S14" s="69"/>
    </row>
    <row r="15" spans="1:19" ht="20.25">
      <c r="A15" s="27" t="s">
        <v>2</v>
      </c>
      <c r="B15" s="68" t="s">
        <v>1</v>
      </c>
      <c r="C15" s="68" t="s">
        <v>1</v>
      </c>
      <c r="D15" s="68" t="s">
        <v>1</v>
      </c>
      <c r="E15" s="68" t="s">
        <v>1</v>
      </c>
      <c r="F15" s="68" t="s">
        <v>1</v>
      </c>
      <c r="G15" s="68" t="s">
        <v>1</v>
      </c>
      <c r="H15" s="68" t="s">
        <v>1</v>
      </c>
      <c r="I15" s="68" t="s">
        <v>1</v>
      </c>
      <c r="J15" s="68" t="s">
        <v>1</v>
      </c>
      <c r="K15" s="68" t="s">
        <v>1</v>
      </c>
      <c r="L15" s="68" t="s">
        <v>1</v>
      </c>
      <c r="M15" s="68" t="s">
        <v>1</v>
      </c>
      <c r="N15" s="68" t="s">
        <v>1</v>
      </c>
      <c r="O15" s="68" t="s">
        <v>1</v>
      </c>
      <c r="P15" s="67"/>
      <c r="Q15" s="67"/>
      <c r="R15" s="67"/>
      <c r="S15" s="67"/>
    </row>
    <row r="16" spans="1:19" ht="15">
      <c r="A16" s="13">
        <v>41640</v>
      </c>
      <c r="B16" s="65">
        <f>2.3642 * CHOOSE(CONTROL!$C$23, $C$12, 100%, $E$12)</f>
        <v>2.3641999999999999</v>
      </c>
      <c r="C16" s="65">
        <f>2.3216 * CHOOSE(CONTROL!$C$23, $C$12, 100%, $E$12)</f>
        <v>2.3216000000000001</v>
      </c>
      <c r="D16" s="65">
        <f>2.3256 * CHOOSE(CONTROL!$C$23, $C$12, 100%, $E$12)</f>
        <v>2.3256000000000001</v>
      </c>
      <c r="E16" s="66">
        <f>3.382 * CHOOSE(CONTROL!$C$23, $C$12, 100%, $E$12)</f>
        <v>3.3820000000000001</v>
      </c>
      <c r="F16" s="66">
        <f>3.561 * CHOOSE(CONTROL!$C$23, $C$12, 100%, $E$12)</f>
        <v>3.5609999999999999</v>
      </c>
      <c r="G16" s="66">
        <f>3.5719 * CHOOSE(CONTROL!$C$23, $C$12, 100%, $E$12)</f>
        <v>3.5718999999999999</v>
      </c>
      <c r="H16" s="66">
        <f>5.9* CHOOSE(CONTROL!$C$23, $C$12, 100%, $E$12)</f>
        <v>5.9</v>
      </c>
      <c r="I16" s="66">
        <f>5.9109 * CHOOSE(CONTROL!$C$23, $C$12, 100%, $E$12)</f>
        <v>5.9108999999999998</v>
      </c>
      <c r="J16" s="66">
        <f>5.9 * CHOOSE(CONTROL!$C$23, $C$12, 100%, $E$12)</f>
        <v>5.9</v>
      </c>
      <c r="K16" s="66">
        <f>5.9109 * CHOOSE(CONTROL!$C$23, $C$12, 100%, $E$12)</f>
        <v>5.9108999999999998</v>
      </c>
      <c r="L16" s="66">
        <f>3.382 * CHOOSE(CONTROL!$C$23, $C$12, 100%, $E$12)</f>
        <v>3.3820000000000001</v>
      </c>
      <c r="M16" s="66">
        <f>3.3929 * CHOOSE(CONTROL!$C$23, $C$12, 100%, $E$12)</f>
        <v>3.3929</v>
      </c>
      <c r="N16" s="66">
        <f>3.382 * CHOOSE(CONTROL!$C$23, $C$12, 100%, $E$12)</f>
        <v>3.3820000000000001</v>
      </c>
      <c r="O16" s="66">
        <f>3.3929 * CHOOSE(CONTROL!$C$23, $C$12, 100%, $E$12)</f>
        <v>3.3929</v>
      </c>
      <c r="P16" s="4"/>
      <c r="Q16" s="66"/>
      <c r="R16" s="66"/>
    </row>
    <row r="17" spans="1:18" ht="15">
      <c r="A17" s="13">
        <v>41671</v>
      </c>
      <c r="B17" s="65">
        <f>2.3685 * CHOOSE(CONTROL!$C$23, $C$12, 100%, $E$12)</f>
        <v>2.3685</v>
      </c>
      <c r="C17" s="65">
        <f>2.329 * CHOOSE(CONTROL!$C$23, $C$12, 100%, $E$12)</f>
        <v>2.3290000000000002</v>
      </c>
      <c r="D17" s="65">
        <f>2.333 * CHOOSE(CONTROL!$C$23, $C$12, 100%, $E$12)</f>
        <v>2.3330000000000002</v>
      </c>
      <c r="E17" s="66">
        <f>3.3397 * CHOOSE(CONTROL!$C$23, $C$12, 100%, $E$12)</f>
        <v>3.3397000000000001</v>
      </c>
      <c r="F17" s="66">
        <f>3.561 * CHOOSE(CONTROL!$C$23, $C$12, 100%, $E$12)</f>
        <v>3.5609999999999999</v>
      </c>
      <c r="G17" s="66">
        <f>3.5719 * CHOOSE(CONTROL!$C$23, $C$12, 100%, $E$12)</f>
        <v>3.5718999999999999</v>
      </c>
      <c r="H17" s="66">
        <f>5.9123* CHOOSE(CONTROL!$C$23, $C$12, 100%, $E$12)</f>
        <v>5.9123000000000001</v>
      </c>
      <c r="I17" s="66">
        <f>5.9232 * CHOOSE(CONTROL!$C$23, $C$12, 100%, $E$12)</f>
        <v>5.9231999999999996</v>
      </c>
      <c r="J17" s="66">
        <f>5.9123 * CHOOSE(CONTROL!$C$23, $C$12, 100%, $E$12)</f>
        <v>5.9123000000000001</v>
      </c>
      <c r="K17" s="66">
        <f>5.9232 * CHOOSE(CONTROL!$C$23, $C$12, 100%, $E$12)</f>
        <v>5.9231999999999996</v>
      </c>
      <c r="L17" s="66">
        <f>3.3397 * CHOOSE(CONTROL!$C$23, $C$12, 100%, $E$12)</f>
        <v>3.3397000000000001</v>
      </c>
      <c r="M17" s="66">
        <f>3.3506 * CHOOSE(CONTROL!$C$23, $C$12, 100%, $E$12)</f>
        <v>3.3506</v>
      </c>
      <c r="N17" s="66">
        <f>3.3397 * CHOOSE(CONTROL!$C$23, $C$12, 100%, $E$12)</f>
        <v>3.3397000000000001</v>
      </c>
      <c r="O17" s="66">
        <f>3.3506 * CHOOSE(CONTROL!$C$23, $C$12, 100%, $E$12)</f>
        <v>3.3506</v>
      </c>
      <c r="P17" s="4"/>
      <c r="Q17" s="66"/>
      <c r="R17" s="66"/>
    </row>
    <row r="18" spans="1:18" ht="15">
      <c r="A18" s="13">
        <v>41699</v>
      </c>
      <c r="B18" s="65">
        <f>2.3683 * CHOOSE(CONTROL!$C$23, $C$12, 100%, $E$12)</f>
        <v>2.3683000000000001</v>
      </c>
      <c r="C18" s="65">
        <f>2.3227 * CHOOSE(CONTROL!$C$23, $C$12, 100%, $E$12)</f>
        <v>2.3227000000000002</v>
      </c>
      <c r="D18" s="65">
        <f>2.3267 * CHOOSE(CONTROL!$C$23, $C$12, 100%, $E$12)</f>
        <v>2.3267000000000002</v>
      </c>
      <c r="E18" s="66">
        <f>3.3703 * CHOOSE(CONTROL!$C$23, $C$12, 100%, $E$12)</f>
        <v>3.3702999999999999</v>
      </c>
      <c r="F18" s="66">
        <f>3.561 * CHOOSE(CONTROL!$C$23, $C$12, 100%, $E$12)</f>
        <v>3.5609999999999999</v>
      </c>
      <c r="G18" s="66">
        <f>3.5719 * CHOOSE(CONTROL!$C$23, $C$12, 100%, $E$12)</f>
        <v>3.5718999999999999</v>
      </c>
      <c r="H18" s="66">
        <f>5.9246* CHOOSE(CONTROL!$C$23, $C$12, 100%, $E$12)</f>
        <v>5.9245999999999999</v>
      </c>
      <c r="I18" s="66">
        <f>5.9355 * CHOOSE(CONTROL!$C$23, $C$12, 100%, $E$12)</f>
        <v>5.9355000000000002</v>
      </c>
      <c r="J18" s="66">
        <f>5.9246 * CHOOSE(CONTROL!$C$23, $C$12, 100%, $E$12)</f>
        <v>5.9245999999999999</v>
      </c>
      <c r="K18" s="66">
        <f>5.9355 * CHOOSE(CONTROL!$C$23, $C$12, 100%, $E$12)</f>
        <v>5.9355000000000002</v>
      </c>
      <c r="L18" s="66">
        <f>3.3703 * CHOOSE(CONTROL!$C$23, $C$12, 100%, $E$12)</f>
        <v>3.3702999999999999</v>
      </c>
      <c r="M18" s="66">
        <f>3.3813 * CHOOSE(CONTROL!$C$23, $C$12, 100%, $E$12)</f>
        <v>3.3813</v>
      </c>
      <c r="N18" s="66">
        <f>3.3703 * CHOOSE(CONTROL!$C$23, $C$12, 100%, $E$12)</f>
        <v>3.3702999999999999</v>
      </c>
      <c r="O18" s="66">
        <f>3.3813 * CHOOSE(CONTROL!$C$23, $C$12, 100%, $E$12)</f>
        <v>3.3813</v>
      </c>
      <c r="P18" s="4"/>
      <c r="Q18" s="66"/>
      <c r="R18" s="66"/>
    </row>
    <row r="19" spans="1:18" ht="15">
      <c r="A19" s="13">
        <v>41730</v>
      </c>
      <c r="B19" s="65">
        <f>2.4658 * CHOOSE(CONTROL!$C$23, $C$12, 100%, $E$12)</f>
        <v>2.4658000000000002</v>
      </c>
      <c r="C19" s="65">
        <f>2.4194 * CHOOSE(CONTROL!$C$23, $C$12, 100%, $E$12)</f>
        <v>2.4194</v>
      </c>
      <c r="D19" s="65">
        <f>2.4234 * CHOOSE(CONTROL!$C$23, $C$12, 100%, $E$12)</f>
        <v>2.4234</v>
      </c>
      <c r="E19" s="66">
        <f>3.3266 * CHOOSE(CONTROL!$C$23, $C$12, 100%, $E$12)</f>
        <v>3.3266</v>
      </c>
      <c r="F19" s="66">
        <f>3.561 * CHOOSE(CONTROL!$C$23, $C$12, 100%, $E$12)</f>
        <v>3.5609999999999999</v>
      </c>
      <c r="G19" s="66">
        <f>3.5719 * CHOOSE(CONTROL!$C$23, $C$12, 100%, $E$12)</f>
        <v>3.5718999999999999</v>
      </c>
      <c r="H19" s="66">
        <f>5.937* CHOOSE(CONTROL!$C$23, $C$12, 100%, $E$12)</f>
        <v>5.9370000000000003</v>
      </c>
      <c r="I19" s="66">
        <f>5.9479 * CHOOSE(CONTROL!$C$23, $C$12, 100%, $E$12)</f>
        <v>5.9478999999999997</v>
      </c>
      <c r="J19" s="66">
        <f>5.937 * CHOOSE(CONTROL!$C$23, $C$12, 100%, $E$12)</f>
        <v>5.9370000000000003</v>
      </c>
      <c r="K19" s="66">
        <f>5.9479 * CHOOSE(CONTROL!$C$23, $C$12, 100%, $E$12)</f>
        <v>5.9478999999999997</v>
      </c>
      <c r="L19" s="66">
        <f>3.3266 * CHOOSE(CONTROL!$C$23, $C$12, 100%, $E$12)</f>
        <v>3.3266</v>
      </c>
      <c r="M19" s="66">
        <f>3.3375 * CHOOSE(CONTROL!$C$23, $C$12, 100%, $E$12)</f>
        <v>3.3374999999999999</v>
      </c>
      <c r="N19" s="66">
        <f>3.3266 * CHOOSE(CONTROL!$C$23, $C$12, 100%, $E$12)</f>
        <v>3.3266</v>
      </c>
      <c r="O19" s="66">
        <f>3.3375 * CHOOSE(CONTROL!$C$23, $C$12, 100%, $E$12)</f>
        <v>3.3374999999999999</v>
      </c>
      <c r="P19" s="4"/>
      <c r="Q19" s="66"/>
      <c r="R19" s="66"/>
    </row>
    <row r="20" spans="1:18" ht="15">
      <c r="A20" s="13">
        <v>41760</v>
      </c>
      <c r="B20" s="65">
        <f>2.4818 * CHOOSE(CONTROL!$C$23, $C$12, 100%, $E$12)</f>
        <v>2.4817999999999998</v>
      </c>
      <c r="C20" s="65">
        <f>2.4328 * CHOOSE(CONTROL!$C$23, $C$12, 100%, $E$12)</f>
        <v>2.4327999999999999</v>
      </c>
      <c r="D20" s="65">
        <f>2.4384 * CHOOSE(CONTROL!$C$23, $C$12, 100%, $E$12)</f>
        <v>2.4384000000000001</v>
      </c>
      <c r="E20" s="66">
        <f>3.2669 * CHOOSE(CONTROL!$C$23, $C$12, 100%, $E$12)</f>
        <v>3.2669000000000001</v>
      </c>
      <c r="F20" s="66">
        <f>3.282 * CHOOSE(CONTROL!$C$23, $C$12, 100%, $E$12)</f>
        <v>3.282</v>
      </c>
      <c r="G20" s="66">
        <f>3.2973 * CHOOSE(CONTROL!$C$23, $C$12, 100%, $E$12)</f>
        <v>3.2972999999999999</v>
      </c>
      <c r="H20" s="66">
        <f>5.9493* CHOOSE(CONTROL!$C$23, $C$12, 100%, $E$12)</f>
        <v>5.9493</v>
      </c>
      <c r="I20" s="66">
        <f>5.9646 * CHOOSE(CONTROL!$C$23, $C$12, 100%, $E$12)</f>
        <v>5.9645999999999999</v>
      </c>
      <c r="J20" s="66">
        <f>5.9493 * CHOOSE(CONTROL!$C$23, $C$12, 100%, $E$12)</f>
        <v>5.9493</v>
      </c>
      <c r="K20" s="66">
        <f>5.9646 * CHOOSE(CONTROL!$C$23, $C$12, 100%, $E$12)</f>
        <v>5.9645999999999999</v>
      </c>
      <c r="L20" s="66">
        <f>3.2669 * CHOOSE(CONTROL!$C$23, $C$12, 100%, $E$12)</f>
        <v>3.2669000000000001</v>
      </c>
      <c r="M20" s="66">
        <f>3.2822 * CHOOSE(CONTROL!$C$23, $C$12, 100%, $E$12)</f>
        <v>3.2822</v>
      </c>
      <c r="N20" s="66">
        <f>3.2669 * CHOOSE(CONTROL!$C$23, $C$12, 100%, $E$12)</f>
        <v>3.2669000000000001</v>
      </c>
      <c r="O20" s="66">
        <f>3.2822 * CHOOSE(CONTROL!$C$23, $C$12, 100%, $E$12)</f>
        <v>3.2822</v>
      </c>
      <c r="P20" s="4"/>
      <c r="Q20" s="66"/>
      <c r="R20" s="66"/>
    </row>
    <row r="21" spans="1:18" ht="15">
      <c r="A21" s="13">
        <v>41791</v>
      </c>
      <c r="B21" s="65">
        <f>2.4881 * CHOOSE(CONTROL!$C$23, $C$12, 100%, $E$12)</f>
        <v>2.4881000000000002</v>
      </c>
      <c r="C21" s="65">
        <f>2.4485 * CHOOSE(CONTROL!$C$23, $C$12, 100%, $E$12)</f>
        <v>2.4485000000000001</v>
      </c>
      <c r="D21" s="65">
        <f>2.4541 * CHOOSE(CONTROL!$C$23, $C$12, 100%, $E$12)</f>
        <v>2.4540999999999999</v>
      </c>
      <c r="E21" s="66">
        <f>3.2472 * CHOOSE(CONTROL!$C$23, $C$12, 100%, $E$12)</f>
        <v>3.2471999999999999</v>
      </c>
      <c r="F21" s="66">
        <f>3.561 * CHOOSE(CONTROL!$C$23, $C$12, 100%, $E$12)</f>
        <v>3.5609999999999999</v>
      </c>
      <c r="G21" s="66">
        <f>3.5763 * CHOOSE(CONTROL!$C$23, $C$12, 100%, $E$12)</f>
        <v>3.5762999999999998</v>
      </c>
      <c r="H21" s="66">
        <f>5.9617* CHOOSE(CONTROL!$C$23, $C$12, 100%, $E$12)</f>
        <v>5.9617000000000004</v>
      </c>
      <c r="I21" s="66">
        <f>5.977 * CHOOSE(CONTROL!$C$23, $C$12, 100%, $E$12)</f>
        <v>5.9770000000000003</v>
      </c>
      <c r="J21" s="66">
        <f>5.9617 * CHOOSE(CONTROL!$C$23, $C$12, 100%, $E$12)</f>
        <v>5.9617000000000004</v>
      </c>
      <c r="K21" s="66">
        <f>5.977 * CHOOSE(CONTROL!$C$23, $C$12, 100%, $E$12)</f>
        <v>5.9770000000000003</v>
      </c>
      <c r="L21" s="66">
        <f>3.2472 * CHOOSE(CONTROL!$C$23, $C$12, 100%, $E$12)</f>
        <v>3.2471999999999999</v>
      </c>
      <c r="M21" s="66">
        <f>3.2625 * CHOOSE(CONTROL!$C$23, $C$12, 100%, $E$12)</f>
        <v>3.2625000000000002</v>
      </c>
      <c r="N21" s="66">
        <f>3.2472 * CHOOSE(CONTROL!$C$23, $C$12, 100%, $E$12)</f>
        <v>3.2471999999999999</v>
      </c>
      <c r="O21" s="66">
        <f>3.2625 * CHOOSE(CONTROL!$C$23, $C$12, 100%, $E$12)</f>
        <v>3.2625000000000002</v>
      </c>
      <c r="P21" s="4"/>
      <c r="Q21" s="66"/>
      <c r="R21" s="66"/>
    </row>
    <row r="22" spans="1:18" ht="15">
      <c r="A22" s="13">
        <v>41821</v>
      </c>
      <c r="B22" s="65">
        <f>2.4092 * CHOOSE(CONTROL!$C$23, $C$12, 100%, $E$12)</f>
        <v>2.4091999999999998</v>
      </c>
      <c r="C22" s="65">
        <f>2.4023 * CHOOSE(CONTROL!$C$23, $C$12, 100%, $E$12)</f>
        <v>2.4022999999999999</v>
      </c>
      <c r="D22" s="65">
        <f>2.4079 * CHOOSE(CONTROL!$C$23, $C$12, 100%, $E$12)</f>
        <v>2.4079000000000002</v>
      </c>
      <c r="E22" s="66">
        <f>3.2484 * CHOOSE(CONTROL!$C$23, $C$12, 100%, $E$12)</f>
        <v>3.2484000000000002</v>
      </c>
      <c r="F22" s="66">
        <f>3.321 * CHOOSE(CONTROL!$C$23, $C$12, 100%, $E$12)</f>
        <v>3.3210000000000002</v>
      </c>
      <c r="G22" s="66">
        <f>3.3363 * CHOOSE(CONTROL!$C$23, $C$12, 100%, $E$12)</f>
        <v>3.3363</v>
      </c>
      <c r="H22" s="66">
        <f>5.9741* CHOOSE(CONTROL!$C$23, $C$12, 100%, $E$12)</f>
        <v>5.9741</v>
      </c>
      <c r="I22" s="66">
        <f>5.9894 * CHOOSE(CONTROL!$C$23, $C$12, 100%, $E$12)</f>
        <v>5.9893999999999998</v>
      </c>
      <c r="J22" s="66">
        <f>5.9741 * CHOOSE(CONTROL!$C$23, $C$12, 100%, $E$12)</f>
        <v>5.9741</v>
      </c>
      <c r="K22" s="66">
        <f>5.9894 * CHOOSE(CONTROL!$C$23, $C$12, 100%, $E$12)</f>
        <v>5.9893999999999998</v>
      </c>
      <c r="L22" s="66">
        <f>3.2484 * CHOOSE(CONTROL!$C$23, $C$12, 100%, $E$12)</f>
        <v>3.2484000000000002</v>
      </c>
      <c r="M22" s="66">
        <f>3.2637 * CHOOSE(CONTROL!$C$23, $C$12, 100%, $E$12)</f>
        <v>3.2637</v>
      </c>
      <c r="N22" s="66">
        <f>3.2484 * CHOOSE(CONTROL!$C$23, $C$12, 100%, $E$12)</f>
        <v>3.2484000000000002</v>
      </c>
      <c r="O22" s="66">
        <f>3.2637 * CHOOSE(CONTROL!$C$23, $C$12, 100%, $E$12)</f>
        <v>3.2637</v>
      </c>
      <c r="P22" s="4"/>
      <c r="Q22" s="66"/>
      <c r="R22" s="66"/>
    </row>
    <row r="23" spans="1:18" ht="15">
      <c r="A23" s="13">
        <v>41852</v>
      </c>
      <c r="B23" s="65">
        <f>2.4115 * CHOOSE(CONTROL!$C$23, $C$12, 100%, $E$12)</f>
        <v>2.4115000000000002</v>
      </c>
      <c r="C23" s="65">
        <f>2.438 * CHOOSE(CONTROL!$C$23, $C$12, 100%, $E$12)</f>
        <v>2.4380000000000002</v>
      </c>
      <c r="D23" s="65">
        <f>2.4436 * CHOOSE(CONTROL!$C$23, $C$12, 100%, $E$12)</f>
        <v>2.4436</v>
      </c>
      <c r="E23" s="66">
        <f>3.2025 * CHOOSE(CONTROL!$C$23, $C$12, 100%, $E$12)</f>
        <v>3.2025000000000001</v>
      </c>
      <c r="F23" s="66">
        <f>3.282 * CHOOSE(CONTROL!$C$23, $C$12, 100%, $E$12)</f>
        <v>3.282</v>
      </c>
      <c r="G23" s="66">
        <f>3.2973 * CHOOSE(CONTROL!$C$23, $C$12, 100%, $E$12)</f>
        <v>3.2972999999999999</v>
      </c>
      <c r="H23" s="66">
        <f>5.9866* CHOOSE(CONTROL!$C$23, $C$12, 100%, $E$12)</f>
        <v>5.9866000000000001</v>
      </c>
      <c r="I23" s="66">
        <f>6.0019 * CHOOSE(CONTROL!$C$23, $C$12, 100%, $E$12)</f>
        <v>6.0019</v>
      </c>
      <c r="J23" s="66">
        <f>5.9866 * CHOOSE(CONTROL!$C$23, $C$12, 100%, $E$12)</f>
        <v>5.9866000000000001</v>
      </c>
      <c r="K23" s="66">
        <f>6.0019 * CHOOSE(CONTROL!$C$23, $C$12, 100%, $E$12)</f>
        <v>6.0019</v>
      </c>
      <c r="L23" s="66">
        <f>3.2025 * CHOOSE(CONTROL!$C$23, $C$12, 100%, $E$12)</f>
        <v>3.2025000000000001</v>
      </c>
      <c r="M23" s="66">
        <f>3.2178 * CHOOSE(CONTROL!$C$23, $C$12, 100%, $E$12)</f>
        <v>3.2178</v>
      </c>
      <c r="N23" s="66">
        <f>3.2025 * CHOOSE(CONTROL!$C$23, $C$12, 100%, $E$12)</f>
        <v>3.2025000000000001</v>
      </c>
      <c r="O23" s="66">
        <f>3.2178 * CHOOSE(CONTROL!$C$23, $C$12, 100%, $E$12)</f>
        <v>3.2178</v>
      </c>
      <c r="P23" s="4"/>
      <c r="Q23" s="66"/>
      <c r="R23" s="66"/>
    </row>
    <row r="24" spans="1:18" ht="15">
      <c r="A24" s="13">
        <v>41883</v>
      </c>
      <c r="B24" s="65">
        <f>2.4098 * CHOOSE(CONTROL!$C$23, $C$12, 100%, $E$12)</f>
        <v>2.4098000000000002</v>
      </c>
      <c r="C24" s="65">
        <f>2.435 * CHOOSE(CONTROL!$C$23, $C$12, 100%, $E$12)</f>
        <v>2.4350000000000001</v>
      </c>
      <c r="D24" s="65">
        <f>2.4406 * CHOOSE(CONTROL!$C$23, $C$12, 100%, $E$12)</f>
        <v>2.4405999999999999</v>
      </c>
      <c r="E24" s="66">
        <f>3.2621 * CHOOSE(CONTROL!$C$23, $C$12, 100%, $E$12)</f>
        <v>3.2621000000000002</v>
      </c>
      <c r="F24" s="66">
        <f>3.4 * CHOOSE(CONTROL!$C$23, $C$12, 100%, $E$12)</f>
        <v>3.4</v>
      </c>
      <c r="G24" s="66">
        <f>3.4153 * CHOOSE(CONTROL!$C$23, $C$12, 100%, $E$12)</f>
        <v>3.4152999999999998</v>
      </c>
      <c r="H24" s="66">
        <f>5.9991* CHOOSE(CONTROL!$C$23, $C$12, 100%, $E$12)</f>
        <v>5.9991000000000003</v>
      </c>
      <c r="I24" s="66">
        <f>6.0144 * CHOOSE(CONTROL!$C$23, $C$12, 100%, $E$12)</f>
        <v>6.0144000000000002</v>
      </c>
      <c r="J24" s="66">
        <f>5.9991 * CHOOSE(CONTROL!$C$23, $C$12, 100%, $E$12)</f>
        <v>5.9991000000000003</v>
      </c>
      <c r="K24" s="66">
        <f>6.0144 * CHOOSE(CONTROL!$C$23, $C$12, 100%, $E$12)</f>
        <v>6.0144000000000002</v>
      </c>
      <c r="L24" s="66">
        <f>3.2621 * CHOOSE(CONTROL!$C$23, $C$12, 100%, $E$12)</f>
        <v>3.2621000000000002</v>
      </c>
      <c r="M24" s="66">
        <f>3.2774 * CHOOSE(CONTROL!$C$23, $C$12, 100%, $E$12)</f>
        <v>3.2774000000000001</v>
      </c>
      <c r="N24" s="66">
        <f>3.2621 * CHOOSE(CONTROL!$C$23, $C$12, 100%, $E$12)</f>
        <v>3.2621000000000002</v>
      </c>
      <c r="O24" s="66">
        <f>3.2774 * CHOOSE(CONTROL!$C$23, $C$12, 100%, $E$12)</f>
        <v>3.2774000000000001</v>
      </c>
      <c r="P24" s="4"/>
      <c r="Q24" s="66"/>
      <c r="R24" s="66"/>
    </row>
    <row r="25" spans="1:18" ht="15">
      <c r="A25" s="13">
        <v>41913</v>
      </c>
      <c r="B25" s="65">
        <f>2.4178 * CHOOSE(CONTROL!$C$23, $C$12, 100%, $E$12)</f>
        <v>2.4178000000000002</v>
      </c>
      <c r="C25" s="65">
        <f>2.4347 * CHOOSE(CONTROL!$C$23, $C$12, 100%, $E$12)</f>
        <v>2.4346999999999999</v>
      </c>
      <c r="D25" s="65">
        <f>2.4387 * CHOOSE(CONTROL!$C$23, $C$12, 100%, $E$12)</f>
        <v>2.4386999999999999</v>
      </c>
      <c r="E25" s="66">
        <f>3.2947 * CHOOSE(CONTROL!$C$23, $C$12, 100%, $E$12)</f>
        <v>3.2947000000000002</v>
      </c>
      <c r="F25" s="66">
        <f>3.561 * CHOOSE(CONTROL!$C$23, $C$12, 100%, $E$12)</f>
        <v>3.5609999999999999</v>
      </c>
      <c r="G25" s="66">
        <f>3.5719 * CHOOSE(CONTROL!$C$23, $C$12, 100%, $E$12)</f>
        <v>3.5718999999999999</v>
      </c>
      <c r="H25" s="66">
        <f>6.0116* CHOOSE(CONTROL!$C$23, $C$12, 100%, $E$12)</f>
        <v>6.0115999999999996</v>
      </c>
      <c r="I25" s="66">
        <f>6.0225 * CHOOSE(CONTROL!$C$23, $C$12, 100%, $E$12)</f>
        <v>6.0225</v>
      </c>
      <c r="J25" s="66">
        <f>6.0116 * CHOOSE(CONTROL!$C$23, $C$12, 100%, $E$12)</f>
        <v>6.0115999999999996</v>
      </c>
      <c r="K25" s="66">
        <f>6.0225 * CHOOSE(CONTROL!$C$23, $C$12, 100%, $E$12)</f>
        <v>6.0225</v>
      </c>
      <c r="L25" s="66">
        <f>3.2947 * CHOOSE(CONTROL!$C$23, $C$12, 100%, $E$12)</f>
        <v>3.2947000000000002</v>
      </c>
      <c r="M25" s="66">
        <f>3.3056 * CHOOSE(CONTROL!$C$23, $C$12, 100%, $E$12)</f>
        <v>3.3056000000000001</v>
      </c>
      <c r="N25" s="66">
        <f>3.2947 * CHOOSE(CONTROL!$C$23, $C$12, 100%, $E$12)</f>
        <v>3.2947000000000002</v>
      </c>
      <c r="O25" s="66">
        <f>3.3056 * CHOOSE(CONTROL!$C$23, $C$12, 100%, $E$12)</f>
        <v>3.3056000000000001</v>
      </c>
      <c r="P25" s="4"/>
      <c r="Q25" s="66"/>
      <c r="R25" s="66"/>
    </row>
    <row r="26" spans="1:18" ht="15">
      <c r="A26" s="13">
        <v>41944</v>
      </c>
      <c r="B26" s="65">
        <f>2.4171 * CHOOSE(CONTROL!$C$23, $C$12, 100%, $E$12)</f>
        <v>2.4171</v>
      </c>
      <c r="C26" s="65">
        <f>2.4431 * CHOOSE(CONTROL!$C$23, $C$12, 100%, $E$12)</f>
        <v>2.4430999999999998</v>
      </c>
      <c r="D26" s="65">
        <f>2.4471 * CHOOSE(CONTROL!$C$23, $C$12, 100%, $E$12)</f>
        <v>2.4470999999999998</v>
      </c>
      <c r="E26" s="66">
        <f>3.3121 * CHOOSE(CONTROL!$C$23, $C$12, 100%, $E$12)</f>
        <v>3.3121</v>
      </c>
      <c r="F26" s="66">
        <f>3.348 * CHOOSE(CONTROL!$C$23, $C$12, 100%, $E$12)</f>
        <v>3.3479999999999999</v>
      </c>
      <c r="G26" s="66">
        <f>3.3589 * CHOOSE(CONTROL!$C$23, $C$12, 100%, $E$12)</f>
        <v>3.3589000000000002</v>
      </c>
      <c r="H26" s="66">
        <f>6.0241* CHOOSE(CONTROL!$C$23, $C$12, 100%, $E$12)</f>
        <v>6.0240999999999998</v>
      </c>
      <c r="I26" s="66">
        <f>6.035 * CHOOSE(CONTROL!$C$23, $C$12, 100%, $E$12)</f>
        <v>6.0350000000000001</v>
      </c>
      <c r="J26" s="66">
        <f>6.0241 * CHOOSE(CONTROL!$C$23, $C$12, 100%, $E$12)</f>
        <v>6.0240999999999998</v>
      </c>
      <c r="K26" s="66">
        <f>6.035 * CHOOSE(CONTROL!$C$23, $C$12, 100%, $E$12)</f>
        <v>6.0350000000000001</v>
      </c>
      <c r="L26" s="66">
        <f>3.3121 * CHOOSE(CONTROL!$C$23, $C$12, 100%, $E$12)</f>
        <v>3.3121</v>
      </c>
      <c r="M26" s="66">
        <f>3.323 * CHOOSE(CONTROL!$C$23, $C$12, 100%, $E$12)</f>
        <v>3.323</v>
      </c>
      <c r="N26" s="66">
        <f>3.3121 * CHOOSE(CONTROL!$C$23, $C$12, 100%, $E$12)</f>
        <v>3.3121</v>
      </c>
      <c r="O26" s="66">
        <f>3.323 * CHOOSE(CONTROL!$C$23, $C$12, 100%, $E$12)</f>
        <v>3.323</v>
      </c>
      <c r="P26" s="4"/>
      <c r="Q26" s="66"/>
      <c r="R26" s="66"/>
    </row>
    <row r="27" spans="1:18" ht="15">
      <c r="A27" s="13">
        <v>41974</v>
      </c>
      <c r="B27" s="65">
        <f>2.4197 * CHOOSE(CONTROL!$C$23, $C$12, 100%, $E$12)</f>
        <v>2.4197000000000002</v>
      </c>
      <c r="C27" s="65">
        <f>2.4491 * CHOOSE(CONTROL!$C$23, $C$12, 100%, $E$12)</f>
        <v>2.4491000000000001</v>
      </c>
      <c r="D27" s="65">
        <f>2.4531 * CHOOSE(CONTROL!$C$23, $C$12, 100%, $E$12)</f>
        <v>2.4531000000000001</v>
      </c>
      <c r="E27" s="66">
        <f>3.3287 * CHOOSE(CONTROL!$C$23, $C$12, 100%, $E$12)</f>
        <v>3.3287</v>
      </c>
      <c r="F27" s="66">
        <f>3.385 * CHOOSE(CONTROL!$C$23, $C$12, 100%, $E$12)</f>
        <v>3.3849999999999998</v>
      </c>
      <c r="G27" s="66">
        <f>3.3959 * CHOOSE(CONTROL!$C$23, $C$12, 100%, $E$12)</f>
        <v>3.3959000000000001</v>
      </c>
      <c r="H27" s="66">
        <f>6.0366* CHOOSE(CONTROL!$C$23, $C$12, 100%, $E$12)</f>
        <v>6.0366</v>
      </c>
      <c r="I27" s="66">
        <f>6.0476 * CHOOSE(CONTROL!$C$23, $C$12, 100%, $E$12)</f>
        <v>6.0476000000000001</v>
      </c>
      <c r="J27" s="66">
        <f>6.0366 * CHOOSE(CONTROL!$C$23, $C$12, 100%, $E$12)</f>
        <v>6.0366</v>
      </c>
      <c r="K27" s="66">
        <f>6.0476 * CHOOSE(CONTROL!$C$23, $C$12, 100%, $E$12)</f>
        <v>6.0476000000000001</v>
      </c>
      <c r="L27" s="66">
        <f>3.3287 * CHOOSE(CONTROL!$C$23, $C$12, 100%, $E$12)</f>
        <v>3.3287</v>
      </c>
      <c r="M27" s="66">
        <f>3.3397 * CHOOSE(CONTROL!$C$23, $C$12, 100%, $E$12)</f>
        <v>3.3397000000000001</v>
      </c>
      <c r="N27" s="66">
        <f>3.3287 * CHOOSE(CONTROL!$C$23, $C$12, 100%, $E$12)</f>
        <v>3.3287</v>
      </c>
      <c r="O27" s="66">
        <f>3.3397 * CHOOSE(CONTROL!$C$23, $C$12, 100%, $E$12)</f>
        <v>3.3397000000000001</v>
      </c>
      <c r="P27" s="4"/>
      <c r="Q27" s="66"/>
      <c r="R27" s="66"/>
    </row>
    <row r="28" spans="1:18" ht="15">
      <c r="A28" s="13">
        <v>42005</v>
      </c>
      <c r="B28" s="65">
        <f>2.4907 * CHOOSE(CONTROL!$C$23, $C$12, 100%, $E$12)</f>
        <v>2.4906999999999999</v>
      </c>
      <c r="C28" s="65">
        <f>2.5129 * CHOOSE(CONTROL!$C$23, $C$12, 100%, $E$12)</f>
        <v>2.5129000000000001</v>
      </c>
      <c r="D28" s="65">
        <f>2.5169 * CHOOSE(CONTROL!$C$23, $C$12, 100%, $E$12)</f>
        <v>2.5169000000000001</v>
      </c>
      <c r="E28" s="66">
        <f>3.1876 * CHOOSE(CONTROL!$C$23, $C$12, 100%, $E$12)</f>
        <v>3.1876000000000002</v>
      </c>
      <c r="F28" s="66">
        <f>3.254 * CHOOSE(CONTROL!$C$23, $C$12, 100%, $E$12)</f>
        <v>3.254</v>
      </c>
      <c r="G28" s="66">
        <f>3.2589 * CHOOSE(CONTROL!$C$23, $C$12, 100%, $E$12)</f>
        <v>3.2589000000000001</v>
      </c>
      <c r="H28" s="66">
        <f>6.0492* CHOOSE(CONTROL!$C$23, $C$12, 100%, $E$12)</f>
        <v>6.0491999999999999</v>
      </c>
      <c r="I28" s="66">
        <f>6.0541 * CHOOSE(CONTROL!$C$23, $C$12, 100%, $E$12)</f>
        <v>6.0541</v>
      </c>
      <c r="J28" s="66">
        <f>6.0492 * CHOOSE(CONTROL!$C$23, $C$12, 100%, $E$12)</f>
        <v>6.0491999999999999</v>
      </c>
      <c r="K28" s="66">
        <f>6.0541 * CHOOSE(CONTROL!$C$23, $C$12, 100%, $E$12)</f>
        <v>6.0541</v>
      </c>
      <c r="L28" s="66">
        <f>3.1876 * CHOOSE(CONTROL!$C$23, $C$12, 100%, $E$12)</f>
        <v>3.1876000000000002</v>
      </c>
      <c r="M28" s="66">
        <f>3.1925 * CHOOSE(CONTROL!$C$23, $C$12, 100%, $E$12)</f>
        <v>3.1924999999999999</v>
      </c>
      <c r="N28" s="66">
        <f>3.1876 * CHOOSE(CONTROL!$C$23, $C$12, 100%, $E$12)</f>
        <v>3.1876000000000002</v>
      </c>
      <c r="O28" s="66">
        <f>3.1925 * CHOOSE(CONTROL!$C$23, $C$12, 100%, $E$12)</f>
        <v>3.1924999999999999</v>
      </c>
      <c r="P28" s="4"/>
      <c r="Q28" s="66"/>
      <c r="R28" s="66"/>
    </row>
    <row r="29" spans="1:18" ht="15">
      <c r="A29" s="13">
        <v>42036</v>
      </c>
      <c r="B29" s="65">
        <f>2.4906 * CHOOSE(CONTROL!$C$23, $C$12, 100%, $E$12)</f>
        <v>2.4906000000000001</v>
      </c>
      <c r="C29" s="65">
        <f>2.5152 * CHOOSE(CONTROL!$C$23, $C$12, 100%, $E$12)</f>
        <v>2.5152000000000001</v>
      </c>
      <c r="D29" s="65">
        <f>2.5192 * CHOOSE(CONTROL!$C$23, $C$12, 100%, $E$12)</f>
        <v>2.5192000000000001</v>
      </c>
      <c r="E29" s="66">
        <f>3.1987 * CHOOSE(CONTROL!$C$23, $C$12, 100%, $E$12)</f>
        <v>3.1987000000000001</v>
      </c>
      <c r="F29" s="66">
        <f>3.254 * CHOOSE(CONTROL!$C$23, $C$12, 100%, $E$12)</f>
        <v>3.254</v>
      </c>
      <c r="G29" s="66">
        <f>3.2589 * CHOOSE(CONTROL!$C$23, $C$12, 100%, $E$12)</f>
        <v>3.2589000000000001</v>
      </c>
      <c r="H29" s="66">
        <f>6.0618* CHOOSE(CONTROL!$C$23, $C$12, 100%, $E$12)</f>
        <v>6.0617999999999999</v>
      </c>
      <c r="I29" s="66">
        <f>6.0667 * CHOOSE(CONTROL!$C$23, $C$12, 100%, $E$12)</f>
        <v>6.0667</v>
      </c>
      <c r="J29" s="66">
        <f>6.0618 * CHOOSE(CONTROL!$C$23, $C$12, 100%, $E$12)</f>
        <v>6.0617999999999999</v>
      </c>
      <c r="K29" s="66">
        <f>6.0667 * CHOOSE(CONTROL!$C$23, $C$12, 100%, $E$12)</f>
        <v>6.0667</v>
      </c>
      <c r="L29" s="66">
        <f>3.1987 * CHOOSE(CONTROL!$C$23, $C$12, 100%, $E$12)</f>
        <v>3.1987000000000001</v>
      </c>
      <c r="M29" s="66">
        <f>3.2036 * CHOOSE(CONTROL!$C$23, $C$12, 100%, $E$12)</f>
        <v>3.2035999999999998</v>
      </c>
      <c r="N29" s="66">
        <f>3.1987 * CHOOSE(CONTROL!$C$23, $C$12, 100%, $E$12)</f>
        <v>3.1987000000000001</v>
      </c>
      <c r="O29" s="66">
        <f>3.2036 * CHOOSE(CONTROL!$C$23, $C$12, 100%, $E$12)</f>
        <v>3.2035999999999998</v>
      </c>
      <c r="P29" s="4"/>
      <c r="Q29" s="66"/>
      <c r="R29" s="66"/>
    </row>
    <row r="30" spans="1:18" ht="15">
      <c r="A30" s="13">
        <v>42064</v>
      </c>
      <c r="B30" s="65">
        <f>2.4913 * CHOOSE(CONTROL!$C$23, $C$12, 100%, $E$12)</f>
        <v>2.4912999999999998</v>
      </c>
      <c r="C30" s="65">
        <f>2.5122 * CHOOSE(CONTROL!$C$23, $C$12, 100%, $E$12)</f>
        <v>2.5122</v>
      </c>
      <c r="D30" s="65">
        <f>2.5162 * CHOOSE(CONTROL!$C$23, $C$12, 100%, $E$12)</f>
        <v>2.5162</v>
      </c>
      <c r="E30" s="66">
        <f>3.1433 * CHOOSE(CONTROL!$C$23, $C$12, 100%, $E$12)</f>
        <v>3.1433</v>
      </c>
      <c r="F30" s="66">
        <f>3.254 * CHOOSE(CONTROL!$C$23, $C$12, 100%, $E$12)</f>
        <v>3.254</v>
      </c>
      <c r="G30" s="66">
        <f>3.2589 * CHOOSE(CONTROL!$C$23, $C$12, 100%, $E$12)</f>
        <v>3.2589000000000001</v>
      </c>
      <c r="H30" s="66">
        <f>6.0744* CHOOSE(CONTROL!$C$23, $C$12, 100%, $E$12)</f>
        <v>6.0743999999999998</v>
      </c>
      <c r="I30" s="66">
        <f>6.0794 * CHOOSE(CONTROL!$C$23, $C$12, 100%, $E$12)</f>
        <v>6.0793999999999997</v>
      </c>
      <c r="J30" s="66">
        <f>6.0744 * CHOOSE(CONTROL!$C$23, $C$12, 100%, $E$12)</f>
        <v>6.0743999999999998</v>
      </c>
      <c r="K30" s="66">
        <f>6.0794 * CHOOSE(CONTROL!$C$23, $C$12, 100%, $E$12)</f>
        <v>6.0793999999999997</v>
      </c>
      <c r="L30" s="66">
        <f>3.1433 * CHOOSE(CONTROL!$C$23, $C$12, 100%, $E$12)</f>
        <v>3.1433</v>
      </c>
      <c r="M30" s="66">
        <f>3.1483 * CHOOSE(CONTROL!$C$23, $C$12, 100%, $E$12)</f>
        <v>3.1482999999999999</v>
      </c>
      <c r="N30" s="66">
        <f>3.1433 * CHOOSE(CONTROL!$C$23, $C$12, 100%, $E$12)</f>
        <v>3.1433</v>
      </c>
      <c r="O30" s="66">
        <f>3.1483 * CHOOSE(CONTROL!$C$23, $C$12, 100%, $E$12)</f>
        <v>3.1482999999999999</v>
      </c>
      <c r="P30" s="4"/>
      <c r="Q30" s="66"/>
      <c r="R30" s="66"/>
    </row>
    <row r="31" spans="1:18" ht="15">
      <c r="A31" s="13">
        <v>42095</v>
      </c>
      <c r="B31" s="65">
        <f>2.489 * CHOOSE(CONTROL!$C$23, $C$12, 100%, $E$12)</f>
        <v>2.4889999999999999</v>
      </c>
      <c r="C31" s="65">
        <f>2.5091 * CHOOSE(CONTROL!$C$23, $C$12, 100%, $E$12)</f>
        <v>2.5091000000000001</v>
      </c>
      <c r="D31" s="65">
        <f>2.5131 * CHOOSE(CONTROL!$C$23, $C$12, 100%, $E$12)</f>
        <v>2.5131000000000001</v>
      </c>
      <c r="E31" s="66">
        <f>3.186 * CHOOSE(CONTROL!$C$23, $C$12, 100%, $E$12)</f>
        <v>3.1859999999999999</v>
      </c>
      <c r="F31" s="66">
        <f>3.254 * CHOOSE(CONTROL!$C$23, $C$12, 100%, $E$12)</f>
        <v>3.254</v>
      </c>
      <c r="G31" s="66">
        <f>3.2589 * CHOOSE(CONTROL!$C$23, $C$12, 100%, $E$12)</f>
        <v>3.2589000000000001</v>
      </c>
      <c r="H31" s="66">
        <f>6.0871* CHOOSE(CONTROL!$C$23, $C$12, 100%, $E$12)</f>
        <v>6.0871000000000004</v>
      </c>
      <c r="I31" s="66">
        <f>6.092 * CHOOSE(CONTROL!$C$23, $C$12, 100%, $E$12)</f>
        <v>6.0919999999999996</v>
      </c>
      <c r="J31" s="66">
        <f>6.0871 * CHOOSE(CONTROL!$C$23, $C$12, 100%, $E$12)</f>
        <v>6.0871000000000004</v>
      </c>
      <c r="K31" s="66">
        <f>6.092 * CHOOSE(CONTROL!$C$23, $C$12, 100%, $E$12)</f>
        <v>6.0919999999999996</v>
      </c>
      <c r="L31" s="66">
        <f>3.186 * CHOOSE(CONTROL!$C$23, $C$12, 100%, $E$12)</f>
        <v>3.1859999999999999</v>
      </c>
      <c r="M31" s="66">
        <f>3.1909 * CHOOSE(CONTROL!$C$23, $C$12, 100%, $E$12)</f>
        <v>3.1909000000000001</v>
      </c>
      <c r="N31" s="66">
        <f>3.186 * CHOOSE(CONTROL!$C$23, $C$12, 100%, $E$12)</f>
        <v>3.1859999999999999</v>
      </c>
      <c r="O31" s="66">
        <f>3.1909 * CHOOSE(CONTROL!$C$23, $C$12, 100%, $E$12)</f>
        <v>3.1909000000000001</v>
      </c>
      <c r="P31" s="4"/>
      <c r="Q31" s="66"/>
      <c r="R31" s="66"/>
    </row>
    <row r="32" spans="1:18" ht="15">
      <c r="A32" s="13">
        <v>42125</v>
      </c>
      <c r="B32" s="65">
        <f>2.4919 * CHOOSE(CONTROL!$C$23, $C$12, 100%, $E$12)</f>
        <v>2.4918999999999998</v>
      </c>
      <c r="C32" s="65">
        <f>2.5114 * CHOOSE(CONTROL!$C$23, $C$12, 100%, $E$12)</f>
        <v>2.5114000000000001</v>
      </c>
      <c r="D32" s="65">
        <f>2.517 * CHOOSE(CONTROL!$C$23, $C$12, 100%, $E$12)</f>
        <v>2.5169999999999999</v>
      </c>
      <c r="E32" s="66">
        <f>3.186 * CHOOSE(CONTROL!$C$23, $C$12, 100%, $E$12)</f>
        <v>3.1859999999999999</v>
      </c>
      <c r="F32" s="66">
        <f>3.254 * CHOOSE(CONTROL!$C$23, $C$12, 100%, $E$12)</f>
        <v>3.254</v>
      </c>
      <c r="G32" s="66">
        <f>3.2609 * CHOOSE(CONTROL!$C$23, $C$12, 100%, $E$12)</f>
        <v>3.2608999999999999</v>
      </c>
      <c r="H32" s="66">
        <f>6.0998* CHOOSE(CONTROL!$C$23, $C$12, 100%, $E$12)</f>
        <v>6.0998000000000001</v>
      </c>
      <c r="I32" s="66">
        <f>6.1067 * CHOOSE(CONTROL!$C$23, $C$12, 100%, $E$12)</f>
        <v>6.1067</v>
      </c>
      <c r="J32" s="66">
        <f>6.0998 * CHOOSE(CONTROL!$C$23, $C$12, 100%, $E$12)</f>
        <v>6.0998000000000001</v>
      </c>
      <c r="K32" s="66">
        <f>6.1067 * CHOOSE(CONTROL!$C$23, $C$12, 100%, $E$12)</f>
        <v>6.1067</v>
      </c>
      <c r="L32" s="66">
        <f>3.186 * CHOOSE(CONTROL!$C$23, $C$12, 100%, $E$12)</f>
        <v>3.1859999999999999</v>
      </c>
      <c r="M32" s="66">
        <f>3.1929 * CHOOSE(CONTROL!$C$23, $C$12, 100%, $E$12)</f>
        <v>3.1928999999999998</v>
      </c>
      <c r="N32" s="66">
        <f>3.186 * CHOOSE(CONTROL!$C$23, $C$12, 100%, $E$12)</f>
        <v>3.1859999999999999</v>
      </c>
      <c r="O32" s="66">
        <f>3.1929 * CHOOSE(CONTROL!$C$23, $C$12, 100%, $E$12)</f>
        <v>3.1928999999999998</v>
      </c>
      <c r="P32" s="4"/>
      <c r="Q32" s="66"/>
      <c r="R32" s="66"/>
    </row>
    <row r="33" spans="1:18" ht="15">
      <c r="A33" s="13">
        <v>42156</v>
      </c>
      <c r="B33" s="65">
        <f>2.4945 * CHOOSE(CONTROL!$C$23, $C$12, 100%, $E$12)</f>
        <v>2.4944999999999999</v>
      </c>
      <c r="C33" s="65">
        <f>2.5175 * CHOOSE(CONTROL!$C$23, $C$12, 100%, $E$12)</f>
        <v>2.5175000000000001</v>
      </c>
      <c r="D33" s="65">
        <f>2.5231 * CHOOSE(CONTROL!$C$23, $C$12, 100%, $E$12)</f>
        <v>2.5230999999999999</v>
      </c>
      <c r="E33" s="66">
        <f>3.2268 * CHOOSE(CONTROL!$C$23, $C$12, 100%, $E$12)</f>
        <v>3.2267999999999999</v>
      </c>
      <c r="F33" s="66">
        <f>3.254 * CHOOSE(CONTROL!$C$23, $C$12, 100%, $E$12)</f>
        <v>3.254</v>
      </c>
      <c r="G33" s="66">
        <f>3.2609 * CHOOSE(CONTROL!$C$23, $C$12, 100%, $E$12)</f>
        <v>3.2608999999999999</v>
      </c>
      <c r="H33" s="66">
        <f>6.1125* CHOOSE(CONTROL!$C$23, $C$12, 100%, $E$12)</f>
        <v>6.1124999999999998</v>
      </c>
      <c r="I33" s="66">
        <f>6.1194 * CHOOSE(CONTROL!$C$23, $C$12, 100%, $E$12)</f>
        <v>6.1193999999999997</v>
      </c>
      <c r="J33" s="66">
        <f>6.1125 * CHOOSE(CONTROL!$C$23, $C$12, 100%, $E$12)</f>
        <v>6.1124999999999998</v>
      </c>
      <c r="K33" s="66">
        <f>6.1194 * CHOOSE(CONTROL!$C$23, $C$12, 100%, $E$12)</f>
        <v>6.1193999999999997</v>
      </c>
      <c r="L33" s="66">
        <f>3.2268 * CHOOSE(CONTROL!$C$23, $C$12, 100%, $E$12)</f>
        <v>3.2267999999999999</v>
      </c>
      <c r="M33" s="66">
        <f>3.2337 * CHOOSE(CONTROL!$C$23, $C$12, 100%, $E$12)</f>
        <v>3.2336999999999998</v>
      </c>
      <c r="N33" s="66">
        <f>3.2268 * CHOOSE(CONTROL!$C$23, $C$12, 100%, $E$12)</f>
        <v>3.2267999999999999</v>
      </c>
      <c r="O33" s="66">
        <f>3.2337 * CHOOSE(CONTROL!$C$23, $C$12, 100%, $E$12)</f>
        <v>3.2336999999999998</v>
      </c>
      <c r="P33" s="4"/>
      <c r="Q33" s="66"/>
      <c r="R33" s="66"/>
    </row>
    <row r="34" spans="1:18" ht="15">
      <c r="A34" s="13">
        <v>42186</v>
      </c>
      <c r="B34" s="65">
        <f>2.5054 * CHOOSE(CONTROL!$C$23, $C$12, 100%, $E$12)</f>
        <v>2.5053999999999998</v>
      </c>
      <c r="C34" s="65">
        <f>2.5357 * CHOOSE(CONTROL!$C$23, $C$12, 100%, $E$12)</f>
        <v>2.5356999999999998</v>
      </c>
      <c r="D34" s="65">
        <f>2.5414 * CHOOSE(CONTROL!$C$23, $C$12, 100%, $E$12)</f>
        <v>2.5413999999999999</v>
      </c>
      <c r="E34" s="66">
        <f>3.2136 * CHOOSE(CONTROL!$C$23, $C$12, 100%, $E$12)</f>
        <v>3.2136</v>
      </c>
      <c r="F34" s="66">
        <f>3.254 * CHOOSE(CONTROL!$C$23, $C$12, 100%, $E$12)</f>
        <v>3.254</v>
      </c>
      <c r="G34" s="66">
        <f>3.2609 * CHOOSE(CONTROL!$C$23, $C$12, 100%, $E$12)</f>
        <v>3.2608999999999999</v>
      </c>
      <c r="H34" s="66">
        <f>6.1252* CHOOSE(CONTROL!$C$23, $C$12, 100%, $E$12)</f>
        <v>6.1252000000000004</v>
      </c>
      <c r="I34" s="66">
        <f>6.1321 * CHOOSE(CONTROL!$C$23, $C$12, 100%, $E$12)</f>
        <v>6.1321000000000003</v>
      </c>
      <c r="J34" s="66">
        <f>6.1252 * CHOOSE(CONTROL!$C$23, $C$12, 100%, $E$12)</f>
        <v>6.1252000000000004</v>
      </c>
      <c r="K34" s="66">
        <f>6.1321 * CHOOSE(CONTROL!$C$23, $C$12, 100%, $E$12)</f>
        <v>6.1321000000000003</v>
      </c>
      <c r="L34" s="66">
        <f>3.2136 * CHOOSE(CONTROL!$C$23, $C$12, 100%, $E$12)</f>
        <v>3.2136</v>
      </c>
      <c r="M34" s="66">
        <f>3.2205 * CHOOSE(CONTROL!$C$23, $C$12, 100%, $E$12)</f>
        <v>3.2204999999999999</v>
      </c>
      <c r="N34" s="66">
        <f>3.2136 * CHOOSE(CONTROL!$C$23, $C$12, 100%, $E$12)</f>
        <v>3.2136</v>
      </c>
      <c r="O34" s="66">
        <f>3.2205 * CHOOSE(CONTROL!$C$23, $C$12, 100%, $E$12)</f>
        <v>3.2204999999999999</v>
      </c>
      <c r="P34" s="4"/>
      <c r="Q34" s="66"/>
      <c r="R34" s="66"/>
    </row>
    <row r="35" spans="1:18" ht="15">
      <c r="A35" s="13">
        <v>42217</v>
      </c>
      <c r="B35" s="65">
        <f>2.5144 * CHOOSE(CONTROL!$C$23, $C$12, 100%, $E$12)</f>
        <v>2.5144000000000002</v>
      </c>
      <c r="C35" s="65">
        <f>2.5502 * CHOOSE(CONTROL!$C$23, $C$12, 100%, $E$12)</f>
        <v>2.5501999999999998</v>
      </c>
      <c r="D35" s="65">
        <f>2.5558 * CHOOSE(CONTROL!$C$23, $C$12, 100%, $E$12)</f>
        <v>2.5558000000000001</v>
      </c>
      <c r="E35" s="66">
        <f>3.2338 * CHOOSE(CONTROL!$C$23, $C$12, 100%, $E$12)</f>
        <v>3.2338</v>
      </c>
      <c r="F35" s="66">
        <f>3.254 * CHOOSE(CONTROL!$C$23, $C$12, 100%, $E$12)</f>
        <v>3.254</v>
      </c>
      <c r="G35" s="66">
        <f>3.2609 * CHOOSE(CONTROL!$C$23, $C$12, 100%, $E$12)</f>
        <v>3.2608999999999999</v>
      </c>
      <c r="H35" s="66">
        <f>6.138* CHOOSE(CONTROL!$C$23, $C$12, 100%, $E$12)</f>
        <v>6.1379999999999999</v>
      </c>
      <c r="I35" s="66">
        <f>6.1449 * CHOOSE(CONTROL!$C$23, $C$12, 100%, $E$12)</f>
        <v>6.1448999999999998</v>
      </c>
      <c r="J35" s="66">
        <f>6.138 * CHOOSE(CONTROL!$C$23, $C$12, 100%, $E$12)</f>
        <v>6.1379999999999999</v>
      </c>
      <c r="K35" s="66">
        <f>6.1449 * CHOOSE(CONTROL!$C$23, $C$12, 100%, $E$12)</f>
        <v>6.1448999999999998</v>
      </c>
      <c r="L35" s="66">
        <f>3.2338 * CHOOSE(CONTROL!$C$23, $C$12, 100%, $E$12)</f>
        <v>3.2338</v>
      </c>
      <c r="M35" s="66">
        <f>3.2407 * CHOOSE(CONTROL!$C$23, $C$12, 100%, $E$12)</f>
        <v>3.2406999999999999</v>
      </c>
      <c r="N35" s="66">
        <f>3.2338 * CHOOSE(CONTROL!$C$23, $C$12, 100%, $E$12)</f>
        <v>3.2338</v>
      </c>
      <c r="O35" s="66">
        <f>3.2407 * CHOOSE(CONTROL!$C$23, $C$12, 100%, $E$12)</f>
        <v>3.2406999999999999</v>
      </c>
      <c r="P35" s="4"/>
      <c r="Q35" s="66"/>
      <c r="R35" s="66"/>
    </row>
    <row r="36" spans="1:18" ht="15">
      <c r="A36" s="13">
        <v>42248</v>
      </c>
      <c r="B36" s="65">
        <f>2.5116 * CHOOSE(CONTROL!$C$23, $C$12, 100%, $E$12)</f>
        <v>2.5116000000000001</v>
      </c>
      <c r="C36" s="65">
        <f>2.5471 * CHOOSE(CONTROL!$C$23, $C$12, 100%, $E$12)</f>
        <v>2.5470999999999999</v>
      </c>
      <c r="D36" s="65">
        <f>2.5527 * CHOOSE(CONTROL!$C$23, $C$12, 100%, $E$12)</f>
        <v>2.5527000000000002</v>
      </c>
      <c r="E36" s="66">
        <f>3.2287 * CHOOSE(CONTROL!$C$23, $C$12, 100%, $E$12)</f>
        <v>3.2286999999999999</v>
      </c>
      <c r="F36" s="66">
        <f>3.254 * CHOOSE(CONTROL!$C$23, $C$12, 100%, $E$12)</f>
        <v>3.254</v>
      </c>
      <c r="G36" s="66">
        <f>3.2609 * CHOOSE(CONTROL!$C$23, $C$12, 100%, $E$12)</f>
        <v>3.2608999999999999</v>
      </c>
      <c r="H36" s="66">
        <f>6.1508* CHOOSE(CONTROL!$C$23, $C$12, 100%, $E$12)</f>
        <v>6.1508000000000003</v>
      </c>
      <c r="I36" s="66">
        <f>6.1577 * CHOOSE(CONTROL!$C$23, $C$12, 100%, $E$12)</f>
        <v>6.1577000000000002</v>
      </c>
      <c r="J36" s="66">
        <f>6.1508 * CHOOSE(CONTROL!$C$23, $C$12, 100%, $E$12)</f>
        <v>6.1508000000000003</v>
      </c>
      <c r="K36" s="66">
        <f>6.1577 * CHOOSE(CONTROL!$C$23, $C$12, 100%, $E$12)</f>
        <v>6.1577000000000002</v>
      </c>
      <c r="L36" s="66">
        <f>3.2287 * CHOOSE(CONTROL!$C$23, $C$12, 100%, $E$12)</f>
        <v>3.2286999999999999</v>
      </c>
      <c r="M36" s="66">
        <f>3.2356 * CHOOSE(CONTROL!$C$23, $C$12, 100%, $E$12)</f>
        <v>3.2355999999999998</v>
      </c>
      <c r="N36" s="66">
        <f>3.2287 * CHOOSE(CONTROL!$C$23, $C$12, 100%, $E$12)</f>
        <v>3.2286999999999999</v>
      </c>
      <c r="O36" s="66">
        <f>3.2356 * CHOOSE(CONTROL!$C$23, $C$12, 100%, $E$12)</f>
        <v>3.2355999999999998</v>
      </c>
      <c r="P36" s="4"/>
      <c r="Q36" s="66"/>
      <c r="R36" s="66"/>
    </row>
    <row r="37" spans="1:18" ht="15">
      <c r="A37" s="13">
        <v>42278</v>
      </c>
      <c r="B37" s="65">
        <f>2.5077 * CHOOSE(CONTROL!$C$23, $C$12, 100%, $E$12)</f>
        <v>2.5076999999999998</v>
      </c>
      <c r="C37" s="65">
        <f>2.538 * CHOOSE(CONTROL!$C$23, $C$12, 100%, $E$12)</f>
        <v>2.5379999999999998</v>
      </c>
      <c r="D37" s="65">
        <f>2.542 * CHOOSE(CONTROL!$C$23, $C$12, 100%, $E$12)</f>
        <v>2.5419999999999998</v>
      </c>
      <c r="E37" s="66">
        <f>3.2365 * CHOOSE(CONTROL!$C$23, $C$12, 100%, $E$12)</f>
        <v>3.2364999999999999</v>
      </c>
      <c r="F37" s="66">
        <f>3.254 * CHOOSE(CONTROL!$C$23, $C$12, 100%, $E$12)</f>
        <v>3.254</v>
      </c>
      <c r="G37" s="66">
        <f>3.2589 * CHOOSE(CONTROL!$C$23, $C$12, 100%, $E$12)</f>
        <v>3.2589000000000001</v>
      </c>
      <c r="H37" s="66">
        <f>6.1636* CHOOSE(CONTROL!$C$23, $C$12, 100%, $E$12)</f>
        <v>6.1635999999999997</v>
      </c>
      <c r="I37" s="66">
        <f>6.1685 * CHOOSE(CONTROL!$C$23, $C$12, 100%, $E$12)</f>
        <v>6.1684999999999999</v>
      </c>
      <c r="J37" s="66">
        <f>6.1636 * CHOOSE(CONTROL!$C$23, $C$12, 100%, $E$12)</f>
        <v>6.1635999999999997</v>
      </c>
      <c r="K37" s="66">
        <f>6.1685 * CHOOSE(CONTROL!$C$23, $C$12, 100%, $E$12)</f>
        <v>6.1684999999999999</v>
      </c>
      <c r="L37" s="66">
        <f>3.2365 * CHOOSE(CONTROL!$C$23, $C$12, 100%, $E$12)</f>
        <v>3.2364999999999999</v>
      </c>
      <c r="M37" s="66">
        <f>3.2414 * CHOOSE(CONTROL!$C$23, $C$12, 100%, $E$12)</f>
        <v>3.2414000000000001</v>
      </c>
      <c r="N37" s="66">
        <f>3.2365 * CHOOSE(CONTROL!$C$23, $C$12, 100%, $E$12)</f>
        <v>3.2364999999999999</v>
      </c>
      <c r="O37" s="66">
        <f>3.2414 * CHOOSE(CONTROL!$C$23, $C$12, 100%, $E$12)</f>
        <v>3.2414000000000001</v>
      </c>
      <c r="P37" s="4"/>
      <c r="Q37" s="66"/>
      <c r="R37" s="66"/>
    </row>
    <row r="38" spans="1:18" ht="15">
      <c r="A38" s="13">
        <v>42309</v>
      </c>
      <c r="B38" s="65">
        <f>2.5106 * CHOOSE(CONTROL!$C$23, $C$12, 100%, $E$12)</f>
        <v>2.5106000000000002</v>
      </c>
      <c r="C38" s="65">
        <f>2.5433 * CHOOSE(CONTROL!$C$23, $C$12, 100%, $E$12)</f>
        <v>2.5432999999999999</v>
      </c>
      <c r="D38" s="65">
        <f>2.5473 * CHOOSE(CONTROL!$C$23, $C$12, 100%, $E$12)</f>
        <v>2.5472999999999999</v>
      </c>
      <c r="E38" s="66">
        <f>3.2365 * CHOOSE(CONTROL!$C$23, $C$12, 100%, $E$12)</f>
        <v>3.2364999999999999</v>
      </c>
      <c r="F38" s="66">
        <f>3.254 * CHOOSE(CONTROL!$C$23, $C$12, 100%, $E$12)</f>
        <v>3.254</v>
      </c>
      <c r="G38" s="66">
        <f>3.2589 * CHOOSE(CONTROL!$C$23, $C$12, 100%, $E$12)</f>
        <v>3.2589000000000001</v>
      </c>
      <c r="H38" s="66">
        <f>6.1764* CHOOSE(CONTROL!$C$23, $C$12, 100%, $E$12)</f>
        <v>6.1764000000000001</v>
      </c>
      <c r="I38" s="66">
        <f>6.1813 * CHOOSE(CONTROL!$C$23, $C$12, 100%, $E$12)</f>
        <v>6.1813000000000002</v>
      </c>
      <c r="J38" s="66">
        <f>6.1764 * CHOOSE(CONTROL!$C$23, $C$12, 100%, $E$12)</f>
        <v>6.1764000000000001</v>
      </c>
      <c r="K38" s="66">
        <f>6.1813 * CHOOSE(CONTROL!$C$23, $C$12, 100%, $E$12)</f>
        <v>6.1813000000000002</v>
      </c>
      <c r="L38" s="66">
        <f>3.2365 * CHOOSE(CONTROL!$C$23, $C$12, 100%, $E$12)</f>
        <v>3.2364999999999999</v>
      </c>
      <c r="M38" s="66">
        <f>3.2414 * CHOOSE(CONTROL!$C$23, $C$12, 100%, $E$12)</f>
        <v>3.2414000000000001</v>
      </c>
      <c r="N38" s="66">
        <f>3.2365 * CHOOSE(CONTROL!$C$23, $C$12, 100%, $E$12)</f>
        <v>3.2364999999999999</v>
      </c>
      <c r="O38" s="66">
        <f>3.2414 * CHOOSE(CONTROL!$C$23, $C$12, 100%, $E$12)</f>
        <v>3.2414000000000001</v>
      </c>
      <c r="P38" s="4"/>
      <c r="Q38" s="66"/>
      <c r="R38" s="66"/>
    </row>
    <row r="39" spans="1:18" ht="15">
      <c r="A39" s="13">
        <v>42339</v>
      </c>
      <c r="B39" s="65">
        <f>2.5133 * CHOOSE(CONTROL!$C$23, $C$12, 100%, $E$12)</f>
        <v>2.5133000000000001</v>
      </c>
      <c r="C39" s="65">
        <f>2.5463 * CHOOSE(CONTROL!$C$23, $C$12, 100%, $E$12)</f>
        <v>2.5463</v>
      </c>
      <c r="D39" s="65">
        <f>2.5503 * CHOOSE(CONTROL!$C$23, $C$12, 100%, $E$12)</f>
        <v>2.5503</v>
      </c>
      <c r="E39" s="66">
        <f>3.2307 * CHOOSE(CONTROL!$C$23, $C$12, 100%, $E$12)</f>
        <v>3.2307000000000001</v>
      </c>
      <c r="F39" s="66">
        <f>3.254 * CHOOSE(CONTROL!$C$23, $C$12, 100%, $E$12)</f>
        <v>3.254</v>
      </c>
      <c r="G39" s="66">
        <f>3.2589 * CHOOSE(CONTROL!$C$23, $C$12, 100%, $E$12)</f>
        <v>3.2589000000000001</v>
      </c>
      <c r="H39" s="66">
        <f>6.1893* CHOOSE(CONTROL!$C$23, $C$12, 100%, $E$12)</f>
        <v>6.1893000000000002</v>
      </c>
      <c r="I39" s="66">
        <f>6.1942 * CHOOSE(CONTROL!$C$23, $C$12, 100%, $E$12)</f>
        <v>6.1942000000000004</v>
      </c>
      <c r="J39" s="66">
        <f>6.1893 * CHOOSE(CONTROL!$C$23, $C$12, 100%, $E$12)</f>
        <v>6.1893000000000002</v>
      </c>
      <c r="K39" s="66">
        <f>6.1942 * CHOOSE(CONTROL!$C$23, $C$12, 100%, $E$12)</f>
        <v>6.1942000000000004</v>
      </c>
      <c r="L39" s="66">
        <f>3.2307 * CHOOSE(CONTROL!$C$23, $C$12, 100%, $E$12)</f>
        <v>3.2307000000000001</v>
      </c>
      <c r="M39" s="66">
        <f>3.2356 * CHOOSE(CONTROL!$C$23, $C$12, 100%, $E$12)</f>
        <v>3.2355999999999998</v>
      </c>
      <c r="N39" s="66">
        <f>3.2307 * CHOOSE(CONTROL!$C$23, $C$12, 100%, $E$12)</f>
        <v>3.2307000000000001</v>
      </c>
      <c r="O39" s="66">
        <f>3.2356 * CHOOSE(CONTROL!$C$23, $C$12, 100%, $E$12)</f>
        <v>3.2355999999999998</v>
      </c>
      <c r="P39" s="4"/>
      <c r="Q39" s="66"/>
      <c r="R39" s="66"/>
    </row>
    <row r="40" spans="1:18" ht="15">
      <c r="A40" s="13">
        <v>42370</v>
      </c>
      <c r="B40" s="65">
        <f>2.8414 * CHOOSE(CONTROL!$C$23, $C$12, 100%, $E$12)</f>
        <v>2.8414000000000001</v>
      </c>
      <c r="C40" s="65">
        <f>2.8414 * CHOOSE(CONTROL!$C$23, $C$12, 100%, $E$12)</f>
        <v>2.8414000000000001</v>
      </c>
      <c r="D40" s="65">
        <f>2.8454 * CHOOSE(CONTROL!$C$23, $C$12, 100%, $E$12)</f>
        <v>2.8454000000000002</v>
      </c>
      <c r="E40" s="66">
        <f>3.358 * CHOOSE(CONTROL!$C$23, $C$12, 100%, $E$12)</f>
        <v>3.3580000000000001</v>
      </c>
      <c r="F40" s="66">
        <f>3.446 * CHOOSE(CONTROL!$C$23, $C$12, 100%, $E$12)</f>
        <v>3.4460000000000002</v>
      </c>
      <c r="G40" s="66">
        <f>3.4509 * CHOOSE(CONTROL!$C$23, $C$12, 100%, $E$12)</f>
        <v>3.4508999999999999</v>
      </c>
      <c r="H40" s="66">
        <f>6.2022* CHOOSE(CONTROL!$C$23, $C$12, 100%, $E$12)</f>
        <v>6.2022000000000004</v>
      </c>
      <c r="I40" s="66">
        <f>6.2071 * CHOOSE(CONTROL!$C$23, $C$12, 100%, $E$12)</f>
        <v>6.2070999999999996</v>
      </c>
      <c r="J40" s="66">
        <f>6.2022 * CHOOSE(CONTROL!$C$23, $C$12, 100%, $E$12)</f>
        <v>6.2022000000000004</v>
      </c>
      <c r="K40" s="66">
        <f>6.2071 * CHOOSE(CONTROL!$C$23, $C$12, 100%, $E$12)</f>
        <v>6.2070999999999996</v>
      </c>
      <c r="L40" s="66">
        <f>3.358 * CHOOSE(CONTROL!$C$23, $C$12, 100%, $E$12)</f>
        <v>3.3580000000000001</v>
      </c>
      <c r="M40" s="66">
        <f>3.3629 * CHOOSE(CONTROL!$C$23, $C$12, 100%, $E$12)</f>
        <v>3.3628999999999998</v>
      </c>
      <c r="N40" s="66">
        <f>3.358 * CHOOSE(CONTROL!$C$23, $C$12, 100%, $E$12)</f>
        <v>3.3580000000000001</v>
      </c>
      <c r="O40" s="66">
        <f>3.3629 * CHOOSE(CONTROL!$C$23, $C$12, 100%, $E$12)</f>
        <v>3.3628999999999998</v>
      </c>
      <c r="P40" s="4"/>
      <c r="Q40" s="66"/>
      <c r="R40" s="66"/>
    </row>
    <row r="41" spans="1:18" ht="15">
      <c r="A41" s="13">
        <v>42401</v>
      </c>
      <c r="B41" s="65">
        <f>2.8414 * CHOOSE(CONTROL!$C$23, $C$12, 100%, $E$12)</f>
        <v>2.8414000000000001</v>
      </c>
      <c r="C41" s="65">
        <f>2.8414 * CHOOSE(CONTROL!$C$23, $C$12, 100%, $E$12)</f>
        <v>2.8414000000000001</v>
      </c>
      <c r="D41" s="65">
        <f>2.8454 * CHOOSE(CONTROL!$C$23, $C$12, 100%, $E$12)</f>
        <v>2.8454000000000002</v>
      </c>
      <c r="E41" s="66">
        <f>3.402 * CHOOSE(CONTROL!$C$23, $C$12, 100%, $E$12)</f>
        <v>3.4020000000000001</v>
      </c>
      <c r="F41" s="66">
        <f>3.446 * CHOOSE(CONTROL!$C$23, $C$12, 100%, $E$12)</f>
        <v>3.4460000000000002</v>
      </c>
      <c r="G41" s="66">
        <f>3.4509 * CHOOSE(CONTROL!$C$23, $C$12, 100%, $E$12)</f>
        <v>3.4508999999999999</v>
      </c>
      <c r="H41" s="66">
        <f>6.2151* CHOOSE(CONTROL!$C$23, $C$12, 100%, $E$12)</f>
        <v>6.2150999999999996</v>
      </c>
      <c r="I41" s="66">
        <f>6.22 * CHOOSE(CONTROL!$C$23, $C$12, 100%, $E$12)</f>
        <v>6.22</v>
      </c>
      <c r="J41" s="66">
        <f>6.2151 * CHOOSE(CONTROL!$C$23, $C$12, 100%, $E$12)</f>
        <v>6.2150999999999996</v>
      </c>
      <c r="K41" s="66">
        <f>6.22 * CHOOSE(CONTROL!$C$23, $C$12, 100%, $E$12)</f>
        <v>6.22</v>
      </c>
      <c r="L41" s="66">
        <f>3.402 * CHOOSE(CONTROL!$C$23, $C$12, 100%, $E$12)</f>
        <v>3.4020000000000001</v>
      </c>
      <c r="M41" s="66">
        <f>3.4069 * CHOOSE(CONTROL!$C$23, $C$12, 100%, $E$12)</f>
        <v>3.4068999999999998</v>
      </c>
      <c r="N41" s="66">
        <f>3.402 * CHOOSE(CONTROL!$C$23, $C$12, 100%, $E$12)</f>
        <v>3.4020000000000001</v>
      </c>
      <c r="O41" s="66">
        <f>3.4069 * CHOOSE(CONTROL!$C$23, $C$12, 100%, $E$12)</f>
        <v>3.4068999999999998</v>
      </c>
      <c r="P41" s="4"/>
      <c r="Q41" s="66"/>
      <c r="R41" s="66"/>
    </row>
    <row r="42" spans="1:18" ht="15">
      <c r="A42" s="13">
        <v>42430</v>
      </c>
      <c r="B42" s="65">
        <f>2.8384 * CHOOSE(CONTROL!$C$23, $C$12, 100%, $E$12)</f>
        <v>2.8384</v>
      </c>
      <c r="C42" s="65">
        <f>2.8384 * CHOOSE(CONTROL!$C$23, $C$12, 100%, $E$12)</f>
        <v>2.8384</v>
      </c>
      <c r="D42" s="65">
        <f>2.8423 * CHOOSE(CONTROL!$C$23, $C$12, 100%, $E$12)</f>
        <v>2.8422999999999998</v>
      </c>
      <c r="E42" s="66">
        <f>3.358 * CHOOSE(CONTROL!$C$23, $C$12, 100%, $E$12)</f>
        <v>3.3580000000000001</v>
      </c>
      <c r="F42" s="66">
        <f>3.446 * CHOOSE(CONTROL!$C$23, $C$12, 100%, $E$12)</f>
        <v>3.4460000000000002</v>
      </c>
      <c r="G42" s="66">
        <f>3.4509 * CHOOSE(CONTROL!$C$23, $C$12, 100%, $E$12)</f>
        <v>3.4508999999999999</v>
      </c>
      <c r="H42" s="66">
        <f>6.228* CHOOSE(CONTROL!$C$23, $C$12, 100%, $E$12)</f>
        <v>6.2279999999999998</v>
      </c>
      <c r="I42" s="66">
        <f>6.233 * CHOOSE(CONTROL!$C$23, $C$12, 100%, $E$12)</f>
        <v>6.2329999999999997</v>
      </c>
      <c r="J42" s="66">
        <f>6.228 * CHOOSE(CONTROL!$C$23, $C$12, 100%, $E$12)</f>
        <v>6.2279999999999998</v>
      </c>
      <c r="K42" s="66">
        <f>6.233 * CHOOSE(CONTROL!$C$23, $C$12, 100%, $E$12)</f>
        <v>6.2329999999999997</v>
      </c>
      <c r="L42" s="66">
        <f>3.358 * CHOOSE(CONTROL!$C$23, $C$12, 100%, $E$12)</f>
        <v>3.3580000000000001</v>
      </c>
      <c r="M42" s="66">
        <f>3.3629 * CHOOSE(CONTROL!$C$23, $C$12, 100%, $E$12)</f>
        <v>3.3628999999999998</v>
      </c>
      <c r="N42" s="66">
        <f>3.358 * CHOOSE(CONTROL!$C$23, $C$12, 100%, $E$12)</f>
        <v>3.3580000000000001</v>
      </c>
      <c r="O42" s="66">
        <f>3.3629 * CHOOSE(CONTROL!$C$23, $C$12, 100%, $E$12)</f>
        <v>3.3628999999999998</v>
      </c>
      <c r="P42" s="4"/>
      <c r="Q42" s="66"/>
      <c r="R42" s="66"/>
    </row>
    <row r="43" spans="1:18" ht="15">
      <c r="A43" s="13">
        <v>42461</v>
      </c>
      <c r="B43" s="65">
        <f>2.8276 * CHOOSE(CONTROL!$C$23, $C$12, 100%, $E$12)</f>
        <v>2.8275999999999999</v>
      </c>
      <c r="C43" s="65">
        <f>2.8276 * CHOOSE(CONTROL!$C$23, $C$12, 100%, $E$12)</f>
        <v>2.8275999999999999</v>
      </c>
      <c r="D43" s="65">
        <f>2.8316 * CHOOSE(CONTROL!$C$23, $C$12, 100%, $E$12)</f>
        <v>2.8315999999999999</v>
      </c>
      <c r="E43" s="66">
        <f>3.402 * CHOOSE(CONTROL!$C$23, $C$12, 100%, $E$12)</f>
        <v>3.4020000000000001</v>
      </c>
      <c r="F43" s="66">
        <f>3.446 * CHOOSE(CONTROL!$C$23, $C$12, 100%, $E$12)</f>
        <v>3.4460000000000002</v>
      </c>
      <c r="G43" s="66">
        <f>3.4509 * CHOOSE(CONTROL!$C$23, $C$12, 100%, $E$12)</f>
        <v>3.4508999999999999</v>
      </c>
      <c r="H43" s="66">
        <f>6.241* CHOOSE(CONTROL!$C$23, $C$12, 100%, $E$12)</f>
        <v>6.2409999999999997</v>
      </c>
      <c r="I43" s="66">
        <f>6.2459 * CHOOSE(CONTROL!$C$23, $C$12, 100%, $E$12)</f>
        <v>6.2458999999999998</v>
      </c>
      <c r="J43" s="66">
        <f>6.241 * CHOOSE(CONTROL!$C$23, $C$12, 100%, $E$12)</f>
        <v>6.2409999999999997</v>
      </c>
      <c r="K43" s="66">
        <f>6.2459 * CHOOSE(CONTROL!$C$23, $C$12, 100%, $E$12)</f>
        <v>6.2458999999999998</v>
      </c>
      <c r="L43" s="66">
        <f>3.402 * CHOOSE(CONTROL!$C$23, $C$12, 100%, $E$12)</f>
        <v>3.4020000000000001</v>
      </c>
      <c r="M43" s="66">
        <f>3.4069 * CHOOSE(CONTROL!$C$23, $C$12, 100%, $E$12)</f>
        <v>3.4068999999999998</v>
      </c>
      <c r="N43" s="66">
        <f>3.402 * CHOOSE(CONTROL!$C$23, $C$12, 100%, $E$12)</f>
        <v>3.4020000000000001</v>
      </c>
      <c r="O43" s="66">
        <f>3.4069 * CHOOSE(CONTROL!$C$23, $C$12, 100%, $E$12)</f>
        <v>3.4068999999999998</v>
      </c>
      <c r="P43" s="4"/>
      <c r="Q43" s="66"/>
      <c r="R43" s="66"/>
    </row>
    <row r="44" spans="1:18" ht="15">
      <c r="A44" s="13">
        <v>42491</v>
      </c>
      <c r="B44" s="65">
        <f>2.8307 * CHOOSE(CONTROL!$C$23, $C$12, 100%, $E$12)</f>
        <v>2.8307000000000002</v>
      </c>
      <c r="C44" s="65">
        <f>2.8307 * CHOOSE(CONTROL!$C$23, $C$12, 100%, $E$12)</f>
        <v>2.8307000000000002</v>
      </c>
      <c r="D44" s="65">
        <f>2.8363 * CHOOSE(CONTROL!$C$23, $C$12, 100%, $E$12)</f>
        <v>2.8363</v>
      </c>
      <c r="E44" s="66">
        <f>3.358 * CHOOSE(CONTROL!$C$23, $C$12, 100%, $E$12)</f>
        <v>3.3580000000000001</v>
      </c>
      <c r="F44" s="66">
        <f>3.446 * CHOOSE(CONTROL!$C$23, $C$12, 100%, $E$12)</f>
        <v>3.4460000000000002</v>
      </c>
      <c r="G44" s="66">
        <f>3.4529 * CHOOSE(CONTROL!$C$23, $C$12, 100%, $E$12)</f>
        <v>3.4529000000000001</v>
      </c>
      <c r="H44" s="66">
        <f>6.254* CHOOSE(CONTROL!$C$23, $C$12, 100%, $E$12)</f>
        <v>6.2539999999999996</v>
      </c>
      <c r="I44" s="66">
        <f>6.2609 * CHOOSE(CONTROL!$C$23, $C$12, 100%, $E$12)</f>
        <v>6.2609000000000004</v>
      </c>
      <c r="J44" s="66">
        <f>6.254 * CHOOSE(CONTROL!$C$23, $C$12, 100%, $E$12)</f>
        <v>6.2539999999999996</v>
      </c>
      <c r="K44" s="66">
        <f>6.2609 * CHOOSE(CONTROL!$C$23, $C$12, 100%, $E$12)</f>
        <v>6.2609000000000004</v>
      </c>
      <c r="L44" s="66">
        <f>3.358 * CHOOSE(CONTROL!$C$23, $C$12, 100%, $E$12)</f>
        <v>3.3580000000000001</v>
      </c>
      <c r="M44" s="66">
        <f>3.3649 * CHOOSE(CONTROL!$C$23, $C$12, 100%, $E$12)</f>
        <v>3.3649</v>
      </c>
      <c r="N44" s="66">
        <f>3.358 * CHOOSE(CONTROL!$C$23, $C$12, 100%, $E$12)</f>
        <v>3.3580000000000001</v>
      </c>
      <c r="O44" s="66">
        <f>3.3649 * CHOOSE(CONTROL!$C$23, $C$12, 100%, $E$12)</f>
        <v>3.3649</v>
      </c>
      <c r="P44" s="4"/>
      <c r="Q44" s="66"/>
      <c r="R44" s="66"/>
    </row>
    <row r="45" spans="1:18" ht="15">
      <c r="A45" s="13">
        <v>42522</v>
      </c>
      <c r="B45" s="65">
        <f>2.8398 * CHOOSE(CONTROL!$C$23, $C$12, 100%, $E$12)</f>
        <v>2.8397999999999999</v>
      </c>
      <c r="C45" s="65">
        <f>2.8398 * CHOOSE(CONTROL!$C$23, $C$12, 100%, $E$12)</f>
        <v>2.8397999999999999</v>
      </c>
      <c r="D45" s="65">
        <f>2.8454 * CHOOSE(CONTROL!$C$23, $C$12, 100%, $E$12)</f>
        <v>2.8454000000000002</v>
      </c>
      <c r="E45" s="66">
        <f>3.402 * CHOOSE(CONTROL!$C$23, $C$12, 100%, $E$12)</f>
        <v>3.4020000000000001</v>
      </c>
      <c r="F45" s="66">
        <f>3.446 * CHOOSE(CONTROL!$C$23, $C$12, 100%, $E$12)</f>
        <v>3.4460000000000002</v>
      </c>
      <c r="G45" s="66">
        <f>3.4529 * CHOOSE(CONTROL!$C$23, $C$12, 100%, $E$12)</f>
        <v>3.4529000000000001</v>
      </c>
      <c r="H45" s="66">
        <f>6.2671* CHOOSE(CONTROL!$C$23, $C$12, 100%, $E$12)</f>
        <v>6.2671000000000001</v>
      </c>
      <c r="I45" s="66">
        <f>6.2739 * CHOOSE(CONTROL!$C$23, $C$12, 100%, $E$12)</f>
        <v>6.2739000000000003</v>
      </c>
      <c r="J45" s="66">
        <f>6.2671 * CHOOSE(CONTROL!$C$23, $C$12, 100%, $E$12)</f>
        <v>6.2671000000000001</v>
      </c>
      <c r="K45" s="66">
        <f>6.2739 * CHOOSE(CONTROL!$C$23, $C$12, 100%, $E$12)</f>
        <v>6.2739000000000003</v>
      </c>
      <c r="L45" s="66">
        <f>3.402 * CHOOSE(CONTROL!$C$23, $C$12, 100%, $E$12)</f>
        <v>3.4020000000000001</v>
      </c>
      <c r="M45" s="66">
        <f>3.4089 * CHOOSE(CONTROL!$C$23, $C$12, 100%, $E$12)</f>
        <v>3.4089</v>
      </c>
      <c r="N45" s="66">
        <f>3.402 * CHOOSE(CONTROL!$C$23, $C$12, 100%, $E$12)</f>
        <v>3.4020000000000001</v>
      </c>
      <c r="O45" s="66">
        <f>3.4089 * CHOOSE(CONTROL!$C$23, $C$12, 100%, $E$12)</f>
        <v>3.4089</v>
      </c>
      <c r="P45" s="4"/>
      <c r="Q45" s="66"/>
      <c r="R45" s="66"/>
    </row>
    <row r="46" spans="1:18" ht="15">
      <c r="A46" s="13">
        <v>42552</v>
      </c>
      <c r="B46" s="65">
        <f>2.8772 * CHOOSE(CONTROL!$C$23, $C$12, 100%, $E$12)</f>
        <v>2.8772000000000002</v>
      </c>
      <c r="C46" s="65">
        <f>2.8772 * CHOOSE(CONTROL!$C$23, $C$12, 100%, $E$12)</f>
        <v>2.8772000000000002</v>
      </c>
      <c r="D46" s="65">
        <f>2.8828 * CHOOSE(CONTROL!$C$23, $C$12, 100%, $E$12)</f>
        <v>2.8828</v>
      </c>
      <c r="E46" s="66">
        <f>3.3756 * CHOOSE(CONTROL!$C$23, $C$12, 100%, $E$12)</f>
        <v>3.3755999999999999</v>
      </c>
      <c r="F46" s="66">
        <f>3.446 * CHOOSE(CONTROL!$C$23, $C$12, 100%, $E$12)</f>
        <v>3.4460000000000002</v>
      </c>
      <c r="G46" s="66">
        <f>3.4529 * CHOOSE(CONTROL!$C$23, $C$12, 100%, $E$12)</f>
        <v>3.4529000000000001</v>
      </c>
      <c r="H46" s="66">
        <f>6.2801* CHOOSE(CONTROL!$C$23, $C$12, 100%, $E$12)</f>
        <v>6.2801</v>
      </c>
      <c r="I46" s="66">
        <f>6.287 * CHOOSE(CONTROL!$C$23, $C$12, 100%, $E$12)</f>
        <v>6.2869999999999999</v>
      </c>
      <c r="J46" s="66">
        <f>6.2801 * CHOOSE(CONTROL!$C$23, $C$12, 100%, $E$12)</f>
        <v>6.2801</v>
      </c>
      <c r="K46" s="66">
        <f>6.287 * CHOOSE(CONTROL!$C$23, $C$12, 100%, $E$12)</f>
        <v>6.2869999999999999</v>
      </c>
      <c r="L46" s="66">
        <f>3.3756 * CHOOSE(CONTROL!$C$23, $C$12, 100%, $E$12)</f>
        <v>3.3755999999999999</v>
      </c>
      <c r="M46" s="66">
        <f>3.3825 * CHOOSE(CONTROL!$C$23, $C$12, 100%, $E$12)</f>
        <v>3.3824999999999998</v>
      </c>
      <c r="N46" s="66">
        <f>3.3756 * CHOOSE(CONTROL!$C$23, $C$12, 100%, $E$12)</f>
        <v>3.3755999999999999</v>
      </c>
      <c r="O46" s="66">
        <f>3.3825 * CHOOSE(CONTROL!$C$23, $C$12, 100%, $E$12)</f>
        <v>3.3824999999999998</v>
      </c>
      <c r="P46" s="4"/>
      <c r="Q46" s="4"/>
      <c r="R46" s="4"/>
    </row>
    <row r="47" spans="1:18" ht="15">
      <c r="A47" s="13">
        <v>42583</v>
      </c>
      <c r="B47" s="65">
        <f>2.9046 * CHOOSE(CONTROL!$C$23, $C$12, 100%, $E$12)</f>
        <v>2.9045999999999998</v>
      </c>
      <c r="C47" s="65">
        <f>2.9046 * CHOOSE(CONTROL!$C$23, $C$12, 100%, $E$12)</f>
        <v>2.9045999999999998</v>
      </c>
      <c r="D47" s="65">
        <f>2.9102 * CHOOSE(CONTROL!$C$23, $C$12, 100%, $E$12)</f>
        <v>2.9102000000000001</v>
      </c>
      <c r="E47" s="66">
        <f>3.4108 * CHOOSE(CONTROL!$C$23, $C$12, 100%, $E$12)</f>
        <v>3.4108000000000001</v>
      </c>
      <c r="F47" s="66">
        <f>3.446 * CHOOSE(CONTROL!$C$23, $C$12, 100%, $E$12)</f>
        <v>3.4460000000000002</v>
      </c>
      <c r="G47" s="66">
        <f>3.4529 * CHOOSE(CONTROL!$C$23, $C$12, 100%, $E$12)</f>
        <v>3.4529000000000001</v>
      </c>
      <c r="H47" s="66">
        <f>6.2932* CHOOSE(CONTROL!$C$23, $C$12, 100%, $E$12)</f>
        <v>6.2931999999999997</v>
      </c>
      <c r="I47" s="66">
        <f>6.3001 * CHOOSE(CONTROL!$C$23, $C$12, 100%, $E$12)</f>
        <v>6.3000999999999996</v>
      </c>
      <c r="J47" s="66">
        <f>6.2932 * CHOOSE(CONTROL!$C$23, $C$12, 100%, $E$12)</f>
        <v>6.2931999999999997</v>
      </c>
      <c r="K47" s="66">
        <f>6.3001 * CHOOSE(CONTROL!$C$23, $C$12, 100%, $E$12)</f>
        <v>6.3000999999999996</v>
      </c>
      <c r="L47" s="66">
        <f>3.4108 * CHOOSE(CONTROL!$C$23, $C$12, 100%, $E$12)</f>
        <v>3.4108000000000001</v>
      </c>
      <c r="M47" s="66">
        <f>3.4177 * CHOOSE(CONTROL!$C$23, $C$12, 100%, $E$12)</f>
        <v>3.4177</v>
      </c>
      <c r="N47" s="66">
        <f>3.4108 * CHOOSE(CONTROL!$C$23, $C$12, 100%, $E$12)</f>
        <v>3.4108000000000001</v>
      </c>
      <c r="O47" s="66">
        <f>3.4177 * CHOOSE(CONTROL!$C$23, $C$12, 100%, $E$12)</f>
        <v>3.4177</v>
      </c>
      <c r="P47" s="4"/>
      <c r="Q47" s="4"/>
      <c r="R47" s="4"/>
    </row>
    <row r="48" spans="1:18" ht="15">
      <c r="A48" s="13">
        <v>42614</v>
      </c>
      <c r="B48" s="65">
        <f>2.8985 * CHOOSE(CONTROL!$C$23, $C$12, 100%, $E$12)</f>
        <v>2.8984999999999999</v>
      </c>
      <c r="C48" s="65">
        <f>2.8985 * CHOOSE(CONTROL!$C$23, $C$12, 100%, $E$12)</f>
        <v>2.8984999999999999</v>
      </c>
      <c r="D48" s="65">
        <f>2.9041 * CHOOSE(CONTROL!$C$23, $C$12, 100%, $E$12)</f>
        <v>2.9041000000000001</v>
      </c>
      <c r="E48" s="66">
        <f>3.358 * CHOOSE(CONTROL!$C$23, $C$12, 100%, $E$12)</f>
        <v>3.3580000000000001</v>
      </c>
      <c r="F48" s="66">
        <f>3.446 * CHOOSE(CONTROL!$C$23, $C$12, 100%, $E$12)</f>
        <v>3.4460000000000002</v>
      </c>
      <c r="G48" s="66">
        <f>3.4529 * CHOOSE(CONTROL!$C$23, $C$12, 100%, $E$12)</f>
        <v>3.4529000000000001</v>
      </c>
      <c r="H48" s="66">
        <f>6.3063* CHOOSE(CONTROL!$C$23, $C$12, 100%, $E$12)</f>
        <v>6.3063000000000002</v>
      </c>
      <c r="I48" s="66">
        <f>6.3132 * CHOOSE(CONTROL!$C$23, $C$12, 100%, $E$12)</f>
        <v>6.3132000000000001</v>
      </c>
      <c r="J48" s="66">
        <f>6.3063 * CHOOSE(CONTROL!$C$23, $C$12, 100%, $E$12)</f>
        <v>6.3063000000000002</v>
      </c>
      <c r="K48" s="66">
        <f>6.3132 * CHOOSE(CONTROL!$C$23, $C$12, 100%, $E$12)</f>
        <v>6.3132000000000001</v>
      </c>
      <c r="L48" s="66">
        <f>3.358 * CHOOSE(CONTROL!$C$23, $C$12, 100%, $E$12)</f>
        <v>3.3580000000000001</v>
      </c>
      <c r="M48" s="66">
        <f>3.3649 * CHOOSE(CONTROL!$C$23, $C$12, 100%, $E$12)</f>
        <v>3.3649</v>
      </c>
      <c r="N48" s="66">
        <f>3.358 * CHOOSE(CONTROL!$C$23, $C$12, 100%, $E$12)</f>
        <v>3.3580000000000001</v>
      </c>
      <c r="O48" s="66">
        <f>3.3649 * CHOOSE(CONTROL!$C$23, $C$12, 100%, $E$12)</f>
        <v>3.3649</v>
      </c>
      <c r="P48" s="4"/>
      <c r="Q48" s="4"/>
      <c r="R48" s="4"/>
    </row>
    <row r="49" spans="1:18" ht="15">
      <c r="A49" s="13">
        <v>42644</v>
      </c>
      <c r="B49" s="65">
        <f>2.9149 * CHOOSE(CONTROL!$C$23, $C$12, 100%, $E$12)</f>
        <v>2.9148999999999998</v>
      </c>
      <c r="C49" s="65">
        <f>2.9149 * CHOOSE(CONTROL!$C$23, $C$12, 100%, $E$12)</f>
        <v>2.9148999999999998</v>
      </c>
      <c r="D49" s="65">
        <f>2.9189 * CHOOSE(CONTROL!$C$23, $C$12, 100%, $E$12)</f>
        <v>2.9188999999999998</v>
      </c>
      <c r="E49" s="66">
        <f>3.3756 * CHOOSE(CONTROL!$C$23, $C$12, 100%, $E$12)</f>
        <v>3.3755999999999999</v>
      </c>
      <c r="F49" s="66">
        <f>3.446 * CHOOSE(CONTROL!$C$23, $C$12, 100%, $E$12)</f>
        <v>3.4460000000000002</v>
      </c>
      <c r="G49" s="66">
        <f>3.4509 * CHOOSE(CONTROL!$C$23, $C$12, 100%, $E$12)</f>
        <v>3.4508999999999999</v>
      </c>
      <c r="H49" s="66">
        <f>6.3194* CHOOSE(CONTROL!$C$23, $C$12, 100%, $E$12)</f>
        <v>6.3193999999999999</v>
      </c>
      <c r="I49" s="66">
        <f>6.3244 * CHOOSE(CONTROL!$C$23, $C$12, 100%, $E$12)</f>
        <v>6.3243999999999998</v>
      </c>
      <c r="J49" s="66">
        <f>6.3194 * CHOOSE(CONTROL!$C$23, $C$12, 100%, $E$12)</f>
        <v>6.3193999999999999</v>
      </c>
      <c r="K49" s="66">
        <f>6.3244 * CHOOSE(CONTROL!$C$23, $C$12, 100%, $E$12)</f>
        <v>6.3243999999999998</v>
      </c>
      <c r="L49" s="66">
        <f>3.3756 * CHOOSE(CONTROL!$C$23, $C$12, 100%, $E$12)</f>
        <v>3.3755999999999999</v>
      </c>
      <c r="M49" s="66">
        <f>3.3805 * CHOOSE(CONTROL!$C$23, $C$12, 100%, $E$12)</f>
        <v>3.3805000000000001</v>
      </c>
      <c r="N49" s="66">
        <f>3.3756 * CHOOSE(CONTROL!$C$23, $C$12, 100%, $E$12)</f>
        <v>3.3755999999999999</v>
      </c>
      <c r="O49" s="66">
        <f>3.3805 * CHOOSE(CONTROL!$C$23, $C$12, 100%, $E$12)</f>
        <v>3.3805000000000001</v>
      </c>
      <c r="P49" s="4"/>
      <c r="Q49" s="4"/>
      <c r="R49" s="4"/>
    </row>
    <row r="50" spans="1:18" ht="15">
      <c r="A50" s="13">
        <v>42675</v>
      </c>
      <c r="B50" s="65">
        <f>2.918 * CHOOSE(CONTROL!$C$23, $C$12, 100%, $E$12)</f>
        <v>2.9180000000000001</v>
      </c>
      <c r="C50" s="65">
        <f>2.918 * CHOOSE(CONTROL!$C$23, $C$12, 100%, $E$12)</f>
        <v>2.9180000000000001</v>
      </c>
      <c r="D50" s="65">
        <f>2.922 * CHOOSE(CONTROL!$C$23, $C$12, 100%, $E$12)</f>
        <v>2.9220000000000002</v>
      </c>
      <c r="E50" s="66">
        <f>3.402 * CHOOSE(CONTROL!$C$23, $C$12, 100%, $E$12)</f>
        <v>3.4020000000000001</v>
      </c>
      <c r="F50" s="66">
        <f>3.446 * CHOOSE(CONTROL!$C$23, $C$12, 100%, $E$12)</f>
        <v>3.4460000000000002</v>
      </c>
      <c r="G50" s="66">
        <f>3.4509 * CHOOSE(CONTROL!$C$23, $C$12, 100%, $E$12)</f>
        <v>3.4508999999999999</v>
      </c>
      <c r="H50" s="66">
        <f>6.3326* CHOOSE(CONTROL!$C$23, $C$12, 100%, $E$12)</f>
        <v>6.3326000000000002</v>
      </c>
      <c r="I50" s="66">
        <f>6.3375 * CHOOSE(CONTROL!$C$23, $C$12, 100%, $E$12)</f>
        <v>6.3375000000000004</v>
      </c>
      <c r="J50" s="66">
        <f>6.3326 * CHOOSE(CONTROL!$C$23, $C$12, 100%, $E$12)</f>
        <v>6.3326000000000002</v>
      </c>
      <c r="K50" s="66">
        <f>6.3375 * CHOOSE(CONTROL!$C$23, $C$12, 100%, $E$12)</f>
        <v>6.3375000000000004</v>
      </c>
      <c r="L50" s="66">
        <f>3.402 * CHOOSE(CONTROL!$C$23, $C$12, 100%, $E$12)</f>
        <v>3.4020000000000001</v>
      </c>
      <c r="M50" s="66">
        <f>3.4069 * CHOOSE(CONTROL!$C$23, $C$12, 100%, $E$12)</f>
        <v>3.4068999999999998</v>
      </c>
      <c r="N50" s="66">
        <f>3.402 * CHOOSE(CONTROL!$C$23, $C$12, 100%, $E$12)</f>
        <v>3.4020000000000001</v>
      </c>
      <c r="O50" s="66">
        <f>3.4069 * CHOOSE(CONTROL!$C$23, $C$12, 100%, $E$12)</f>
        <v>3.4068999999999998</v>
      </c>
      <c r="P50" s="4"/>
      <c r="Q50" s="4"/>
      <c r="R50" s="4"/>
    </row>
    <row r="51" spans="1:18" ht="15">
      <c r="A51" s="13">
        <v>42705</v>
      </c>
      <c r="B51" s="65">
        <f>2.921 * CHOOSE(CONTROL!$C$23, $C$12, 100%, $E$12)</f>
        <v>2.9209999999999998</v>
      </c>
      <c r="C51" s="65">
        <f>2.921 * CHOOSE(CONTROL!$C$23, $C$12, 100%, $E$12)</f>
        <v>2.9209999999999998</v>
      </c>
      <c r="D51" s="65">
        <f>2.925 * CHOOSE(CONTROL!$C$23, $C$12, 100%, $E$12)</f>
        <v>2.9249999999999998</v>
      </c>
      <c r="E51" s="66">
        <f>3.446 * CHOOSE(CONTROL!$C$23, $C$12, 100%, $E$12)</f>
        <v>3.4460000000000002</v>
      </c>
      <c r="F51" s="66">
        <f>3.446 * CHOOSE(CONTROL!$C$23, $C$12, 100%, $E$12)</f>
        <v>3.4460000000000002</v>
      </c>
      <c r="G51" s="66">
        <f>3.4509 * CHOOSE(CONTROL!$C$23, $C$12, 100%, $E$12)</f>
        <v>3.4508999999999999</v>
      </c>
      <c r="H51" s="66">
        <f>6.3458* CHOOSE(CONTROL!$C$23, $C$12, 100%, $E$12)</f>
        <v>6.3457999999999997</v>
      </c>
      <c r="I51" s="66">
        <f>6.3507 * CHOOSE(CONTROL!$C$23, $C$12, 100%, $E$12)</f>
        <v>6.3506999999999998</v>
      </c>
      <c r="J51" s="66">
        <f>6.3458 * CHOOSE(CONTROL!$C$23, $C$12, 100%, $E$12)</f>
        <v>6.3457999999999997</v>
      </c>
      <c r="K51" s="66">
        <f>6.3507 * CHOOSE(CONTROL!$C$23, $C$12, 100%, $E$12)</f>
        <v>6.3506999999999998</v>
      </c>
      <c r="L51" s="66">
        <f>3.446 * CHOOSE(CONTROL!$C$23, $C$12, 100%, $E$12)</f>
        <v>3.4460000000000002</v>
      </c>
      <c r="M51" s="66">
        <f>3.4509 * CHOOSE(CONTROL!$C$23, $C$12, 100%, $E$12)</f>
        <v>3.4508999999999999</v>
      </c>
      <c r="N51" s="66">
        <f>3.446 * CHOOSE(CONTROL!$C$23, $C$12, 100%, $E$12)</f>
        <v>3.4460000000000002</v>
      </c>
      <c r="O51" s="66">
        <f>3.4509 * CHOOSE(CONTROL!$C$23, $C$12, 100%, $E$12)</f>
        <v>3.4508999999999999</v>
      </c>
      <c r="P51" s="4"/>
      <c r="Q51" s="4"/>
      <c r="R51" s="4"/>
    </row>
    <row r="52" spans="1:18" ht="15">
      <c r="A52" s="13">
        <v>42736</v>
      </c>
      <c r="B52" s="65">
        <f>2.9632 * CHOOSE(CONTROL!$C$23, $C$12, 100%, $E$12)</f>
        <v>2.9632000000000001</v>
      </c>
      <c r="C52" s="65">
        <f>2.9632 * CHOOSE(CONTROL!$C$23, $C$12, 100%, $E$12)</f>
        <v>2.9632000000000001</v>
      </c>
      <c r="D52" s="65">
        <f>2.9672 * CHOOSE(CONTROL!$C$23, $C$12, 100%, $E$12)</f>
        <v>2.9672000000000001</v>
      </c>
      <c r="E52" s="66">
        <f>3.5517 * CHOOSE(CONTROL!$C$23, $C$12, 100%, $E$12)</f>
        <v>3.5516999999999999</v>
      </c>
      <c r="F52" s="66">
        <f>3.5517 * CHOOSE(CONTROL!$C$23, $C$12, 100%, $E$12)</f>
        <v>3.5516999999999999</v>
      </c>
      <c r="G52" s="66">
        <f>3.5566 * CHOOSE(CONTROL!$C$23, $C$12, 100%, $E$12)</f>
        <v>3.5566</v>
      </c>
      <c r="H52" s="66">
        <f>6.359* CHOOSE(CONTROL!$C$23, $C$12, 100%, $E$12)</f>
        <v>6.359</v>
      </c>
      <c r="I52" s="66">
        <f>6.3639 * CHOOSE(CONTROL!$C$23, $C$12, 100%, $E$12)</f>
        <v>6.3639000000000001</v>
      </c>
      <c r="J52" s="66">
        <f>6.359 * CHOOSE(CONTROL!$C$23, $C$12, 100%, $E$12)</f>
        <v>6.359</v>
      </c>
      <c r="K52" s="66">
        <f>6.3639 * CHOOSE(CONTROL!$C$23, $C$12, 100%, $E$12)</f>
        <v>6.3639000000000001</v>
      </c>
      <c r="L52" s="66">
        <f>3.5517 * CHOOSE(CONTROL!$C$23, $C$12, 100%, $E$12)</f>
        <v>3.5516999999999999</v>
      </c>
      <c r="M52" s="66">
        <f>3.5566 * CHOOSE(CONTROL!$C$23, $C$12, 100%, $E$12)</f>
        <v>3.5566</v>
      </c>
      <c r="N52" s="66">
        <f>3.5517 * CHOOSE(CONTROL!$C$23, $C$12, 100%, $E$12)</f>
        <v>3.5516999999999999</v>
      </c>
      <c r="O52" s="66">
        <f>3.5566 * CHOOSE(CONTROL!$C$23, $C$12, 100%, $E$12)</f>
        <v>3.5566</v>
      </c>
      <c r="P52" s="4"/>
      <c r="Q52" s="4"/>
      <c r="R52" s="4"/>
    </row>
    <row r="53" spans="1:18" ht="15">
      <c r="A53" s="13">
        <v>42767</v>
      </c>
      <c r="B53" s="65">
        <f>2.9601 * CHOOSE(CONTROL!$C$23, $C$12, 100%, $E$12)</f>
        <v>2.9601000000000002</v>
      </c>
      <c r="C53" s="65">
        <f>2.9601 * CHOOSE(CONTROL!$C$23, $C$12, 100%, $E$12)</f>
        <v>2.9601000000000002</v>
      </c>
      <c r="D53" s="65">
        <f>2.9641 * CHOOSE(CONTROL!$C$23, $C$12, 100%, $E$12)</f>
        <v>2.9641000000000002</v>
      </c>
      <c r="E53" s="66">
        <f>3.521 * CHOOSE(CONTROL!$C$23, $C$12, 100%, $E$12)</f>
        <v>3.5209999999999999</v>
      </c>
      <c r="F53" s="66">
        <f>3.521 * CHOOSE(CONTROL!$C$23, $C$12, 100%, $E$12)</f>
        <v>3.5209999999999999</v>
      </c>
      <c r="G53" s="66">
        <f>3.5259 * CHOOSE(CONTROL!$C$23, $C$12, 100%, $E$12)</f>
        <v>3.5259</v>
      </c>
      <c r="H53" s="66">
        <f>6.3723* CHOOSE(CONTROL!$C$23, $C$12, 100%, $E$12)</f>
        <v>6.3723000000000001</v>
      </c>
      <c r="I53" s="66">
        <f>6.3772 * CHOOSE(CONTROL!$C$23, $C$12, 100%, $E$12)</f>
        <v>6.3772000000000002</v>
      </c>
      <c r="J53" s="66">
        <f>6.3723 * CHOOSE(CONTROL!$C$23, $C$12, 100%, $E$12)</f>
        <v>6.3723000000000001</v>
      </c>
      <c r="K53" s="66">
        <f>6.3772 * CHOOSE(CONTROL!$C$23, $C$12, 100%, $E$12)</f>
        <v>6.3772000000000002</v>
      </c>
      <c r="L53" s="66">
        <f>3.521 * CHOOSE(CONTROL!$C$23, $C$12, 100%, $E$12)</f>
        <v>3.5209999999999999</v>
      </c>
      <c r="M53" s="66">
        <f>3.5259 * CHOOSE(CONTROL!$C$23, $C$12, 100%, $E$12)</f>
        <v>3.5259</v>
      </c>
      <c r="N53" s="66">
        <f>3.521 * CHOOSE(CONTROL!$C$23, $C$12, 100%, $E$12)</f>
        <v>3.5209999999999999</v>
      </c>
      <c r="O53" s="66">
        <f>3.5259 * CHOOSE(CONTROL!$C$23, $C$12, 100%, $E$12)</f>
        <v>3.5259</v>
      </c>
      <c r="P53" s="4"/>
      <c r="Q53" s="4"/>
      <c r="R53" s="4"/>
    </row>
    <row r="54" spans="1:18" ht="15">
      <c r="A54" s="13">
        <v>42795</v>
      </c>
      <c r="B54" s="65">
        <f>2.9571 * CHOOSE(CONTROL!$C$23, $C$12, 100%, $E$12)</f>
        <v>2.9571000000000001</v>
      </c>
      <c r="C54" s="65">
        <f>2.9571 * CHOOSE(CONTROL!$C$23, $C$12, 100%, $E$12)</f>
        <v>2.9571000000000001</v>
      </c>
      <c r="D54" s="65">
        <f>2.9611 * CHOOSE(CONTROL!$C$23, $C$12, 100%, $E$12)</f>
        <v>2.9611000000000001</v>
      </c>
      <c r="E54" s="66">
        <f>3.5414 * CHOOSE(CONTROL!$C$23, $C$12, 100%, $E$12)</f>
        <v>3.5413999999999999</v>
      </c>
      <c r="F54" s="66">
        <f>3.5414 * CHOOSE(CONTROL!$C$23, $C$12, 100%, $E$12)</f>
        <v>3.5413999999999999</v>
      </c>
      <c r="G54" s="66">
        <f>3.5463 * CHOOSE(CONTROL!$C$23, $C$12, 100%, $E$12)</f>
        <v>3.5463</v>
      </c>
      <c r="H54" s="66">
        <f>6.3855* CHOOSE(CONTROL!$C$23, $C$12, 100%, $E$12)</f>
        <v>6.3855000000000004</v>
      </c>
      <c r="I54" s="66">
        <f>6.3905 * CHOOSE(CONTROL!$C$23, $C$12, 100%, $E$12)</f>
        <v>6.3905000000000003</v>
      </c>
      <c r="J54" s="66">
        <f>6.3855 * CHOOSE(CONTROL!$C$23, $C$12, 100%, $E$12)</f>
        <v>6.3855000000000004</v>
      </c>
      <c r="K54" s="66">
        <f>6.3905 * CHOOSE(CONTROL!$C$23, $C$12, 100%, $E$12)</f>
        <v>6.3905000000000003</v>
      </c>
      <c r="L54" s="66">
        <f>3.5414 * CHOOSE(CONTROL!$C$23, $C$12, 100%, $E$12)</f>
        <v>3.5413999999999999</v>
      </c>
      <c r="M54" s="66">
        <f>3.5463 * CHOOSE(CONTROL!$C$23, $C$12, 100%, $E$12)</f>
        <v>3.5463</v>
      </c>
      <c r="N54" s="66">
        <f>3.5414 * CHOOSE(CONTROL!$C$23, $C$12, 100%, $E$12)</f>
        <v>3.5413999999999999</v>
      </c>
      <c r="O54" s="66">
        <f>3.5463 * CHOOSE(CONTROL!$C$23, $C$12, 100%, $E$12)</f>
        <v>3.5463</v>
      </c>
      <c r="P54" s="4"/>
      <c r="Q54" s="4"/>
      <c r="R54" s="4"/>
    </row>
    <row r="55" spans="1:18" ht="15">
      <c r="A55" s="13">
        <v>42826</v>
      </c>
      <c r="B55" s="65">
        <f>2.9537 * CHOOSE(CONTROL!$C$23, $C$12, 100%, $E$12)</f>
        <v>2.9537</v>
      </c>
      <c r="C55" s="65">
        <f>2.9537 * CHOOSE(CONTROL!$C$23, $C$12, 100%, $E$12)</f>
        <v>2.9537</v>
      </c>
      <c r="D55" s="65">
        <f>2.9577 * CHOOSE(CONTROL!$C$23, $C$12, 100%, $E$12)</f>
        <v>2.9577</v>
      </c>
      <c r="E55" s="66">
        <f>3.5613 * CHOOSE(CONTROL!$C$23, $C$12, 100%, $E$12)</f>
        <v>3.5613000000000001</v>
      </c>
      <c r="F55" s="66">
        <f>3.5613 * CHOOSE(CONTROL!$C$23, $C$12, 100%, $E$12)</f>
        <v>3.5613000000000001</v>
      </c>
      <c r="G55" s="66">
        <f>3.5662 * CHOOSE(CONTROL!$C$23, $C$12, 100%, $E$12)</f>
        <v>3.5661999999999998</v>
      </c>
      <c r="H55" s="66">
        <f>6.3988* CHOOSE(CONTROL!$C$23, $C$12, 100%, $E$12)</f>
        <v>6.3987999999999996</v>
      </c>
      <c r="I55" s="66">
        <f>6.4038 * CHOOSE(CONTROL!$C$23, $C$12, 100%, $E$12)</f>
        <v>6.4038000000000004</v>
      </c>
      <c r="J55" s="66">
        <f>6.3988 * CHOOSE(CONTROL!$C$23, $C$12, 100%, $E$12)</f>
        <v>6.3987999999999996</v>
      </c>
      <c r="K55" s="66">
        <f>6.4038 * CHOOSE(CONTROL!$C$23, $C$12, 100%, $E$12)</f>
        <v>6.4038000000000004</v>
      </c>
      <c r="L55" s="66">
        <f>3.5613 * CHOOSE(CONTROL!$C$23, $C$12, 100%, $E$12)</f>
        <v>3.5613000000000001</v>
      </c>
      <c r="M55" s="66">
        <f>3.5662 * CHOOSE(CONTROL!$C$23, $C$12, 100%, $E$12)</f>
        <v>3.5661999999999998</v>
      </c>
      <c r="N55" s="66">
        <f>3.5613 * CHOOSE(CONTROL!$C$23, $C$12, 100%, $E$12)</f>
        <v>3.5613000000000001</v>
      </c>
      <c r="O55" s="66">
        <f>3.5662 * CHOOSE(CONTROL!$C$23, $C$12, 100%, $E$12)</f>
        <v>3.5661999999999998</v>
      </c>
      <c r="P55" s="4"/>
      <c r="Q55" s="4"/>
      <c r="R55" s="4"/>
    </row>
    <row r="56" spans="1:18" ht="15">
      <c r="A56" s="13">
        <v>42856</v>
      </c>
      <c r="B56" s="65">
        <f>2.9537 * CHOOSE(CONTROL!$C$23, $C$12, 100%, $E$12)</f>
        <v>2.9537</v>
      </c>
      <c r="C56" s="65">
        <f>2.9537 * CHOOSE(CONTROL!$C$23, $C$12, 100%, $E$12)</f>
        <v>2.9537</v>
      </c>
      <c r="D56" s="65">
        <f>2.9593 * CHOOSE(CONTROL!$C$23, $C$12, 100%, $E$12)</f>
        <v>2.9592999999999998</v>
      </c>
      <c r="E56" s="66">
        <f>3.5704 * CHOOSE(CONTROL!$C$23, $C$12, 100%, $E$12)</f>
        <v>3.5703999999999998</v>
      </c>
      <c r="F56" s="66">
        <f>3.5704 * CHOOSE(CONTROL!$C$23, $C$12, 100%, $E$12)</f>
        <v>3.5703999999999998</v>
      </c>
      <c r="G56" s="66">
        <f>3.5773 * CHOOSE(CONTROL!$C$23, $C$12, 100%, $E$12)</f>
        <v>3.5773000000000001</v>
      </c>
      <c r="H56" s="66">
        <f>6.4122* CHOOSE(CONTROL!$C$23, $C$12, 100%, $E$12)</f>
        <v>6.4122000000000003</v>
      </c>
      <c r="I56" s="66">
        <f>6.4191 * CHOOSE(CONTROL!$C$23, $C$12, 100%, $E$12)</f>
        <v>6.4191000000000003</v>
      </c>
      <c r="J56" s="66">
        <f>6.4122 * CHOOSE(CONTROL!$C$23, $C$12, 100%, $E$12)</f>
        <v>6.4122000000000003</v>
      </c>
      <c r="K56" s="66">
        <f>6.4191 * CHOOSE(CONTROL!$C$23, $C$12, 100%, $E$12)</f>
        <v>6.4191000000000003</v>
      </c>
      <c r="L56" s="66">
        <f>3.5704 * CHOOSE(CONTROL!$C$23, $C$12, 100%, $E$12)</f>
        <v>3.5703999999999998</v>
      </c>
      <c r="M56" s="66">
        <f>3.5773 * CHOOSE(CONTROL!$C$23, $C$12, 100%, $E$12)</f>
        <v>3.5773000000000001</v>
      </c>
      <c r="N56" s="66">
        <f>3.5704 * CHOOSE(CONTROL!$C$23, $C$12, 100%, $E$12)</f>
        <v>3.5703999999999998</v>
      </c>
      <c r="O56" s="66">
        <f>3.5773 * CHOOSE(CONTROL!$C$23, $C$12, 100%, $E$12)</f>
        <v>3.5773000000000001</v>
      </c>
      <c r="P56" s="4"/>
      <c r="Q56" s="4"/>
      <c r="R56" s="4"/>
    </row>
    <row r="57" spans="1:18" ht="15">
      <c r="A57" s="13">
        <v>42887</v>
      </c>
      <c r="B57" s="65">
        <f>2.9598 * CHOOSE(CONTROL!$C$23, $C$12, 100%, $E$12)</f>
        <v>2.9598</v>
      </c>
      <c r="C57" s="65">
        <f>2.9598 * CHOOSE(CONTROL!$C$23, $C$12, 100%, $E$12)</f>
        <v>2.9598</v>
      </c>
      <c r="D57" s="65">
        <f>2.9654 * CHOOSE(CONTROL!$C$23, $C$12, 100%, $E$12)</f>
        <v>2.9653999999999998</v>
      </c>
      <c r="E57" s="66">
        <f>3.5655 * CHOOSE(CONTROL!$C$23, $C$12, 100%, $E$12)</f>
        <v>3.5655000000000001</v>
      </c>
      <c r="F57" s="66">
        <f>3.5655 * CHOOSE(CONTROL!$C$23, $C$12, 100%, $E$12)</f>
        <v>3.5655000000000001</v>
      </c>
      <c r="G57" s="66">
        <f>3.5724 * CHOOSE(CONTROL!$C$23, $C$12, 100%, $E$12)</f>
        <v>3.5724</v>
      </c>
      <c r="H57" s="66">
        <f>6.4255* CHOOSE(CONTROL!$C$23, $C$12, 100%, $E$12)</f>
        <v>6.4255000000000004</v>
      </c>
      <c r="I57" s="66">
        <f>6.4324 * CHOOSE(CONTROL!$C$23, $C$12, 100%, $E$12)</f>
        <v>6.4324000000000003</v>
      </c>
      <c r="J57" s="66">
        <f>6.4255 * CHOOSE(CONTROL!$C$23, $C$12, 100%, $E$12)</f>
        <v>6.4255000000000004</v>
      </c>
      <c r="K57" s="66">
        <f>6.4324 * CHOOSE(CONTROL!$C$23, $C$12, 100%, $E$12)</f>
        <v>6.4324000000000003</v>
      </c>
      <c r="L57" s="66">
        <f>3.5655 * CHOOSE(CONTROL!$C$23, $C$12, 100%, $E$12)</f>
        <v>3.5655000000000001</v>
      </c>
      <c r="M57" s="66">
        <f>3.5724 * CHOOSE(CONTROL!$C$23, $C$12, 100%, $E$12)</f>
        <v>3.5724</v>
      </c>
      <c r="N57" s="66">
        <f>3.5655 * CHOOSE(CONTROL!$C$23, $C$12, 100%, $E$12)</f>
        <v>3.5655000000000001</v>
      </c>
      <c r="O57" s="66">
        <f>3.5724 * CHOOSE(CONTROL!$C$23, $C$12, 100%, $E$12)</f>
        <v>3.5724</v>
      </c>
      <c r="P57" s="4"/>
      <c r="Q57" s="4"/>
      <c r="R57" s="4"/>
    </row>
    <row r="58" spans="1:18" ht="15">
      <c r="A58" s="13">
        <v>42917</v>
      </c>
      <c r="B58" s="65">
        <f>3.0475 * CHOOSE(CONTROL!$C$23, $C$12, 100%, $E$12)</f>
        <v>3.0474999999999999</v>
      </c>
      <c r="C58" s="65">
        <f>3.0475 * CHOOSE(CONTROL!$C$23, $C$12, 100%, $E$12)</f>
        <v>3.0474999999999999</v>
      </c>
      <c r="D58" s="65">
        <f>3.0532 * CHOOSE(CONTROL!$C$23, $C$12, 100%, $E$12)</f>
        <v>3.0531999999999999</v>
      </c>
      <c r="E58" s="66">
        <f>3.6468 * CHOOSE(CONTROL!$C$23, $C$12, 100%, $E$12)</f>
        <v>3.6467999999999998</v>
      </c>
      <c r="F58" s="66">
        <f>3.6468 * CHOOSE(CONTROL!$C$23, $C$12, 100%, $E$12)</f>
        <v>3.6467999999999998</v>
      </c>
      <c r="G58" s="66">
        <f>3.6537 * CHOOSE(CONTROL!$C$23, $C$12, 100%, $E$12)</f>
        <v>3.6537000000000002</v>
      </c>
      <c r="H58" s="66">
        <f>6.4389* CHOOSE(CONTROL!$C$23, $C$12, 100%, $E$12)</f>
        <v>6.4389000000000003</v>
      </c>
      <c r="I58" s="66">
        <f>6.4458 * CHOOSE(CONTROL!$C$23, $C$12, 100%, $E$12)</f>
        <v>6.4458000000000002</v>
      </c>
      <c r="J58" s="66">
        <f>6.4389 * CHOOSE(CONTROL!$C$23, $C$12, 100%, $E$12)</f>
        <v>6.4389000000000003</v>
      </c>
      <c r="K58" s="66">
        <f>6.4458 * CHOOSE(CONTROL!$C$23, $C$12, 100%, $E$12)</f>
        <v>6.4458000000000002</v>
      </c>
      <c r="L58" s="66">
        <f>3.6468 * CHOOSE(CONTROL!$C$23, $C$12, 100%, $E$12)</f>
        <v>3.6467999999999998</v>
      </c>
      <c r="M58" s="66">
        <f>3.6537 * CHOOSE(CONTROL!$C$23, $C$12, 100%, $E$12)</f>
        <v>3.6537000000000002</v>
      </c>
      <c r="N58" s="66">
        <f>3.6468 * CHOOSE(CONTROL!$C$23, $C$12, 100%, $E$12)</f>
        <v>3.6467999999999998</v>
      </c>
      <c r="O58" s="66">
        <f>3.6537 * CHOOSE(CONTROL!$C$23, $C$12, 100%, $E$12)</f>
        <v>3.6537000000000002</v>
      </c>
      <c r="P58" s="4"/>
      <c r="Q58" s="4"/>
      <c r="R58" s="4"/>
    </row>
    <row r="59" spans="1:18" ht="15">
      <c r="A59" s="13">
        <v>42948</v>
      </c>
      <c r="B59" s="65">
        <f>3.0542 * CHOOSE(CONTROL!$C$23, $C$12, 100%, $E$12)</f>
        <v>3.0541999999999998</v>
      </c>
      <c r="C59" s="65">
        <f>3.0542 * CHOOSE(CONTROL!$C$23, $C$12, 100%, $E$12)</f>
        <v>3.0541999999999998</v>
      </c>
      <c r="D59" s="65">
        <f>3.0599 * CHOOSE(CONTROL!$C$23, $C$12, 100%, $E$12)</f>
        <v>3.0598999999999998</v>
      </c>
      <c r="E59" s="66">
        <f>3.6242 * CHOOSE(CONTROL!$C$23, $C$12, 100%, $E$12)</f>
        <v>3.6242000000000001</v>
      </c>
      <c r="F59" s="66">
        <f>3.6242 * CHOOSE(CONTROL!$C$23, $C$12, 100%, $E$12)</f>
        <v>3.6242000000000001</v>
      </c>
      <c r="G59" s="66">
        <f>3.6311 * CHOOSE(CONTROL!$C$23, $C$12, 100%, $E$12)</f>
        <v>3.6311</v>
      </c>
      <c r="H59" s="66">
        <f>6.4523* CHOOSE(CONTROL!$C$23, $C$12, 100%, $E$12)</f>
        <v>6.4523000000000001</v>
      </c>
      <c r="I59" s="66">
        <f>6.4592 * CHOOSE(CONTROL!$C$23, $C$12, 100%, $E$12)</f>
        <v>6.4592000000000001</v>
      </c>
      <c r="J59" s="66">
        <f>6.4523 * CHOOSE(CONTROL!$C$23, $C$12, 100%, $E$12)</f>
        <v>6.4523000000000001</v>
      </c>
      <c r="K59" s="66">
        <f>6.4592 * CHOOSE(CONTROL!$C$23, $C$12, 100%, $E$12)</f>
        <v>6.4592000000000001</v>
      </c>
      <c r="L59" s="66">
        <f>3.6242 * CHOOSE(CONTROL!$C$23, $C$12, 100%, $E$12)</f>
        <v>3.6242000000000001</v>
      </c>
      <c r="M59" s="66">
        <f>3.6311 * CHOOSE(CONTROL!$C$23, $C$12, 100%, $E$12)</f>
        <v>3.6311</v>
      </c>
      <c r="N59" s="66">
        <f>3.6242 * CHOOSE(CONTROL!$C$23, $C$12, 100%, $E$12)</f>
        <v>3.6242000000000001</v>
      </c>
      <c r="O59" s="66">
        <f>3.6311 * CHOOSE(CONTROL!$C$23, $C$12, 100%, $E$12)</f>
        <v>3.6311</v>
      </c>
      <c r="P59" s="4"/>
      <c r="Q59" s="4"/>
      <c r="R59" s="4"/>
    </row>
    <row r="60" spans="1:18" ht="15">
      <c r="A60" s="13">
        <v>42979</v>
      </c>
      <c r="B60" s="65">
        <f>3.0512 * CHOOSE(CONTROL!$C$23, $C$12, 100%, $E$12)</f>
        <v>3.0512000000000001</v>
      </c>
      <c r="C60" s="65">
        <f>3.0512 * CHOOSE(CONTROL!$C$23, $C$12, 100%, $E$12)</f>
        <v>3.0512000000000001</v>
      </c>
      <c r="D60" s="65">
        <f>3.0568 * CHOOSE(CONTROL!$C$23, $C$12, 100%, $E$12)</f>
        <v>3.0568</v>
      </c>
      <c r="E60" s="66">
        <f>3.6191 * CHOOSE(CONTROL!$C$23, $C$12, 100%, $E$12)</f>
        <v>3.6191</v>
      </c>
      <c r="F60" s="66">
        <f>3.6191 * CHOOSE(CONTROL!$C$23, $C$12, 100%, $E$12)</f>
        <v>3.6191</v>
      </c>
      <c r="G60" s="66">
        <f>3.626 * CHOOSE(CONTROL!$C$23, $C$12, 100%, $E$12)</f>
        <v>3.6259999999999999</v>
      </c>
      <c r="H60" s="66">
        <f>6.4658* CHOOSE(CONTROL!$C$23, $C$12, 100%, $E$12)</f>
        <v>6.4657999999999998</v>
      </c>
      <c r="I60" s="66">
        <f>6.4727 * CHOOSE(CONTROL!$C$23, $C$12, 100%, $E$12)</f>
        <v>6.4726999999999997</v>
      </c>
      <c r="J60" s="66">
        <f>6.4658 * CHOOSE(CONTROL!$C$23, $C$12, 100%, $E$12)</f>
        <v>6.4657999999999998</v>
      </c>
      <c r="K60" s="66">
        <f>6.4727 * CHOOSE(CONTROL!$C$23, $C$12, 100%, $E$12)</f>
        <v>6.4726999999999997</v>
      </c>
      <c r="L60" s="66">
        <f>3.6191 * CHOOSE(CONTROL!$C$23, $C$12, 100%, $E$12)</f>
        <v>3.6191</v>
      </c>
      <c r="M60" s="66">
        <f>3.626 * CHOOSE(CONTROL!$C$23, $C$12, 100%, $E$12)</f>
        <v>3.6259999999999999</v>
      </c>
      <c r="N60" s="66">
        <f>3.6191 * CHOOSE(CONTROL!$C$23, $C$12, 100%, $E$12)</f>
        <v>3.6191</v>
      </c>
      <c r="O60" s="66">
        <f>3.626 * CHOOSE(CONTROL!$C$23, $C$12, 100%, $E$12)</f>
        <v>3.6259999999999999</v>
      </c>
      <c r="P60" s="4"/>
      <c r="Q60" s="4"/>
      <c r="R60" s="4"/>
    </row>
    <row r="61" spans="1:18" ht="15">
      <c r="A61" s="13">
        <v>43009</v>
      </c>
      <c r="B61" s="65">
        <f>3.0423 * CHOOSE(CONTROL!$C$23, $C$12, 100%, $E$12)</f>
        <v>3.0423</v>
      </c>
      <c r="C61" s="65">
        <f>3.0423 * CHOOSE(CONTROL!$C$23, $C$12, 100%, $E$12)</f>
        <v>3.0423</v>
      </c>
      <c r="D61" s="65">
        <f>3.0463 * CHOOSE(CONTROL!$C$23, $C$12, 100%, $E$12)</f>
        <v>3.0463</v>
      </c>
      <c r="E61" s="66">
        <f>3.6178 * CHOOSE(CONTROL!$C$23, $C$12, 100%, $E$12)</f>
        <v>3.6177999999999999</v>
      </c>
      <c r="F61" s="66">
        <f>3.6178 * CHOOSE(CONTROL!$C$23, $C$12, 100%, $E$12)</f>
        <v>3.6177999999999999</v>
      </c>
      <c r="G61" s="66">
        <f>3.6227 * CHOOSE(CONTROL!$C$23, $C$12, 100%, $E$12)</f>
        <v>3.6227</v>
      </c>
      <c r="H61" s="66">
        <f>6.4793* CHOOSE(CONTROL!$C$23, $C$12, 100%, $E$12)</f>
        <v>6.4793000000000003</v>
      </c>
      <c r="I61" s="66">
        <f>6.4842 * CHOOSE(CONTROL!$C$23, $C$12, 100%, $E$12)</f>
        <v>6.4842000000000004</v>
      </c>
      <c r="J61" s="66">
        <f>6.4793 * CHOOSE(CONTROL!$C$23, $C$12, 100%, $E$12)</f>
        <v>6.4793000000000003</v>
      </c>
      <c r="K61" s="66">
        <f>6.4842 * CHOOSE(CONTROL!$C$23, $C$12, 100%, $E$12)</f>
        <v>6.4842000000000004</v>
      </c>
      <c r="L61" s="66">
        <f>3.6178 * CHOOSE(CONTROL!$C$23, $C$12, 100%, $E$12)</f>
        <v>3.6177999999999999</v>
      </c>
      <c r="M61" s="66">
        <f>3.6227 * CHOOSE(CONTROL!$C$23, $C$12, 100%, $E$12)</f>
        <v>3.6227</v>
      </c>
      <c r="N61" s="66">
        <f>3.6178 * CHOOSE(CONTROL!$C$23, $C$12, 100%, $E$12)</f>
        <v>3.6177999999999999</v>
      </c>
      <c r="O61" s="66">
        <f>3.6227 * CHOOSE(CONTROL!$C$23, $C$12, 100%, $E$12)</f>
        <v>3.6227</v>
      </c>
      <c r="P61" s="4"/>
      <c r="Q61" s="4"/>
      <c r="R61" s="4"/>
    </row>
    <row r="62" spans="1:18" ht="15">
      <c r="A62" s="13">
        <v>43040</v>
      </c>
      <c r="B62" s="65">
        <f>3.0454 * CHOOSE(CONTROL!$C$23, $C$12, 100%, $E$12)</f>
        <v>3.0453999999999999</v>
      </c>
      <c r="C62" s="65">
        <f>3.0454 * CHOOSE(CONTROL!$C$23, $C$12, 100%, $E$12)</f>
        <v>3.0453999999999999</v>
      </c>
      <c r="D62" s="65">
        <f>3.0494 * CHOOSE(CONTROL!$C$23, $C$12, 100%, $E$12)</f>
        <v>3.0493999999999999</v>
      </c>
      <c r="E62" s="66">
        <f>3.6259 * CHOOSE(CONTROL!$C$23, $C$12, 100%, $E$12)</f>
        <v>3.6259000000000001</v>
      </c>
      <c r="F62" s="66">
        <f>3.6259 * CHOOSE(CONTROL!$C$23, $C$12, 100%, $E$12)</f>
        <v>3.6259000000000001</v>
      </c>
      <c r="G62" s="66">
        <f>3.6308 * CHOOSE(CONTROL!$C$23, $C$12, 100%, $E$12)</f>
        <v>3.6307999999999998</v>
      </c>
      <c r="H62" s="66">
        <f>6.4927* CHOOSE(CONTROL!$C$23, $C$12, 100%, $E$12)</f>
        <v>6.4927000000000001</v>
      </c>
      <c r="I62" s="66">
        <f>6.4977 * CHOOSE(CONTROL!$C$23, $C$12, 100%, $E$12)</f>
        <v>6.4977</v>
      </c>
      <c r="J62" s="66">
        <f>6.4927 * CHOOSE(CONTROL!$C$23, $C$12, 100%, $E$12)</f>
        <v>6.4927000000000001</v>
      </c>
      <c r="K62" s="66">
        <f>6.4977 * CHOOSE(CONTROL!$C$23, $C$12, 100%, $E$12)</f>
        <v>6.4977</v>
      </c>
      <c r="L62" s="66">
        <f>3.6259 * CHOOSE(CONTROL!$C$23, $C$12, 100%, $E$12)</f>
        <v>3.6259000000000001</v>
      </c>
      <c r="M62" s="66">
        <f>3.6308 * CHOOSE(CONTROL!$C$23, $C$12, 100%, $E$12)</f>
        <v>3.6307999999999998</v>
      </c>
      <c r="N62" s="66">
        <f>3.6259 * CHOOSE(CONTROL!$C$23, $C$12, 100%, $E$12)</f>
        <v>3.6259000000000001</v>
      </c>
      <c r="O62" s="66">
        <f>3.6308 * CHOOSE(CONTROL!$C$23, $C$12, 100%, $E$12)</f>
        <v>3.6307999999999998</v>
      </c>
      <c r="P62" s="4"/>
      <c r="Q62" s="4"/>
      <c r="R62" s="4"/>
    </row>
    <row r="63" spans="1:18" ht="15">
      <c r="A63" s="13">
        <v>43070</v>
      </c>
      <c r="B63" s="65">
        <f>3.0454 * CHOOSE(CONTROL!$C$23, $C$12, 100%, $E$12)</f>
        <v>3.0453999999999999</v>
      </c>
      <c r="C63" s="65">
        <f>3.0454 * CHOOSE(CONTROL!$C$23, $C$12, 100%, $E$12)</f>
        <v>3.0453999999999999</v>
      </c>
      <c r="D63" s="65">
        <f>3.0494 * CHOOSE(CONTROL!$C$23, $C$12, 100%, $E$12)</f>
        <v>3.0493999999999999</v>
      </c>
      <c r="E63" s="66">
        <f>3.6108 * CHOOSE(CONTROL!$C$23, $C$12, 100%, $E$12)</f>
        <v>3.6107999999999998</v>
      </c>
      <c r="F63" s="66">
        <f>3.6108 * CHOOSE(CONTROL!$C$23, $C$12, 100%, $E$12)</f>
        <v>3.6107999999999998</v>
      </c>
      <c r="G63" s="66">
        <f>3.6157 * CHOOSE(CONTROL!$C$23, $C$12, 100%, $E$12)</f>
        <v>3.6156999999999999</v>
      </c>
      <c r="H63" s="66">
        <f>6.5063* CHOOSE(CONTROL!$C$23, $C$12, 100%, $E$12)</f>
        <v>6.5063000000000004</v>
      </c>
      <c r="I63" s="66">
        <f>6.5112 * CHOOSE(CONTROL!$C$23, $C$12, 100%, $E$12)</f>
        <v>6.5111999999999997</v>
      </c>
      <c r="J63" s="66">
        <f>6.5063 * CHOOSE(CONTROL!$C$23, $C$12, 100%, $E$12)</f>
        <v>6.5063000000000004</v>
      </c>
      <c r="K63" s="66">
        <f>6.5112 * CHOOSE(CONTROL!$C$23, $C$12, 100%, $E$12)</f>
        <v>6.5111999999999997</v>
      </c>
      <c r="L63" s="66">
        <f>3.6108 * CHOOSE(CONTROL!$C$23, $C$12, 100%, $E$12)</f>
        <v>3.6107999999999998</v>
      </c>
      <c r="M63" s="66">
        <f>3.6157 * CHOOSE(CONTROL!$C$23, $C$12, 100%, $E$12)</f>
        <v>3.6156999999999999</v>
      </c>
      <c r="N63" s="66">
        <f>3.6108 * CHOOSE(CONTROL!$C$23, $C$12, 100%, $E$12)</f>
        <v>3.6107999999999998</v>
      </c>
      <c r="O63" s="66">
        <f>3.6157 * CHOOSE(CONTROL!$C$23, $C$12, 100%, $E$12)</f>
        <v>3.6156999999999999</v>
      </c>
      <c r="P63" s="4"/>
      <c r="Q63" s="4"/>
      <c r="R63" s="4"/>
    </row>
    <row r="64" spans="1:18" ht="15">
      <c r="A64" s="13">
        <v>43101</v>
      </c>
      <c r="B64" s="65">
        <f>3.0799 * CHOOSE(CONTROL!$C$23, $C$12, 100%, $E$12)</f>
        <v>3.0798999999999999</v>
      </c>
      <c r="C64" s="65">
        <f>3.0799 * CHOOSE(CONTROL!$C$23, $C$12, 100%, $E$12)</f>
        <v>3.0798999999999999</v>
      </c>
      <c r="D64" s="65">
        <f>3.0839 * CHOOSE(CONTROL!$C$23, $C$12, 100%, $E$12)</f>
        <v>3.0838999999999999</v>
      </c>
      <c r="E64" s="66">
        <f>3.7211 * CHOOSE(CONTROL!$C$23, $C$12, 100%, $E$12)</f>
        <v>3.7210999999999999</v>
      </c>
      <c r="F64" s="66">
        <f>3.7211 * CHOOSE(CONTROL!$C$23, $C$12, 100%, $E$12)</f>
        <v>3.7210999999999999</v>
      </c>
      <c r="G64" s="66">
        <f>3.726 * CHOOSE(CONTROL!$C$23, $C$12, 100%, $E$12)</f>
        <v>3.726</v>
      </c>
      <c r="H64" s="66">
        <f>6.5198* CHOOSE(CONTROL!$C$23, $C$12, 100%, $E$12)</f>
        <v>6.5198</v>
      </c>
      <c r="I64" s="66">
        <f>6.5248 * CHOOSE(CONTROL!$C$23, $C$12, 100%, $E$12)</f>
        <v>6.5247999999999999</v>
      </c>
      <c r="J64" s="66">
        <f>6.5198 * CHOOSE(CONTROL!$C$23, $C$12, 100%, $E$12)</f>
        <v>6.5198</v>
      </c>
      <c r="K64" s="66">
        <f>6.5248 * CHOOSE(CONTROL!$C$23, $C$12, 100%, $E$12)</f>
        <v>6.5247999999999999</v>
      </c>
      <c r="L64" s="66">
        <f>3.7211 * CHOOSE(CONTROL!$C$23, $C$12, 100%, $E$12)</f>
        <v>3.7210999999999999</v>
      </c>
      <c r="M64" s="66">
        <f>3.726 * CHOOSE(CONTROL!$C$23, $C$12, 100%, $E$12)</f>
        <v>3.726</v>
      </c>
      <c r="N64" s="66">
        <f>3.7211 * CHOOSE(CONTROL!$C$23, $C$12, 100%, $E$12)</f>
        <v>3.7210999999999999</v>
      </c>
      <c r="O64" s="66">
        <f>3.726 * CHOOSE(CONTROL!$C$23, $C$12, 100%, $E$12)</f>
        <v>3.726</v>
      </c>
      <c r="P64" s="4"/>
      <c r="Q64" s="4"/>
      <c r="R64" s="4"/>
    </row>
    <row r="65" spans="1:18" ht="15">
      <c r="A65" s="13">
        <v>43132</v>
      </c>
      <c r="B65" s="65">
        <f>3.0769 * CHOOSE(CONTROL!$C$23, $C$12, 100%, $E$12)</f>
        <v>3.0769000000000002</v>
      </c>
      <c r="C65" s="65">
        <f>3.0769 * CHOOSE(CONTROL!$C$23, $C$12, 100%, $E$12)</f>
        <v>3.0769000000000002</v>
      </c>
      <c r="D65" s="65">
        <f>3.0809 * CHOOSE(CONTROL!$C$23, $C$12, 100%, $E$12)</f>
        <v>3.0809000000000002</v>
      </c>
      <c r="E65" s="66">
        <f>3.6823 * CHOOSE(CONTROL!$C$23, $C$12, 100%, $E$12)</f>
        <v>3.6823000000000001</v>
      </c>
      <c r="F65" s="66">
        <f>3.6823 * CHOOSE(CONTROL!$C$23, $C$12, 100%, $E$12)</f>
        <v>3.6823000000000001</v>
      </c>
      <c r="G65" s="66">
        <f>3.6872 * CHOOSE(CONTROL!$C$23, $C$12, 100%, $E$12)</f>
        <v>3.6871999999999998</v>
      </c>
      <c r="H65" s="66">
        <f>6.5334* CHOOSE(CONTROL!$C$23, $C$12, 100%, $E$12)</f>
        <v>6.5334000000000003</v>
      </c>
      <c r="I65" s="66">
        <f>6.5383 * CHOOSE(CONTROL!$C$23, $C$12, 100%, $E$12)</f>
        <v>6.5382999999999996</v>
      </c>
      <c r="J65" s="66">
        <f>6.5334 * CHOOSE(CONTROL!$C$23, $C$12, 100%, $E$12)</f>
        <v>6.5334000000000003</v>
      </c>
      <c r="K65" s="66">
        <f>6.5383 * CHOOSE(CONTROL!$C$23, $C$12, 100%, $E$12)</f>
        <v>6.5382999999999996</v>
      </c>
      <c r="L65" s="66">
        <f>3.6823 * CHOOSE(CONTROL!$C$23, $C$12, 100%, $E$12)</f>
        <v>3.6823000000000001</v>
      </c>
      <c r="M65" s="66">
        <f>3.6872 * CHOOSE(CONTROL!$C$23, $C$12, 100%, $E$12)</f>
        <v>3.6871999999999998</v>
      </c>
      <c r="N65" s="66">
        <f>3.6823 * CHOOSE(CONTROL!$C$23, $C$12, 100%, $E$12)</f>
        <v>3.6823000000000001</v>
      </c>
      <c r="O65" s="66">
        <f>3.6872 * CHOOSE(CONTROL!$C$23, $C$12, 100%, $E$12)</f>
        <v>3.6871999999999998</v>
      </c>
      <c r="P65" s="4"/>
      <c r="Q65" s="4"/>
      <c r="R65" s="4"/>
    </row>
    <row r="66" spans="1:18" ht="15">
      <c r="A66" s="13">
        <v>43160</v>
      </c>
      <c r="B66" s="65">
        <f>3.0739 * CHOOSE(CONTROL!$C$23, $C$12, 100%, $E$12)</f>
        <v>3.0739000000000001</v>
      </c>
      <c r="C66" s="65">
        <f>3.0739 * CHOOSE(CONTROL!$C$23, $C$12, 100%, $E$12)</f>
        <v>3.0739000000000001</v>
      </c>
      <c r="D66" s="65">
        <f>3.0779 * CHOOSE(CONTROL!$C$23, $C$12, 100%, $E$12)</f>
        <v>3.0779000000000001</v>
      </c>
      <c r="E66" s="66">
        <f>3.7091 * CHOOSE(CONTROL!$C$23, $C$12, 100%, $E$12)</f>
        <v>3.7090999999999998</v>
      </c>
      <c r="F66" s="66">
        <f>3.7091 * CHOOSE(CONTROL!$C$23, $C$12, 100%, $E$12)</f>
        <v>3.7090999999999998</v>
      </c>
      <c r="G66" s="66">
        <f>3.714 * CHOOSE(CONTROL!$C$23, $C$12, 100%, $E$12)</f>
        <v>3.714</v>
      </c>
      <c r="H66" s="66">
        <f>6.547* CHOOSE(CONTROL!$C$23, $C$12, 100%, $E$12)</f>
        <v>6.5469999999999997</v>
      </c>
      <c r="I66" s="66">
        <f>6.5519 * CHOOSE(CONTROL!$C$23, $C$12, 100%, $E$12)</f>
        <v>6.5518999999999998</v>
      </c>
      <c r="J66" s="66">
        <f>6.547 * CHOOSE(CONTROL!$C$23, $C$12, 100%, $E$12)</f>
        <v>6.5469999999999997</v>
      </c>
      <c r="K66" s="66">
        <f>6.5519 * CHOOSE(CONTROL!$C$23, $C$12, 100%, $E$12)</f>
        <v>6.5518999999999998</v>
      </c>
      <c r="L66" s="66">
        <f>3.7091 * CHOOSE(CONTROL!$C$23, $C$12, 100%, $E$12)</f>
        <v>3.7090999999999998</v>
      </c>
      <c r="M66" s="66">
        <f>3.714 * CHOOSE(CONTROL!$C$23, $C$12, 100%, $E$12)</f>
        <v>3.714</v>
      </c>
      <c r="N66" s="66">
        <f>3.7091 * CHOOSE(CONTROL!$C$23, $C$12, 100%, $E$12)</f>
        <v>3.7090999999999998</v>
      </c>
      <c r="O66" s="66">
        <f>3.714 * CHOOSE(CONTROL!$C$23, $C$12, 100%, $E$12)</f>
        <v>3.714</v>
      </c>
      <c r="P66" s="4"/>
      <c r="Q66" s="4"/>
      <c r="R66" s="4"/>
    </row>
    <row r="67" spans="1:18" ht="15">
      <c r="A67" s="13">
        <v>43191</v>
      </c>
      <c r="B67" s="65">
        <f>3.0705 * CHOOSE(CONTROL!$C$23, $C$12, 100%, $E$12)</f>
        <v>3.0705</v>
      </c>
      <c r="C67" s="65">
        <f>3.0705 * CHOOSE(CONTROL!$C$23, $C$12, 100%, $E$12)</f>
        <v>3.0705</v>
      </c>
      <c r="D67" s="65">
        <f>3.0745 * CHOOSE(CONTROL!$C$23, $C$12, 100%, $E$12)</f>
        <v>3.0745</v>
      </c>
      <c r="E67" s="66">
        <f>3.7359 * CHOOSE(CONTROL!$C$23, $C$12, 100%, $E$12)</f>
        <v>3.7359</v>
      </c>
      <c r="F67" s="66">
        <f>3.7359 * CHOOSE(CONTROL!$C$23, $C$12, 100%, $E$12)</f>
        <v>3.7359</v>
      </c>
      <c r="G67" s="66">
        <f>3.7408 * CHOOSE(CONTROL!$C$23, $C$12, 100%, $E$12)</f>
        <v>3.7408000000000001</v>
      </c>
      <c r="H67" s="66">
        <f>6.5607* CHOOSE(CONTROL!$C$23, $C$12, 100%, $E$12)</f>
        <v>6.5606999999999998</v>
      </c>
      <c r="I67" s="66">
        <f>6.5656 * CHOOSE(CONTROL!$C$23, $C$12, 100%, $E$12)</f>
        <v>6.5655999999999999</v>
      </c>
      <c r="J67" s="66">
        <f>6.5607 * CHOOSE(CONTROL!$C$23, $C$12, 100%, $E$12)</f>
        <v>6.5606999999999998</v>
      </c>
      <c r="K67" s="66">
        <f>6.5656 * CHOOSE(CONTROL!$C$23, $C$12, 100%, $E$12)</f>
        <v>6.5655999999999999</v>
      </c>
      <c r="L67" s="66">
        <f>3.7359 * CHOOSE(CONTROL!$C$23, $C$12, 100%, $E$12)</f>
        <v>3.7359</v>
      </c>
      <c r="M67" s="66">
        <f>3.7408 * CHOOSE(CONTROL!$C$23, $C$12, 100%, $E$12)</f>
        <v>3.7408000000000001</v>
      </c>
      <c r="N67" s="66">
        <f>3.7359 * CHOOSE(CONTROL!$C$23, $C$12, 100%, $E$12)</f>
        <v>3.7359</v>
      </c>
      <c r="O67" s="66">
        <f>3.7408 * CHOOSE(CONTROL!$C$23, $C$12, 100%, $E$12)</f>
        <v>3.7408000000000001</v>
      </c>
      <c r="P67" s="4"/>
      <c r="Q67" s="4"/>
      <c r="R67" s="4"/>
    </row>
    <row r="68" spans="1:18" ht="15">
      <c r="A68" s="13">
        <v>43221</v>
      </c>
      <c r="B68" s="65">
        <f>3.0705 * CHOOSE(CONTROL!$C$23, $C$12, 100%, $E$12)</f>
        <v>3.0705</v>
      </c>
      <c r="C68" s="65">
        <f>3.0705 * CHOOSE(CONTROL!$C$23, $C$12, 100%, $E$12)</f>
        <v>3.0705</v>
      </c>
      <c r="D68" s="65">
        <f>3.0761 * CHOOSE(CONTROL!$C$23, $C$12, 100%, $E$12)</f>
        <v>3.0760999999999998</v>
      </c>
      <c r="E68" s="66">
        <f>3.7476 * CHOOSE(CONTROL!$C$23, $C$12, 100%, $E$12)</f>
        <v>3.7475999999999998</v>
      </c>
      <c r="F68" s="66">
        <f>3.7476 * CHOOSE(CONTROL!$C$23, $C$12, 100%, $E$12)</f>
        <v>3.7475999999999998</v>
      </c>
      <c r="G68" s="66">
        <f>3.7545 * CHOOSE(CONTROL!$C$23, $C$12, 100%, $E$12)</f>
        <v>3.7545000000000002</v>
      </c>
      <c r="H68" s="66">
        <f>6.5743* CHOOSE(CONTROL!$C$23, $C$12, 100%, $E$12)</f>
        <v>6.5743</v>
      </c>
      <c r="I68" s="66">
        <f>6.5812 * CHOOSE(CONTROL!$C$23, $C$12, 100%, $E$12)</f>
        <v>6.5811999999999999</v>
      </c>
      <c r="J68" s="66">
        <f>6.5743 * CHOOSE(CONTROL!$C$23, $C$12, 100%, $E$12)</f>
        <v>6.5743</v>
      </c>
      <c r="K68" s="66">
        <f>6.5812 * CHOOSE(CONTROL!$C$23, $C$12, 100%, $E$12)</f>
        <v>6.5811999999999999</v>
      </c>
      <c r="L68" s="66">
        <f>3.7476 * CHOOSE(CONTROL!$C$23, $C$12, 100%, $E$12)</f>
        <v>3.7475999999999998</v>
      </c>
      <c r="M68" s="66">
        <f>3.7545 * CHOOSE(CONTROL!$C$23, $C$12, 100%, $E$12)</f>
        <v>3.7545000000000002</v>
      </c>
      <c r="N68" s="66">
        <f>3.7476 * CHOOSE(CONTROL!$C$23, $C$12, 100%, $E$12)</f>
        <v>3.7475999999999998</v>
      </c>
      <c r="O68" s="66">
        <f>3.7545 * CHOOSE(CONTROL!$C$23, $C$12, 100%, $E$12)</f>
        <v>3.7545000000000002</v>
      </c>
      <c r="P68" s="4"/>
      <c r="Q68" s="4"/>
      <c r="R68" s="4"/>
    </row>
    <row r="69" spans="1:18" ht="15">
      <c r="A69" s="13">
        <v>43252</v>
      </c>
      <c r="B69" s="65">
        <f>3.0766 * CHOOSE(CONTROL!$C$23, $C$12, 100%, $E$12)</f>
        <v>3.0766</v>
      </c>
      <c r="C69" s="65">
        <f>3.0766 * CHOOSE(CONTROL!$C$23, $C$12, 100%, $E$12)</f>
        <v>3.0766</v>
      </c>
      <c r="D69" s="65">
        <f>3.0822 * CHOOSE(CONTROL!$C$23, $C$12, 100%, $E$12)</f>
        <v>3.0821999999999998</v>
      </c>
      <c r="E69" s="66">
        <f>3.7402 * CHOOSE(CONTROL!$C$23, $C$12, 100%, $E$12)</f>
        <v>3.7402000000000002</v>
      </c>
      <c r="F69" s="66">
        <f>3.7402 * CHOOSE(CONTROL!$C$23, $C$12, 100%, $E$12)</f>
        <v>3.7402000000000002</v>
      </c>
      <c r="G69" s="66">
        <f>3.747 * CHOOSE(CONTROL!$C$23, $C$12, 100%, $E$12)</f>
        <v>3.7469999999999999</v>
      </c>
      <c r="H69" s="66">
        <f>6.588* CHOOSE(CONTROL!$C$23, $C$12, 100%, $E$12)</f>
        <v>6.5880000000000001</v>
      </c>
      <c r="I69" s="66">
        <f>6.5949 * CHOOSE(CONTROL!$C$23, $C$12, 100%, $E$12)</f>
        <v>6.5949</v>
      </c>
      <c r="J69" s="66">
        <f>6.588 * CHOOSE(CONTROL!$C$23, $C$12, 100%, $E$12)</f>
        <v>6.5880000000000001</v>
      </c>
      <c r="K69" s="66">
        <f>6.5949 * CHOOSE(CONTROL!$C$23, $C$12, 100%, $E$12)</f>
        <v>6.5949</v>
      </c>
      <c r="L69" s="66">
        <f>3.7402 * CHOOSE(CONTROL!$C$23, $C$12, 100%, $E$12)</f>
        <v>3.7402000000000002</v>
      </c>
      <c r="M69" s="66">
        <f>3.747 * CHOOSE(CONTROL!$C$23, $C$12, 100%, $E$12)</f>
        <v>3.7469999999999999</v>
      </c>
      <c r="N69" s="66">
        <f>3.7402 * CHOOSE(CONTROL!$C$23, $C$12, 100%, $E$12)</f>
        <v>3.7402000000000002</v>
      </c>
      <c r="O69" s="66">
        <f>3.747 * CHOOSE(CONTROL!$C$23, $C$12, 100%, $E$12)</f>
        <v>3.7469999999999999</v>
      </c>
      <c r="P69" s="4"/>
      <c r="Q69" s="4"/>
      <c r="R69" s="4"/>
    </row>
    <row r="70" spans="1:18" ht="15">
      <c r="A70" s="13">
        <v>43282</v>
      </c>
      <c r="B70" s="65">
        <f>3.1468 * CHOOSE(CONTROL!$C$23, $C$12, 100%, $E$12)</f>
        <v>3.1467999999999998</v>
      </c>
      <c r="C70" s="65">
        <f>3.1468 * CHOOSE(CONTROL!$C$23, $C$12, 100%, $E$12)</f>
        <v>3.1467999999999998</v>
      </c>
      <c r="D70" s="65">
        <f>3.1524 * CHOOSE(CONTROL!$C$23, $C$12, 100%, $E$12)</f>
        <v>3.1524000000000001</v>
      </c>
      <c r="E70" s="66">
        <f>3.7912 * CHOOSE(CONTROL!$C$23, $C$12, 100%, $E$12)</f>
        <v>3.7911999999999999</v>
      </c>
      <c r="F70" s="66">
        <f>3.7912 * CHOOSE(CONTROL!$C$23, $C$12, 100%, $E$12)</f>
        <v>3.7911999999999999</v>
      </c>
      <c r="G70" s="66">
        <f>3.7981 * CHOOSE(CONTROL!$C$23, $C$12, 100%, $E$12)</f>
        <v>3.7980999999999998</v>
      </c>
      <c r="H70" s="66">
        <f>6.6018* CHOOSE(CONTROL!$C$23, $C$12, 100%, $E$12)</f>
        <v>6.6017999999999999</v>
      </c>
      <c r="I70" s="66">
        <f>6.6086 * CHOOSE(CONTROL!$C$23, $C$12, 100%, $E$12)</f>
        <v>6.6086</v>
      </c>
      <c r="J70" s="66">
        <f>6.6018 * CHOOSE(CONTROL!$C$23, $C$12, 100%, $E$12)</f>
        <v>6.6017999999999999</v>
      </c>
      <c r="K70" s="66">
        <f>6.6086 * CHOOSE(CONTROL!$C$23, $C$12, 100%, $E$12)</f>
        <v>6.6086</v>
      </c>
      <c r="L70" s="66">
        <f>3.7912 * CHOOSE(CONTROL!$C$23, $C$12, 100%, $E$12)</f>
        <v>3.7911999999999999</v>
      </c>
      <c r="M70" s="66">
        <f>3.7981 * CHOOSE(CONTROL!$C$23, $C$12, 100%, $E$12)</f>
        <v>3.7980999999999998</v>
      </c>
      <c r="N70" s="66">
        <f>3.7912 * CHOOSE(CONTROL!$C$23, $C$12, 100%, $E$12)</f>
        <v>3.7911999999999999</v>
      </c>
      <c r="O70" s="66">
        <f>3.7981 * CHOOSE(CONTROL!$C$23, $C$12, 100%, $E$12)</f>
        <v>3.7980999999999998</v>
      </c>
      <c r="P70" s="4"/>
      <c r="Q70" s="4"/>
      <c r="R70" s="4"/>
    </row>
    <row r="71" spans="1:18" ht="15">
      <c r="A71" s="13">
        <v>43313</v>
      </c>
      <c r="B71" s="65">
        <f>3.1535 * CHOOSE(CONTROL!$C$23, $C$12, 100%, $E$12)</f>
        <v>3.1535000000000002</v>
      </c>
      <c r="C71" s="65">
        <f>3.1535 * CHOOSE(CONTROL!$C$23, $C$12, 100%, $E$12)</f>
        <v>3.1535000000000002</v>
      </c>
      <c r="D71" s="65">
        <f>3.1591 * CHOOSE(CONTROL!$C$23, $C$12, 100%, $E$12)</f>
        <v>3.1591</v>
      </c>
      <c r="E71" s="66">
        <f>3.7609 * CHOOSE(CONTROL!$C$23, $C$12, 100%, $E$12)</f>
        <v>3.7608999999999999</v>
      </c>
      <c r="F71" s="66">
        <f>3.7609 * CHOOSE(CONTROL!$C$23, $C$12, 100%, $E$12)</f>
        <v>3.7608999999999999</v>
      </c>
      <c r="G71" s="66">
        <f>3.7678 * CHOOSE(CONTROL!$C$23, $C$12, 100%, $E$12)</f>
        <v>3.7677999999999998</v>
      </c>
      <c r="H71" s="66">
        <f>6.6155* CHOOSE(CONTROL!$C$23, $C$12, 100%, $E$12)</f>
        <v>6.6154999999999999</v>
      </c>
      <c r="I71" s="66">
        <f>6.6224 * CHOOSE(CONTROL!$C$23, $C$12, 100%, $E$12)</f>
        <v>6.6223999999999998</v>
      </c>
      <c r="J71" s="66">
        <f>6.6155 * CHOOSE(CONTROL!$C$23, $C$12, 100%, $E$12)</f>
        <v>6.6154999999999999</v>
      </c>
      <c r="K71" s="66">
        <f>6.6224 * CHOOSE(CONTROL!$C$23, $C$12, 100%, $E$12)</f>
        <v>6.6223999999999998</v>
      </c>
      <c r="L71" s="66">
        <f>3.7609 * CHOOSE(CONTROL!$C$23, $C$12, 100%, $E$12)</f>
        <v>3.7608999999999999</v>
      </c>
      <c r="M71" s="66">
        <f>3.7678 * CHOOSE(CONTROL!$C$23, $C$12, 100%, $E$12)</f>
        <v>3.7677999999999998</v>
      </c>
      <c r="N71" s="66">
        <f>3.7609 * CHOOSE(CONTROL!$C$23, $C$12, 100%, $E$12)</f>
        <v>3.7608999999999999</v>
      </c>
      <c r="O71" s="66">
        <f>3.7678 * CHOOSE(CONTROL!$C$23, $C$12, 100%, $E$12)</f>
        <v>3.7677999999999998</v>
      </c>
      <c r="P71" s="4"/>
      <c r="Q71" s="4"/>
      <c r="R71" s="4"/>
    </row>
    <row r="72" spans="1:18" ht="15">
      <c r="A72" s="13">
        <v>43344</v>
      </c>
      <c r="B72" s="65">
        <f>3.1505 * CHOOSE(CONTROL!$C$23, $C$12, 100%, $E$12)</f>
        <v>3.1505000000000001</v>
      </c>
      <c r="C72" s="65">
        <f>3.1505 * CHOOSE(CONTROL!$C$23, $C$12, 100%, $E$12)</f>
        <v>3.1505000000000001</v>
      </c>
      <c r="D72" s="65">
        <f>3.1561 * CHOOSE(CONTROL!$C$23, $C$12, 100%, $E$12)</f>
        <v>3.1560999999999999</v>
      </c>
      <c r="E72" s="66">
        <f>3.7549 * CHOOSE(CONTROL!$C$23, $C$12, 100%, $E$12)</f>
        <v>3.7549000000000001</v>
      </c>
      <c r="F72" s="66">
        <f>3.7549 * CHOOSE(CONTROL!$C$23, $C$12, 100%, $E$12)</f>
        <v>3.7549000000000001</v>
      </c>
      <c r="G72" s="66">
        <f>3.7618 * CHOOSE(CONTROL!$C$23, $C$12, 100%, $E$12)</f>
        <v>3.7618</v>
      </c>
      <c r="H72" s="66">
        <f>6.6293* CHOOSE(CONTROL!$C$23, $C$12, 100%, $E$12)</f>
        <v>6.6292999999999997</v>
      </c>
      <c r="I72" s="66">
        <f>6.6362 * CHOOSE(CONTROL!$C$23, $C$12, 100%, $E$12)</f>
        <v>6.6361999999999997</v>
      </c>
      <c r="J72" s="66">
        <f>6.6293 * CHOOSE(CONTROL!$C$23, $C$12, 100%, $E$12)</f>
        <v>6.6292999999999997</v>
      </c>
      <c r="K72" s="66">
        <f>6.6362 * CHOOSE(CONTROL!$C$23, $C$12, 100%, $E$12)</f>
        <v>6.6361999999999997</v>
      </c>
      <c r="L72" s="66">
        <f>3.7549 * CHOOSE(CONTROL!$C$23, $C$12, 100%, $E$12)</f>
        <v>3.7549000000000001</v>
      </c>
      <c r="M72" s="66">
        <f>3.7618 * CHOOSE(CONTROL!$C$23, $C$12, 100%, $E$12)</f>
        <v>3.7618</v>
      </c>
      <c r="N72" s="66">
        <f>3.7549 * CHOOSE(CONTROL!$C$23, $C$12, 100%, $E$12)</f>
        <v>3.7549000000000001</v>
      </c>
      <c r="O72" s="66">
        <f>3.7618 * CHOOSE(CONTROL!$C$23, $C$12, 100%, $E$12)</f>
        <v>3.7618</v>
      </c>
      <c r="P72" s="4"/>
      <c r="Q72" s="4"/>
      <c r="R72" s="4"/>
    </row>
    <row r="73" spans="1:18" ht="15">
      <c r="A73" s="13">
        <v>43374</v>
      </c>
      <c r="B73" s="65">
        <f>3.1419 * CHOOSE(CONTROL!$C$23, $C$12, 100%, $E$12)</f>
        <v>3.1419000000000001</v>
      </c>
      <c r="C73" s="65">
        <f>3.1419 * CHOOSE(CONTROL!$C$23, $C$12, 100%, $E$12)</f>
        <v>3.1419000000000001</v>
      </c>
      <c r="D73" s="65">
        <f>3.1459 * CHOOSE(CONTROL!$C$23, $C$12, 100%, $E$12)</f>
        <v>3.1459000000000001</v>
      </c>
      <c r="E73" s="66">
        <f>3.7571 * CHOOSE(CONTROL!$C$23, $C$12, 100%, $E$12)</f>
        <v>3.7570999999999999</v>
      </c>
      <c r="F73" s="66">
        <f>3.7571 * CHOOSE(CONTROL!$C$23, $C$12, 100%, $E$12)</f>
        <v>3.7570999999999999</v>
      </c>
      <c r="G73" s="66">
        <f>3.762 * CHOOSE(CONTROL!$C$23, $C$12, 100%, $E$12)</f>
        <v>3.762</v>
      </c>
      <c r="H73" s="66">
        <f>6.6431* CHOOSE(CONTROL!$C$23, $C$12, 100%, $E$12)</f>
        <v>6.6430999999999996</v>
      </c>
      <c r="I73" s="66">
        <f>6.648 * CHOOSE(CONTROL!$C$23, $C$12, 100%, $E$12)</f>
        <v>6.6479999999999997</v>
      </c>
      <c r="J73" s="66">
        <f>6.6431 * CHOOSE(CONTROL!$C$23, $C$12, 100%, $E$12)</f>
        <v>6.6430999999999996</v>
      </c>
      <c r="K73" s="66">
        <f>6.648 * CHOOSE(CONTROL!$C$23, $C$12, 100%, $E$12)</f>
        <v>6.6479999999999997</v>
      </c>
      <c r="L73" s="66">
        <f>3.7571 * CHOOSE(CONTROL!$C$23, $C$12, 100%, $E$12)</f>
        <v>3.7570999999999999</v>
      </c>
      <c r="M73" s="66">
        <f>3.762 * CHOOSE(CONTROL!$C$23, $C$12, 100%, $E$12)</f>
        <v>3.762</v>
      </c>
      <c r="N73" s="66">
        <f>3.7571 * CHOOSE(CONTROL!$C$23, $C$12, 100%, $E$12)</f>
        <v>3.7570999999999999</v>
      </c>
      <c r="O73" s="66">
        <f>3.762 * CHOOSE(CONTROL!$C$23, $C$12, 100%, $E$12)</f>
        <v>3.762</v>
      </c>
      <c r="P73" s="4"/>
      <c r="Q73" s="4"/>
      <c r="R73" s="4"/>
    </row>
    <row r="74" spans="1:18" ht="15">
      <c r="A74" s="13">
        <v>43405</v>
      </c>
      <c r="B74" s="65">
        <f>3.1449 * CHOOSE(CONTROL!$C$23, $C$12, 100%, $E$12)</f>
        <v>3.1448999999999998</v>
      </c>
      <c r="C74" s="65">
        <f>3.1449 * CHOOSE(CONTROL!$C$23, $C$12, 100%, $E$12)</f>
        <v>3.1448999999999998</v>
      </c>
      <c r="D74" s="65">
        <f>3.1489 * CHOOSE(CONTROL!$C$23, $C$12, 100%, $E$12)</f>
        <v>3.1488999999999998</v>
      </c>
      <c r="E74" s="66">
        <f>3.767 * CHOOSE(CONTROL!$C$23, $C$12, 100%, $E$12)</f>
        <v>3.7669999999999999</v>
      </c>
      <c r="F74" s="66">
        <f>3.767 * CHOOSE(CONTROL!$C$23, $C$12, 100%, $E$12)</f>
        <v>3.7669999999999999</v>
      </c>
      <c r="G74" s="66">
        <f>3.7719 * CHOOSE(CONTROL!$C$23, $C$12, 100%, $E$12)</f>
        <v>3.7719</v>
      </c>
      <c r="H74" s="66">
        <f>6.6569* CHOOSE(CONTROL!$C$23, $C$12, 100%, $E$12)</f>
        <v>6.6569000000000003</v>
      </c>
      <c r="I74" s="66">
        <f>6.6619 * CHOOSE(CONTROL!$C$23, $C$12, 100%, $E$12)</f>
        <v>6.6619000000000002</v>
      </c>
      <c r="J74" s="66">
        <f>6.6569 * CHOOSE(CONTROL!$C$23, $C$12, 100%, $E$12)</f>
        <v>6.6569000000000003</v>
      </c>
      <c r="K74" s="66">
        <f>6.6619 * CHOOSE(CONTROL!$C$23, $C$12, 100%, $E$12)</f>
        <v>6.6619000000000002</v>
      </c>
      <c r="L74" s="66">
        <f>3.767 * CHOOSE(CONTROL!$C$23, $C$12, 100%, $E$12)</f>
        <v>3.7669999999999999</v>
      </c>
      <c r="M74" s="66">
        <f>3.7719 * CHOOSE(CONTROL!$C$23, $C$12, 100%, $E$12)</f>
        <v>3.7719</v>
      </c>
      <c r="N74" s="66">
        <f>3.767 * CHOOSE(CONTROL!$C$23, $C$12, 100%, $E$12)</f>
        <v>3.7669999999999999</v>
      </c>
      <c r="O74" s="66">
        <f>3.7719 * CHOOSE(CONTROL!$C$23, $C$12, 100%, $E$12)</f>
        <v>3.7719</v>
      </c>
      <c r="P74" s="4"/>
      <c r="Q74" s="4"/>
      <c r="R74" s="4"/>
    </row>
    <row r="75" spans="1:18" ht="15">
      <c r="A75" s="13">
        <v>43435</v>
      </c>
      <c r="B75" s="65">
        <f>3.1449 * CHOOSE(CONTROL!$C$23, $C$12, 100%, $E$12)</f>
        <v>3.1448999999999998</v>
      </c>
      <c r="C75" s="65">
        <f>3.1449 * CHOOSE(CONTROL!$C$23, $C$12, 100%, $E$12)</f>
        <v>3.1448999999999998</v>
      </c>
      <c r="D75" s="65">
        <f>3.1489 * CHOOSE(CONTROL!$C$23, $C$12, 100%, $E$12)</f>
        <v>3.1488999999999998</v>
      </c>
      <c r="E75" s="66">
        <f>3.7475 * CHOOSE(CONTROL!$C$23, $C$12, 100%, $E$12)</f>
        <v>3.7475000000000001</v>
      </c>
      <c r="F75" s="66">
        <f>3.7475 * CHOOSE(CONTROL!$C$23, $C$12, 100%, $E$12)</f>
        <v>3.7475000000000001</v>
      </c>
      <c r="G75" s="66">
        <f>3.7525 * CHOOSE(CONTROL!$C$23, $C$12, 100%, $E$12)</f>
        <v>3.7524999999999999</v>
      </c>
      <c r="H75" s="66">
        <f>6.6708* CHOOSE(CONTROL!$C$23, $C$12, 100%, $E$12)</f>
        <v>6.6707999999999998</v>
      </c>
      <c r="I75" s="66">
        <f>6.6757 * CHOOSE(CONTROL!$C$23, $C$12, 100%, $E$12)</f>
        <v>6.6757</v>
      </c>
      <c r="J75" s="66">
        <f>6.6708 * CHOOSE(CONTROL!$C$23, $C$12, 100%, $E$12)</f>
        <v>6.6707999999999998</v>
      </c>
      <c r="K75" s="66">
        <f>6.6757 * CHOOSE(CONTROL!$C$23, $C$12, 100%, $E$12)</f>
        <v>6.6757</v>
      </c>
      <c r="L75" s="66">
        <f>3.7475 * CHOOSE(CONTROL!$C$23, $C$12, 100%, $E$12)</f>
        <v>3.7475000000000001</v>
      </c>
      <c r="M75" s="66">
        <f>3.7525 * CHOOSE(CONTROL!$C$23, $C$12, 100%, $E$12)</f>
        <v>3.7524999999999999</v>
      </c>
      <c r="N75" s="66">
        <f>3.7475 * CHOOSE(CONTROL!$C$23, $C$12, 100%, $E$12)</f>
        <v>3.7475000000000001</v>
      </c>
      <c r="O75" s="66">
        <f>3.7525 * CHOOSE(CONTROL!$C$23, $C$12, 100%, $E$12)</f>
        <v>3.7524999999999999</v>
      </c>
      <c r="P75" s="4"/>
      <c r="Q75" s="4"/>
      <c r="R75" s="4"/>
    </row>
    <row r="76" spans="1:18" ht="15">
      <c r="A76" s="13">
        <v>43466</v>
      </c>
      <c r="B76" s="65">
        <f>3.1467 * CHOOSE(CONTROL!$C$23, $C$12, 100%, $E$12)</f>
        <v>3.1467000000000001</v>
      </c>
      <c r="C76" s="65">
        <f>3.1467 * CHOOSE(CONTROL!$C$23, $C$12, 100%, $E$12)</f>
        <v>3.1467000000000001</v>
      </c>
      <c r="D76" s="65">
        <f>3.1507 * CHOOSE(CONTROL!$C$23, $C$12, 100%, $E$12)</f>
        <v>3.1507000000000001</v>
      </c>
      <c r="E76" s="66">
        <f>3.844 * CHOOSE(CONTROL!$C$23, $C$12, 100%, $E$12)</f>
        <v>3.8439999999999999</v>
      </c>
      <c r="F76" s="66">
        <f>3.844 * CHOOSE(CONTROL!$C$23, $C$12, 100%, $E$12)</f>
        <v>3.8439999999999999</v>
      </c>
      <c r="G76" s="66">
        <f>3.8489 * CHOOSE(CONTROL!$C$23, $C$12, 100%, $E$12)</f>
        <v>3.8489</v>
      </c>
      <c r="H76" s="66">
        <f>6.6847* CHOOSE(CONTROL!$C$23, $C$12, 100%, $E$12)</f>
        <v>6.6847000000000003</v>
      </c>
      <c r="I76" s="66">
        <f>6.6896 * CHOOSE(CONTROL!$C$23, $C$12, 100%, $E$12)</f>
        <v>6.6896000000000004</v>
      </c>
      <c r="J76" s="66">
        <f>6.6847 * CHOOSE(CONTROL!$C$23, $C$12, 100%, $E$12)</f>
        <v>6.6847000000000003</v>
      </c>
      <c r="K76" s="66">
        <f>6.6896 * CHOOSE(CONTROL!$C$23, $C$12, 100%, $E$12)</f>
        <v>6.6896000000000004</v>
      </c>
      <c r="L76" s="66">
        <f>3.844 * CHOOSE(CONTROL!$C$23, $C$12, 100%, $E$12)</f>
        <v>3.8439999999999999</v>
      </c>
      <c r="M76" s="66">
        <f>3.8489 * CHOOSE(CONTROL!$C$23, $C$12, 100%, $E$12)</f>
        <v>3.8489</v>
      </c>
      <c r="N76" s="66">
        <f>3.844 * CHOOSE(CONTROL!$C$23, $C$12, 100%, $E$12)</f>
        <v>3.8439999999999999</v>
      </c>
      <c r="O76" s="66">
        <f>3.8489 * CHOOSE(CONTROL!$C$23, $C$12, 100%, $E$12)</f>
        <v>3.8489</v>
      </c>
      <c r="P76" s="4"/>
      <c r="Q76" s="4"/>
      <c r="R76" s="4"/>
    </row>
    <row r="77" spans="1:18" ht="15">
      <c r="A77" s="13">
        <v>43497</v>
      </c>
      <c r="B77" s="65">
        <f>3.1437 * CHOOSE(CONTROL!$C$23, $C$12, 100%, $E$12)</f>
        <v>3.1436999999999999</v>
      </c>
      <c r="C77" s="65">
        <f>3.1437 * CHOOSE(CONTROL!$C$23, $C$12, 100%, $E$12)</f>
        <v>3.1436999999999999</v>
      </c>
      <c r="D77" s="65">
        <f>3.1477 * CHOOSE(CONTROL!$C$23, $C$12, 100%, $E$12)</f>
        <v>3.1476999999999999</v>
      </c>
      <c r="E77" s="66">
        <f>3.7978 * CHOOSE(CONTROL!$C$23, $C$12, 100%, $E$12)</f>
        <v>3.7978000000000001</v>
      </c>
      <c r="F77" s="66">
        <f>3.7978 * CHOOSE(CONTROL!$C$23, $C$12, 100%, $E$12)</f>
        <v>3.7978000000000001</v>
      </c>
      <c r="G77" s="66">
        <f>3.8027 * CHOOSE(CONTROL!$C$23, $C$12, 100%, $E$12)</f>
        <v>3.8027000000000002</v>
      </c>
      <c r="H77" s="66">
        <f>6.6986* CHOOSE(CONTROL!$C$23, $C$12, 100%, $E$12)</f>
        <v>6.6985999999999999</v>
      </c>
      <c r="I77" s="66">
        <f>6.7036 * CHOOSE(CONTROL!$C$23, $C$12, 100%, $E$12)</f>
        <v>6.7035999999999998</v>
      </c>
      <c r="J77" s="66">
        <f>6.6986 * CHOOSE(CONTROL!$C$23, $C$12, 100%, $E$12)</f>
        <v>6.6985999999999999</v>
      </c>
      <c r="K77" s="66">
        <f>6.7036 * CHOOSE(CONTROL!$C$23, $C$12, 100%, $E$12)</f>
        <v>6.7035999999999998</v>
      </c>
      <c r="L77" s="66">
        <f>3.7978 * CHOOSE(CONTROL!$C$23, $C$12, 100%, $E$12)</f>
        <v>3.7978000000000001</v>
      </c>
      <c r="M77" s="66">
        <f>3.8027 * CHOOSE(CONTROL!$C$23, $C$12, 100%, $E$12)</f>
        <v>3.8027000000000002</v>
      </c>
      <c r="N77" s="66">
        <f>3.7978 * CHOOSE(CONTROL!$C$23, $C$12, 100%, $E$12)</f>
        <v>3.7978000000000001</v>
      </c>
      <c r="O77" s="66">
        <f>3.8027 * CHOOSE(CONTROL!$C$23, $C$12, 100%, $E$12)</f>
        <v>3.8027000000000002</v>
      </c>
      <c r="P77" s="4"/>
      <c r="Q77" s="4"/>
      <c r="R77" s="4"/>
    </row>
    <row r="78" spans="1:18" ht="15">
      <c r="A78" s="13">
        <v>43525</v>
      </c>
      <c r="B78" s="65">
        <f>3.1407 * CHOOSE(CONTROL!$C$23, $C$12, 100%, $E$12)</f>
        <v>3.1406999999999998</v>
      </c>
      <c r="C78" s="65">
        <f>3.1407 * CHOOSE(CONTROL!$C$23, $C$12, 100%, $E$12)</f>
        <v>3.1406999999999998</v>
      </c>
      <c r="D78" s="65">
        <f>3.1447 * CHOOSE(CONTROL!$C$23, $C$12, 100%, $E$12)</f>
        <v>3.1446999999999998</v>
      </c>
      <c r="E78" s="66">
        <f>3.8304 * CHOOSE(CONTROL!$C$23, $C$12, 100%, $E$12)</f>
        <v>3.8304</v>
      </c>
      <c r="F78" s="66">
        <f>3.8304 * CHOOSE(CONTROL!$C$23, $C$12, 100%, $E$12)</f>
        <v>3.8304</v>
      </c>
      <c r="G78" s="66">
        <f>3.8354 * CHOOSE(CONTROL!$C$23, $C$12, 100%, $E$12)</f>
        <v>3.8353999999999999</v>
      </c>
      <c r="H78" s="66">
        <f>6.7126* CHOOSE(CONTROL!$C$23, $C$12, 100%, $E$12)</f>
        <v>6.7126000000000001</v>
      </c>
      <c r="I78" s="66">
        <f>6.7175 * CHOOSE(CONTROL!$C$23, $C$12, 100%, $E$12)</f>
        <v>6.7175000000000002</v>
      </c>
      <c r="J78" s="66">
        <f>6.7126 * CHOOSE(CONTROL!$C$23, $C$12, 100%, $E$12)</f>
        <v>6.7126000000000001</v>
      </c>
      <c r="K78" s="66">
        <f>6.7175 * CHOOSE(CONTROL!$C$23, $C$12, 100%, $E$12)</f>
        <v>6.7175000000000002</v>
      </c>
      <c r="L78" s="66">
        <f>3.8304 * CHOOSE(CONTROL!$C$23, $C$12, 100%, $E$12)</f>
        <v>3.8304</v>
      </c>
      <c r="M78" s="66">
        <f>3.8354 * CHOOSE(CONTROL!$C$23, $C$12, 100%, $E$12)</f>
        <v>3.8353999999999999</v>
      </c>
      <c r="N78" s="66">
        <f>3.8304 * CHOOSE(CONTROL!$C$23, $C$12, 100%, $E$12)</f>
        <v>3.8304</v>
      </c>
      <c r="O78" s="66">
        <f>3.8354 * CHOOSE(CONTROL!$C$23, $C$12, 100%, $E$12)</f>
        <v>3.8353999999999999</v>
      </c>
      <c r="P78" s="4"/>
      <c r="Q78" s="4"/>
      <c r="R78" s="4"/>
    </row>
    <row r="79" spans="1:18" ht="15">
      <c r="A79" s="13">
        <v>43556</v>
      </c>
      <c r="B79" s="65">
        <f>3.1374 * CHOOSE(CONTROL!$C$23, $C$12, 100%, $E$12)</f>
        <v>3.1374</v>
      </c>
      <c r="C79" s="65">
        <f>3.1374 * CHOOSE(CONTROL!$C$23, $C$12, 100%, $E$12)</f>
        <v>3.1374</v>
      </c>
      <c r="D79" s="65">
        <f>3.1414 * CHOOSE(CONTROL!$C$23, $C$12, 100%, $E$12)</f>
        <v>3.1414</v>
      </c>
      <c r="E79" s="66">
        <f>3.8635 * CHOOSE(CONTROL!$C$23, $C$12, 100%, $E$12)</f>
        <v>3.8635000000000002</v>
      </c>
      <c r="F79" s="66">
        <f>3.8635 * CHOOSE(CONTROL!$C$23, $C$12, 100%, $E$12)</f>
        <v>3.8635000000000002</v>
      </c>
      <c r="G79" s="66">
        <f>3.8685 * CHOOSE(CONTROL!$C$23, $C$12, 100%, $E$12)</f>
        <v>3.8685</v>
      </c>
      <c r="H79" s="66">
        <f>6.7266* CHOOSE(CONTROL!$C$23, $C$12, 100%, $E$12)</f>
        <v>6.7266000000000004</v>
      </c>
      <c r="I79" s="66">
        <f>6.7315 * CHOOSE(CONTROL!$C$23, $C$12, 100%, $E$12)</f>
        <v>6.7314999999999996</v>
      </c>
      <c r="J79" s="66">
        <f>6.7266 * CHOOSE(CONTROL!$C$23, $C$12, 100%, $E$12)</f>
        <v>6.7266000000000004</v>
      </c>
      <c r="K79" s="66">
        <f>6.7315 * CHOOSE(CONTROL!$C$23, $C$12, 100%, $E$12)</f>
        <v>6.7314999999999996</v>
      </c>
      <c r="L79" s="66">
        <f>3.8635 * CHOOSE(CONTROL!$C$23, $C$12, 100%, $E$12)</f>
        <v>3.8635000000000002</v>
      </c>
      <c r="M79" s="66">
        <f>3.8685 * CHOOSE(CONTROL!$C$23, $C$12, 100%, $E$12)</f>
        <v>3.8685</v>
      </c>
      <c r="N79" s="66">
        <f>3.8635 * CHOOSE(CONTROL!$C$23, $C$12, 100%, $E$12)</f>
        <v>3.8635000000000002</v>
      </c>
      <c r="O79" s="66">
        <f>3.8685 * CHOOSE(CONTROL!$C$23, $C$12, 100%, $E$12)</f>
        <v>3.8685</v>
      </c>
      <c r="P79" s="4"/>
      <c r="Q79" s="4"/>
      <c r="R79" s="4"/>
    </row>
    <row r="80" spans="1:18" ht="15">
      <c r="A80" s="13">
        <v>43586</v>
      </c>
      <c r="B80" s="65">
        <f>3.1374 * CHOOSE(CONTROL!$C$23, $C$12, 100%, $E$12)</f>
        <v>3.1374</v>
      </c>
      <c r="C80" s="65">
        <f>3.1374 * CHOOSE(CONTROL!$C$23, $C$12, 100%, $E$12)</f>
        <v>3.1374</v>
      </c>
      <c r="D80" s="65">
        <f>3.143 * CHOOSE(CONTROL!$C$23, $C$12, 100%, $E$12)</f>
        <v>3.1429999999999998</v>
      </c>
      <c r="E80" s="66">
        <f>3.8775 * CHOOSE(CONTROL!$C$23, $C$12, 100%, $E$12)</f>
        <v>3.8774999999999999</v>
      </c>
      <c r="F80" s="66">
        <f>3.8775 * CHOOSE(CONTROL!$C$23, $C$12, 100%, $E$12)</f>
        <v>3.8774999999999999</v>
      </c>
      <c r="G80" s="66">
        <f>3.8844 * CHOOSE(CONTROL!$C$23, $C$12, 100%, $E$12)</f>
        <v>3.8843999999999999</v>
      </c>
      <c r="H80" s="66">
        <f>6.7406* CHOOSE(CONTROL!$C$23, $C$12, 100%, $E$12)</f>
        <v>6.7405999999999997</v>
      </c>
      <c r="I80" s="66">
        <f>6.7475 * CHOOSE(CONTROL!$C$23, $C$12, 100%, $E$12)</f>
        <v>6.7474999999999996</v>
      </c>
      <c r="J80" s="66">
        <f>6.7406 * CHOOSE(CONTROL!$C$23, $C$12, 100%, $E$12)</f>
        <v>6.7405999999999997</v>
      </c>
      <c r="K80" s="66">
        <f>6.7475 * CHOOSE(CONTROL!$C$23, $C$12, 100%, $E$12)</f>
        <v>6.7474999999999996</v>
      </c>
      <c r="L80" s="66">
        <f>3.8775 * CHOOSE(CONTROL!$C$23, $C$12, 100%, $E$12)</f>
        <v>3.8774999999999999</v>
      </c>
      <c r="M80" s="66">
        <f>3.8844 * CHOOSE(CONTROL!$C$23, $C$12, 100%, $E$12)</f>
        <v>3.8843999999999999</v>
      </c>
      <c r="N80" s="66">
        <f>3.8775 * CHOOSE(CONTROL!$C$23, $C$12, 100%, $E$12)</f>
        <v>3.8774999999999999</v>
      </c>
      <c r="O80" s="66">
        <f>3.8844 * CHOOSE(CONTROL!$C$23, $C$12, 100%, $E$12)</f>
        <v>3.8843999999999999</v>
      </c>
      <c r="P80" s="4"/>
      <c r="Q80" s="4"/>
      <c r="R80" s="4"/>
    </row>
    <row r="81" spans="1:18" ht="15">
      <c r="A81" s="13">
        <v>43617</v>
      </c>
      <c r="B81" s="65">
        <f>3.1435 * CHOOSE(CONTROL!$C$23, $C$12, 100%, $E$12)</f>
        <v>3.1435</v>
      </c>
      <c r="C81" s="65">
        <f>3.1435 * CHOOSE(CONTROL!$C$23, $C$12, 100%, $E$12)</f>
        <v>3.1435</v>
      </c>
      <c r="D81" s="65">
        <f>3.1491 * CHOOSE(CONTROL!$C$23, $C$12, 100%, $E$12)</f>
        <v>3.1490999999999998</v>
      </c>
      <c r="E81" s="66">
        <f>3.8678 * CHOOSE(CONTROL!$C$23, $C$12, 100%, $E$12)</f>
        <v>3.8677999999999999</v>
      </c>
      <c r="F81" s="66">
        <f>3.8678 * CHOOSE(CONTROL!$C$23, $C$12, 100%, $E$12)</f>
        <v>3.8677999999999999</v>
      </c>
      <c r="G81" s="66">
        <f>3.8747 * CHOOSE(CONTROL!$C$23, $C$12, 100%, $E$12)</f>
        <v>3.8746999999999998</v>
      </c>
      <c r="H81" s="66">
        <f>6.7546* CHOOSE(CONTROL!$C$23, $C$12, 100%, $E$12)</f>
        <v>6.7545999999999999</v>
      </c>
      <c r="I81" s="66">
        <f>6.7615 * CHOOSE(CONTROL!$C$23, $C$12, 100%, $E$12)</f>
        <v>6.7614999999999998</v>
      </c>
      <c r="J81" s="66">
        <f>6.7546 * CHOOSE(CONTROL!$C$23, $C$12, 100%, $E$12)</f>
        <v>6.7545999999999999</v>
      </c>
      <c r="K81" s="66">
        <f>6.7615 * CHOOSE(CONTROL!$C$23, $C$12, 100%, $E$12)</f>
        <v>6.7614999999999998</v>
      </c>
      <c r="L81" s="66">
        <f>3.8678 * CHOOSE(CONTROL!$C$23, $C$12, 100%, $E$12)</f>
        <v>3.8677999999999999</v>
      </c>
      <c r="M81" s="66">
        <f>3.8747 * CHOOSE(CONTROL!$C$23, $C$12, 100%, $E$12)</f>
        <v>3.8746999999999998</v>
      </c>
      <c r="N81" s="66">
        <f>3.8678 * CHOOSE(CONTROL!$C$23, $C$12, 100%, $E$12)</f>
        <v>3.8677999999999999</v>
      </c>
      <c r="O81" s="66">
        <f>3.8747 * CHOOSE(CONTROL!$C$23, $C$12, 100%, $E$12)</f>
        <v>3.8746999999999998</v>
      </c>
      <c r="P81" s="4"/>
      <c r="Q81" s="4"/>
      <c r="R81" s="4"/>
    </row>
    <row r="82" spans="1:18" ht="15">
      <c r="A82" s="13">
        <v>43647</v>
      </c>
      <c r="B82" s="65">
        <f>3.1331 * CHOOSE(CONTROL!$C$23, $C$12, 100%, $E$12)</f>
        <v>3.1331000000000002</v>
      </c>
      <c r="C82" s="65">
        <f>3.1331 * CHOOSE(CONTROL!$C$23, $C$12, 100%, $E$12)</f>
        <v>3.1331000000000002</v>
      </c>
      <c r="D82" s="65">
        <f>3.1387 * CHOOSE(CONTROL!$C$23, $C$12, 100%, $E$12)</f>
        <v>3.1387</v>
      </c>
      <c r="E82" s="66">
        <f>3.901 * CHOOSE(CONTROL!$C$23, $C$12, 100%, $E$12)</f>
        <v>3.9009999999999998</v>
      </c>
      <c r="F82" s="66">
        <f>3.901 * CHOOSE(CONTROL!$C$23, $C$12, 100%, $E$12)</f>
        <v>3.9009999999999998</v>
      </c>
      <c r="G82" s="66">
        <f>3.9079 * CHOOSE(CONTROL!$C$23, $C$12, 100%, $E$12)</f>
        <v>3.9079000000000002</v>
      </c>
      <c r="H82" s="66">
        <f>6.7687* CHOOSE(CONTROL!$C$23, $C$12, 100%, $E$12)</f>
        <v>6.7686999999999999</v>
      </c>
      <c r="I82" s="66">
        <f>6.7756 * CHOOSE(CONTROL!$C$23, $C$12, 100%, $E$12)</f>
        <v>6.7755999999999998</v>
      </c>
      <c r="J82" s="66">
        <f>6.7687 * CHOOSE(CONTROL!$C$23, $C$12, 100%, $E$12)</f>
        <v>6.7686999999999999</v>
      </c>
      <c r="K82" s="66">
        <f>6.7756 * CHOOSE(CONTROL!$C$23, $C$12, 100%, $E$12)</f>
        <v>6.7755999999999998</v>
      </c>
      <c r="L82" s="66">
        <f>3.901 * CHOOSE(CONTROL!$C$23, $C$12, 100%, $E$12)</f>
        <v>3.9009999999999998</v>
      </c>
      <c r="M82" s="66">
        <f>3.9079 * CHOOSE(CONTROL!$C$23, $C$12, 100%, $E$12)</f>
        <v>3.9079000000000002</v>
      </c>
      <c r="N82" s="66">
        <f>3.901 * CHOOSE(CONTROL!$C$23, $C$12, 100%, $E$12)</f>
        <v>3.9009999999999998</v>
      </c>
      <c r="O82" s="66">
        <f>3.9079 * CHOOSE(CONTROL!$C$23, $C$12, 100%, $E$12)</f>
        <v>3.9079000000000002</v>
      </c>
      <c r="P82" s="4"/>
      <c r="Q82" s="4"/>
      <c r="R82" s="4"/>
    </row>
    <row r="83" spans="1:18" ht="15">
      <c r="A83" s="13">
        <v>43678</v>
      </c>
      <c r="B83" s="65">
        <f>3.1398 * CHOOSE(CONTROL!$C$23, $C$12, 100%, $E$12)</f>
        <v>3.1398000000000001</v>
      </c>
      <c r="C83" s="65">
        <f>3.1398 * CHOOSE(CONTROL!$C$23, $C$12, 100%, $E$12)</f>
        <v>3.1398000000000001</v>
      </c>
      <c r="D83" s="65">
        <f>3.1454 * CHOOSE(CONTROL!$C$23, $C$12, 100%, $E$12)</f>
        <v>3.1454</v>
      </c>
      <c r="E83" s="66">
        <f>3.8637 * CHOOSE(CONTROL!$C$23, $C$12, 100%, $E$12)</f>
        <v>3.8637000000000001</v>
      </c>
      <c r="F83" s="66">
        <f>3.8637 * CHOOSE(CONTROL!$C$23, $C$12, 100%, $E$12)</f>
        <v>3.8637000000000001</v>
      </c>
      <c r="G83" s="66">
        <f>3.8706 * CHOOSE(CONTROL!$C$23, $C$12, 100%, $E$12)</f>
        <v>3.8706</v>
      </c>
      <c r="H83" s="66">
        <f>6.7828* CHOOSE(CONTROL!$C$23, $C$12, 100%, $E$12)</f>
        <v>6.7827999999999999</v>
      </c>
      <c r="I83" s="66">
        <f>6.7897 * CHOOSE(CONTROL!$C$23, $C$12, 100%, $E$12)</f>
        <v>6.7896999999999998</v>
      </c>
      <c r="J83" s="66">
        <f>6.7828 * CHOOSE(CONTROL!$C$23, $C$12, 100%, $E$12)</f>
        <v>6.7827999999999999</v>
      </c>
      <c r="K83" s="66">
        <f>6.7897 * CHOOSE(CONTROL!$C$23, $C$12, 100%, $E$12)</f>
        <v>6.7896999999999998</v>
      </c>
      <c r="L83" s="66">
        <f>3.8637 * CHOOSE(CONTROL!$C$23, $C$12, 100%, $E$12)</f>
        <v>3.8637000000000001</v>
      </c>
      <c r="M83" s="66">
        <f>3.8706 * CHOOSE(CONTROL!$C$23, $C$12, 100%, $E$12)</f>
        <v>3.8706</v>
      </c>
      <c r="N83" s="66">
        <f>3.8637 * CHOOSE(CONTROL!$C$23, $C$12, 100%, $E$12)</f>
        <v>3.8637000000000001</v>
      </c>
      <c r="O83" s="66">
        <f>3.8706 * CHOOSE(CONTROL!$C$23, $C$12, 100%, $E$12)</f>
        <v>3.8706</v>
      </c>
      <c r="P83" s="4"/>
      <c r="Q83" s="4"/>
      <c r="R83" s="4"/>
    </row>
    <row r="84" spans="1:18" ht="15">
      <c r="A84" s="13">
        <v>43709</v>
      </c>
      <c r="B84" s="65">
        <f>3.1367 * CHOOSE(CONTROL!$C$23, $C$12, 100%, $E$12)</f>
        <v>3.1366999999999998</v>
      </c>
      <c r="C84" s="65">
        <f>3.1367 * CHOOSE(CONTROL!$C$23, $C$12, 100%, $E$12)</f>
        <v>3.1366999999999998</v>
      </c>
      <c r="D84" s="65">
        <f>3.1424 * CHOOSE(CONTROL!$C$23, $C$12, 100%, $E$12)</f>
        <v>3.1423999999999999</v>
      </c>
      <c r="E84" s="66">
        <f>3.8569 * CHOOSE(CONTROL!$C$23, $C$12, 100%, $E$12)</f>
        <v>3.8569</v>
      </c>
      <c r="F84" s="66">
        <f>3.8569 * CHOOSE(CONTROL!$C$23, $C$12, 100%, $E$12)</f>
        <v>3.8569</v>
      </c>
      <c r="G84" s="66">
        <f>3.8638 * CHOOSE(CONTROL!$C$23, $C$12, 100%, $E$12)</f>
        <v>3.8637999999999999</v>
      </c>
      <c r="H84" s="66">
        <f>6.7969* CHOOSE(CONTROL!$C$23, $C$12, 100%, $E$12)</f>
        <v>6.7968999999999999</v>
      </c>
      <c r="I84" s="66">
        <f>6.8038 * CHOOSE(CONTROL!$C$23, $C$12, 100%, $E$12)</f>
        <v>6.8037999999999998</v>
      </c>
      <c r="J84" s="66">
        <f>6.7969 * CHOOSE(CONTROL!$C$23, $C$12, 100%, $E$12)</f>
        <v>6.7968999999999999</v>
      </c>
      <c r="K84" s="66">
        <f>6.8038 * CHOOSE(CONTROL!$C$23, $C$12, 100%, $E$12)</f>
        <v>6.8037999999999998</v>
      </c>
      <c r="L84" s="66">
        <f>3.8569 * CHOOSE(CONTROL!$C$23, $C$12, 100%, $E$12)</f>
        <v>3.8569</v>
      </c>
      <c r="M84" s="66">
        <f>3.8638 * CHOOSE(CONTROL!$C$23, $C$12, 100%, $E$12)</f>
        <v>3.8637999999999999</v>
      </c>
      <c r="N84" s="66">
        <f>3.8569 * CHOOSE(CONTROL!$C$23, $C$12, 100%, $E$12)</f>
        <v>3.8569</v>
      </c>
      <c r="O84" s="66">
        <f>3.8638 * CHOOSE(CONTROL!$C$23, $C$12, 100%, $E$12)</f>
        <v>3.8637999999999999</v>
      </c>
      <c r="P84" s="4"/>
      <c r="Q84" s="4"/>
      <c r="R84" s="4"/>
    </row>
    <row r="85" spans="1:18" ht="15">
      <c r="A85" s="13">
        <v>43739</v>
      </c>
      <c r="B85" s="65">
        <f>3.1284 * CHOOSE(CONTROL!$C$23, $C$12, 100%, $E$12)</f>
        <v>3.1284000000000001</v>
      </c>
      <c r="C85" s="65">
        <f>3.1284 * CHOOSE(CONTROL!$C$23, $C$12, 100%, $E$12)</f>
        <v>3.1284000000000001</v>
      </c>
      <c r="D85" s="65">
        <f>3.1324 * CHOOSE(CONTROL!$C$23, $C$12, 100%, $E$12)</f>
        <v>3.1324000000000001</v>
      </c>
      <c r="E85" s="66">
        <f>3.8621 * CHOOSE(CONTROL!$C$23, $C$12, 100%, $E$12)</f>
        <v>3.8620999999999999</v>
      </c>
      <c r="F85" s="66">
        <f>3.8621 * CHOOSE(CONTROL!$C$23, $C$12, 100%, $E$12)</f>
        <v>3.8620999999999999</v>
      </c>
      <c r="G85" s="66">
        <f>3.8671 * CHOOSE(CONTROL!$C$23, $C$12, 100%, $E$12)</f>
        <v>3.8671000000000002</v>
      </c>
      <c r="H85" s="66">
        <f>6.8111* CHOOSE(CONTROL!$C$23, $C$12, 100%, $E$12)</f>
        <v>6.8110999999999997</v>
      </c>
      <c r="I85" s="66">
        <f>6.816 * CHOOSE(CONTROL!$C$23, $C$12, 100%, $E$12)</f>
        <v>6.8159999999999998</v>
      </c>
      <c r="J85" s="66">
        <f>6.8111 * CHOOSE(CONTROL!$C$23, $C$12, 100%, $E$12)</f>
        <v>6.8110999999999997</v>
      </c>
      <c r="K85" s="66">
        <f>6.816 * CHOOSE(CONTROL!$C$23, $C$12, 100%, $E$12)</f>
        <v>6.8159999999999998</v>
      </c>
      <c r="L85" s="66">
        <f>3.8621 * CHOOSE(CONTROL!$C$23, $C$12, 100%, $E$12)</f>
        <v>3.8620999999999999</v>
      </c>
      <c r="M85" s="66">
        <f>3.8671 * CHOOSE(CONTROL!$C$23, $C$12, 100%, $E$12)</f>
        <v>3.8671000000000002</v>
      </c>
      <c r="N85" s="66">
        <f>3.8621 * CHOOSE(CONTROL!$C$23, $C$12, 100%, $E$12)</f>
        <v>3.8620999999999999</v>
      </c>
      <c r="O85" s="66">
        <f>3.8671 * CHOOSE(CONTROL!$C$23, $C$12, 100%, $E$12)</f>
        <v>3.8671000000000002</v>
      </c>
      <c r="P85" s="4"/>
      <c r="Q85" s="4"/>
      <c r="R85" s="4"/>
    </row>
    <row r="86" spans="1:18" ht="15">
      <c r="A86" s="13">
        <v>43770</v>
      </c>
      <c r="B86" s="65">
        <f>3.1314 * CHOOSE(CONTROL!$C$23, $C$12, 100%, $E$12)</f>
        <v>3.1314000000000002</v>
      </c>
      <c r="C86" s="65">
        <f>3.1314 * CHOOSE(CONTROL!$C$23, $C$12, 100%, $E$12)</f>
        <v>3.1314000000000002</v>
      </c>
      <c r="D86" s="65">
        <f>3.1354 * CHOOSE(CONTROL!$C$23, $C$12, 100%, $E$12)</f>
        <v>3.1354000000000002</v>
      </c>
      <c r="E86" s="66">
        <f>3.8736 * CHOOSE(CONTROL!$C$23, $C$12, 100%, $E$12)</f>
        <v>3.8736000000000002</v>
      </c>
      <c r="F86" s="66">
        <f>3.8736 * CHOOSE(CONTROL!$C$23, $C$12, 100%, $E$12)</f>
        <v>3.8736000000000002</v>
      </c>
      <c r="G86" s="66">
        <f>3.8785 * CHOOSE(CONTROL!$C$23, $C$12, 100%, $E$12)</f>
        <v>3.8784999999999998</v>
      </c>
      <c r="H86" s="66">
        <f>6.8253* CHOOSE(CONTROL!$C$23, $C$12, 100%, $E$12)</f>
        <v>6.8253000000000004</v>
      </c>
      <c r="I86" s="66">
        <f>6.8302 * CHOOSE(CONTROL!$C$23, $C$12, 100%, $E$12)</f>
        <v>6.8301999999999996</v>
      </c>
      <c r="J86" s="66">
        <f>6.8253 * CHOOSE(CONTROL!$C$23, $C$12, 100%, $E$12)</f>
        <v>6.8253000000000004</v>
      </c>
      <c r="K86" s="66">
        <f>6.8302 * CHOOSE(CONTROL!$C$23, $C$12, 100%, $E$12)</f>
        <v>6.8301999999999996</v>
      </c>
      <c r="L86" s="66">
        <f>3.8736 * CHOOSE(CONTROL!$C$23, $C$12, 100%, $E$12)</f>
        <v>3.8736000000000002</v>
      </c>
      <c r="M86" s="66">
        <f>3.8785 * CHOOSE(CONTROL!$C$23, $C$12, 100%, $E$12)</f>
        <v>3.8784999999999998</v>
      </c>
      <c r="N86" s="66">
        <f>3.8736 * CHOOSE(CONTROL!$C$23, $C$12, 100%, $E$12)</f>
        <v>3.8736000000000002</v>
      </c>
      <c r="O86" s="66">
        <f>3.8785 * CHOOSE(CONTROL!$C$23, $C$12, 100%, $E$12)</f>
        <v>3.8784999999999998</v>
      </c>
      <c r="P86" s="4"/>
      <c r="Q86" s="4"/>
      <c r="R86" s="4"/>
    </row>
    <row r="87" spans="1:18" ht="15">
      <c r="A87" s="13">
        <v>43800</v>
      </c>
      <c r="B87" s="65">
        <f>3.1314 * CHOOSE(CONTROL!$C$23, $C$12, 100%, $E$12)</f>
        <v>3.1314000000000002</v>
      </c>
      <c r="C87" s="65">
        <f>3.1314 * CHOOSE(CONTROL!$C$23, $C$12, 100%, $E$12)</f>
        <v>3.1314000000000002</v>
      </c>
      <c r="D87" s="65">
        <f>3.1354 * CHOOSE(CONTROL!$C$23, $C$12, 100%, $E$12)</f>
        <v>3.1354000000000002</v>
      </c>
      <c r="E87" s="66">
        <f>3.8503 * CHOOSE(CONTROL!$C$23, $C$12, 100%, $E$12)</f>
        <v>3.8502999999999998</v>
      </c>
      <c r="F87" s="66">
        <f>3.8503 * CHOOSE(CONTROL!$C$23, $C$12, 100%, $E$12)</f>
        <v>3.8502999999999998</v>
      </c>
      <c r="G87" s="66">
        <f>3.8552 * CHOOSE(CONTROL!$C$23, $C$12, 100%, $E$12)</f>
        <v>3.8552</v>
      </c>
      <c r="H87" s="66">
        <f>6.8395* CHOOSE(CONTROL!$C$23, $C$12, 100%, $E$12)</f>
        <v>6.8395000000000001</v>
      </c>
      <c r="I87" s="66">
        <f>6.8444 * CHOOSE(CONTROL!$C$23, $C$12, 100%, $E$12)</f>
        <v>6.8444000000000003</v>
      </c>
      <c r="J87" s="66">
        <f>6.8395 * CHOOSE(CONTROL!$C$23, $C$12, 100%, $E$12)</f>
        <v>6.8395000000000001</v>
      </c>
      <c r="K87" s="66">
        <f>6.8444 * CHOOSE(CONTROL!$C$23, $C$12, 100%, $E$12)</f>
        <v>6.8444000000000003</v>
      </c>
      <c r="L87" s="66">
        <f>3.8503 * CHOOSE(CONTROL!$C$23, $C$12, 100%, $E$12)</f>
        <v>3.8502999999999998</v>
      </c>
      <c r="M87" s="66">
        <f>3.8552 * CHOOSE(CONTROL!$C$23, $C$12, 100%, $E$12)</f>
        <v>3.8552</v>
      </c>
      <c r="N87" s="66">
        <f>3.8503 * CHOOSE(CONTROL!$C$23, $C$12, 100%, $E$12)</f>
        <v>3.8502999999999998</v>
      </c>
      <c r="O87" s="66">
        <f>3.8552 * CHOOSE(CONTROL!$C$23, $C$12, 100%, $E$12)</f>
        <v>3.8552</v>
      </c>
      <c r="P87" s="4"/>
      <c r="Q87" s="4"/>
      <c r="R87" s="4"/>
    </row>
    <row r="88" spans="1:18" ht="15">
      <c r="A88" s="13">
        <v>43831</v>
      </c>
      <c r="B88" s="65">
        <f>3.167 * CHOOSE(CONTROL!$C$23, $C$12, 100%, $E$12)</f>
        <v>3.1669999999999998</v>
      </c>
      <c r="C88" s="65">
        <f>3.167 * CHOOSE(CONTROL!$C$23, $C$12, 100%, $E$12)</f>
        <v>3.1669999999999998</v>
      </c>
      <c r="D88" s="65">
        <f>3.171 * CHOOSE(CONTROL!$C$23, $C$12, 100%, $E$12)</f>
        <v>3.1709999999999998</v>
      </c>
      <c r="E88" s="66">
        <f>3.8608 * CHOOSE(CONTROL!$C$23, $C$12, 100%, $E$12)</f>
        <v>3.8607999999999998</v>
      </c>
      <c r="F88" s="66">
        <f>3.8608 * CHOOSE(CONTROL!$C$23, $C$12, 100%, $E$12)</f>
        <v>3.8607999999999998</v>
      </c>
      <c r="G88" s="66">
        <f>3.8658 * CHOOSE(CONTROL!$C$23, $C$12, 100%, $E$12)</f>
        <v>3.8658000000000001</v>
      </c>
      <c r="H88" s="66">
        <f>6.8538* CHOOSE(CONTROL!$C$23, $C$12, 100%, $E$12)</f>
        <v>6.8537999999999997</v>
      </c>
      <c r="I88" s="66">
        <f>6.8587 * CHOOSE(CONTROL!$C$23, $C$12, 100%, $E$12)</f>
        <v>6.8586999999999998</v>
      </c>
      <c r="J88" s="66">
        <f>6.8538 * CHOOSE(CONTROL!$C$23, $C$12, 100%, $E$12)</f>
        <v>6.8537999999999997</v>
      </c>
      <c r="K88" s="66">
        <f>6.8587 * CHOOSE(CONTROL!$C$23, $C$12, 100%, $E$12)</f>
        <v>6.8586999999999998</v>
      </c>
      <c r="L88" s="66">
        <f>3.8608 * CHOOSE(CONTROL!$C$23, $C$12, 100%, $E$12)</f>
        <v>3.8607999999999998</v>
      </c>
      <c r="M88" s="66">
        <f>3.8658 * CHOOSE(CONTROL!$C$23, $C$12, 100%, $E$12)</f>
        <v>3.8658000000000001</v>
      </c>
      <c r="N88" s="66">
        <f>3.8608 * CHOOSE(CONTROL!$C$23, $C$12, 100%, $E$12)</f>
        <v>3.8607999999999998</v>
      </c>
      <c r="O88" s="66">
        <f>3.8658 * CHOOSE(CONTROL!$C$23, $C$12, 100%, $E$12)</f>
        <v>3.8658000000000001</v>
      </c>
      <c r="P88" s="4"/>
      <c r="Q88" s="4"/>
      <c r="R88" s="4"/>
    </row>
    <row r="89" spans="1:18" ht="15">
      <c r="A89" s="13">
        <v>43862</v>
      </c>
      <c r="B89" s="65">
        <f>3.164 * CHOOSE(CONTROL!$C$23, $C$12, 100%, $E$12)</f>
        <v>3.1640000000000001</v>
      </c>
      <c r="C89" s="65">
        <f>3.164 * CHOOSE(CONTROL!$C$23, $C$12, 100%, $E$12)</f>
        <v>3.1640000000000001</v>
      </c>
      <c r="D89" s="65">
        <f>3.168 * CHOOSE(CONTROL!$C$23, $C$12, 100%, $E$12)</f>
        <v>3.1680000000000001</v>
      </c>
      <c r="E89" s="66">
        <f>3.8041 * CHOOSE(CONTROL!$C$23, $C$12, 100%, $E$12)</f>
        <v>3.8041</v>
      </c>
      <c r="F89" s="66">
        <f>3.8041 * CHOOSE(CONTROL!$C$23, $C$12, 100%, $E$12)</f>
        <v>3.8041</v>
      </c>
      <c r="G89" s="66">
        <f>3.809 * CHOOSE(CONTROL!$C$23, $C$12, 100%, $E$12)</f>
        <v>3.8090000000000002</v>
      </c>
      <c r="H89" s="66">
        <f>6.868* CHOOSE(CONTROL!$C$23, $C$12, 100%, $E$12)</f>
        <v>6.8680000000000003</v>
      </c>
      <c r="I89" s="66">
        <f>6.873 * CHOOSE(CONTROL!$C$23, $C$12, 100%, $E$12)</f>
        <v>6.8730000000000002</v>
      </c>
      <c r="J89" s="66">
        <f>6.868 * CHOOSE(CONTROL!$C$23, $C$12, 100%, $E$12)</f>
        <v>6.8680000000000003</v>
      </c>
      <c r="K89" s="66">
        <f>6.873 * CHOOSE(CONTROL!$C$23, $C$12, 100%, $E$12)</f>
        <v>6.8730000000000002</v>
      </c>
      <c r="L89" s="66">
        <f>3.8041 * CHOOSE(CONTROL!$C$23, $C$12, 100%, $E$12)</f>
        <v>3.8041</v>
      </c>
      <c r="M89" s="66">
        <f>3.809 * CHOOSE(CONTROL!$C$23, $C$12, 100%, $E$12)</f>
        <v>3.8090000000000002</v>
      </c>
      <c r="N89" s="66">
        <f>3.8041 * CHOOSE(CONTROL!$C$23, $C$12, 100%, $E$12)</f>
        <v>3.8041</v>
      </c>
      <c r="O89" s="66">
        <f>3.809 * CHOOSE(CONTROL!$C$23, $C$12, 100%, $E$12)</f>
        <v>3.8090000000000002</v>
      </c>
      <c r="P89" s="4"/>
      <c r="Q89" s="4"/>
      <c r="R89" s="4"/>
    </row>
    <row r="90" spans="1:18" ht="15">
      <c r="A90" s="13">
        <v>43891</v>
      </c>
      <c r="B90" s="65">
        <f>3.1609 * CHOOSE(CONTROL!$C$23, $C$12, 100%, $E$12)</f>
        <v>3.1608999999999998</v>
      </c>
      <c r="C90" s="65">
        <f>3.1609 * CHOOSE(CONTROL!$C$23, $C$12, 100%, $E$12)</f>
        <v>3.1608999999999998</v>
      </c>
      <c r="D90" s="65">
        <f>3.1649 * CHOOSE(CONTROL!$C$23, $C$12, 100%, $E$12)</f>
        <v>3.1648999999999998</v>
      </c>
      <c r="E90" s="66">
        <f>3.845 * CHOOSE(CONTROL!$C$23, $C$12, 100%, $E$12)</f>
        <v>3.8450000000000002</v>
      </c>
      <c r="F90" s="66">
        <f>3.845 * CHOOSE(CONTROL!$C$23, $C$12, 100%, $E$12)</f>
        <v>3.8450000000000002</v>
      </c>
      <c r="G90" s="66">
        <f>3.85 * CHOOSE(CONTROL!$C$23, $C$12, 100%, $E$12)</f>
        <v>3.85</v>
      </c>
      <c r="H90" s="66">
        <f>6.8823* CHOOSE(CONTROL!$C$23, $C$12, 100%, $E$12)</f>
        <v>6.8822999999999999</v>
      </c>
      <c r="I90" s="66">
        <f>6.8873 * CHOOSE(CONTROL!$C$23, $C$12, 100%, $E$12)</f>
        <v>6.8872999999999998</v>
      </c>
      <c r="J90" s="66">
        <f>6.8823 * CHOOSE(CONTROL!$C$23, $C$12, 100%, $E$12)</f>
        <v>6.8822999999999999</v>
      </c>
      <c r="K90" s="66">
        <f>6.8873 * CHOOSE(CONTROL!$C$23, $C$12, 100%, $E$12)</f>
        <v>6.8872999999999998</v>
      </c>
      <c r="L90" s="66">
        <f>3.845 * CHOOSE(CONTROL!$C$23, $C$12, 100%, $E$12)</f>
        <v>3.8450000000000002</v>
      </c>
      <c r="M90" s="66">
        <f>3.85 * CHOOSE(CONTROL!$C$23, $C$12, 100%, $E$12)</f>
        <v>3.85</v>
      </c>
      <c r="N90" s="66">
        <f>3.845 * CHOOSE(CONTROL!$C$23, $C$12, 100%, $E$12)</f>
        <v>3.8450000000000002</v>
      </c>
      <c r="O90" s="66">
        <f>3.85 * CHOOSE(CONTROL!$C$23, $C$12, 100%, $E$12)</f>
        <v>3.85</v>
      </c>
      <c r="P90" s="4"/>
      <c r="Q90" s="4"/>
      <c r="R90" s="4"/>
    </row>
    <row r="91" spans="1:18" ht="15">
      <c r="A91" s="13">
        <v>43922</v>
      </c>
      <c r="B91" s="65">
        <f>3.1577 * CHOOSE(CONTROL!$C$23, $C$12, 100%, $E$12)</f>
        <v>3.1577000000000002</v>
      </c>
      <c r="C91" s="65">
        <f>3.1577 * CHOOSE(CONTROL!$C$23, $C$12, 100%, $E$12)</f>
        <v>3.1577000000000002</v>
      </c>
      <c r="D91" s="65">
        <f>3.1617 * CHOOSE(CONTROL!$C$23, $C$12, 100%, $E$12)</f>
        <v>3.1617000000000002</v>
      </c>
      <c r="E91" s="66">
        <f>3.8871 * CHOOSE(CONTROL!$C$23, $C$12, 100%, $E$12)</f>
        <v>3.8871000000000002</v>
      </c>
      <c r="F91" s="66">
        <f>3.8871 * CHOOSE(CONTROL!$C$23, $C$12, 100%, $E$12)</f>
        <v>3.8871000000000002</v>
      </c>
      <c r="G91" s="66">
        <f>3.892 * CHOOSE(CONTROL!$C$23, $C$12, 100%, $E$12)</f>
        <v>3.8919999999999999</v>
      </c>
      <c r="H91" s="66">
        <f>6.8967* CHOOSE(CONTROL!$C$23, $C$12, 100%, $E$12)</f>
        <v>6.8967000000000001</v>
      </c>
      <c r="I91" s="66">
        <f>6.9016 * CHOOSE(CONTROL!$C$23, $C$12, 100%, $E$12)</f>
        <v>6.9016000000000002</v>
      </c>
      <c r="J91" s="66">
        <f>6.8967 * CHOOSE(CONTROL!$C$23, $C$12, 100%, $E$12)</f>
        <v>6.8967000000000001</v>
      </c>
      <c r="K91" s="66">
        <f>6.9016 * CHOOSE(CONTROL!$C$23, $C$12, 100%, $E$12)</f>
        <v>6.9016000000000002</v>
      </c>
      <c r="L91" s="66">
        <f>3.8871 * CHOOSE(CONTROL!$C$23, $C$12, 100%, $E$12)</f>
        <v>3.8871000000000002</v>
      </c>
      <c r="M91" s="66">
        <f>3.892 * CHOOSE(CONTROL!$C$23, $C$12, 100%, $E$12)</f>
        <v>3.8919999999999999</v>
      </c>
      <c r="N91" s="66">
        <f>3.8871 * CHOOSE(CONTROL!$C$23, $C$12, 100%, $E$12)</f>
        <v>3.8871000000000002</v>
      </c>
      <c r="O91" s="66">
        <f>3.892 * CHOOSE(CONTROL!$C$23, $C$12, 100%, $E$12)</f>
        <v>3.8919999999999999</v>
      </c>
      <c r="P91" s="4"/>
      <c r="Q91" s="4"/>
      <c r="R91" s="4"/>
    </row>
    <row r="92" spans="1:18" ht="15">
      <c r="A92" s="13">
        <v>43952</v>
      </c>
      <c r="B92" s="65">
        <f>3.1577 * CHOOSE(CONTROL!$C$23, $C$12, 100%, $E$12)</f>
        <v>3.1577000000000002</v>
      </c>
      <c r="C92" s="65">
        <f>3.1577 * CHOOSE(CONTROL!$C$23, $C$12, 100%, $E$12)</f>
        <v>3.1577000000000002</v>
      </c>
      <c r="D92" s="65">
        <f>3.1634 * CHOOSE(CONTROL!$C$23, $C$12, 100%, $E$12)</f>
        <v>3.1634000000000002</v>
      </c>
      <c r="E92" s="66">
        <f>3.9044 * CHOOSE(CONTROL!$C$23, $C$12, 100%, $E$12)</f>
        <v>3.9043999999999999</v>
      </c>
      <c r="F92" s="66">
        <f>3.9044 * CHOOSE(CONTROL!$C$23, $C$12, 100%, $E$12)</f>
        <v>3.9043999999999999</v>
      </c>
      <c r="G92" s="66">
        <f>3.9113 * CHOOSE(CONTROL!$C$23, $C$12, 100%, $E$12)</f>
        <v>3.9113000000000002</v>
      </c>
      <c r="H92" s="66">
        <f>6.911* CHOOSE(CONTROL!$C$23, $C$12, 100%, $E$12)</f>
        <v>6.9109999999999996</v>
      </c>
      <c r="I92" s="66">
        <f>6.9179 * CHOOSE(CONTROL!$C$23, $C$12, 100%, $E$12)</f>
        <v>6.9179000000000004</v>
      </c>
      <c r="J92" s="66">
        <f>6.911 * CHOOSE(CONTROL!$C$23, $C$12, 100%, $E$12)</f>
        <v>6.9109999999999996</v>
      </c>
      <c r="K92" s="66">
        <f>6.9179 * CHOOSE(CONTROL!$C$23, $C$12, 100%, $E$12)</f>
        <v>6.9179000000000004</v>
      </c>
      <c r="L92" s="66">
        <f>3.9044 * CHOOSE(CONTROL!$C$23, $C$12, 100%, $E$12)</f>
        <v>3.9043999999999999</v>
      </c>
      <c r="M92" s="66">
        <f>3.9113 * CHOOSE(CONTROL!$C$23, $C$12, 100%, $E$12)</f>
        <v>3.9113000000000002</v>
      </c>
      <c r="N92" s="66">
        <f>3.9044 * CHOOSE(CONTROL!$C$23, $C$12, 100%, $E$12)</f>
        <v>3.9043999999999999</v>
      </c>
      <c r="O92" s="66">
        <f>3.9113 * CHOOSE(CONTROL!$C$23, $C$12, 100%, $E$12)</f>
        <v>3.9113000000000002</v>
      </c>
      <c r="P92" s="4"/>
      <c r="Q92" s="4"/>
      <c r="R92" s="4"/>
    </row>
    <row r="93" spans="1:18" ht="15">
      <c r="A93" s="13">
        <v>43983</v>
      </c>
      <c r="B93" s="65">
        <f>3.1638 * CHOOSE(CONTROL!$C$23, $C$12, 100%, $E$12)</f>
        <v>3.1638000000000002</v>
      </c>
      <c r="C93" s="65">
        <f>3.1638 * CHOOSE(CONTROL!$C$23, $C$12, 100%, $E$12)</f>
        <v>3.1638000000000002</v>
      </c>
      <c r="D93" s="65">
        <f>3.1694 * CHOOSE(CONTROL!$C$23, $C$12, 100%, $E$12)</f>
        <v>3.1694</v>
      </c>
      <c r="E93" s="66">
        <f>3.8913 * CHOOSE(CONTROL!$C$23, $C$12, 100%, $E$12)</f>
        <v>3.8913000000000002</v>
      </c>
      <c r="F93" s="66">
        <f>3.8913 * CHOOSE(CONTROL!$C$23, $C$12, 100%, $E$12)</f>
        <v>3.8913000000000002</v>
      </c>
      <c r="G93" s="66">
        <f>3.8982 * CHOOSE(CONTROL!$C$23, $C$12, 100%, $E$12)</f>
        <v>3.8982000000000001</v>
      </c>
      <c r="H93" s="66">
        <f>6.9254* CHOOSE(CONTROL!$C$23, $C$12, 100%, $E$12)</f>
        <v>6.9253999999999998</v>
      </c>
      <c r="I93" s="66">
        <f>6.9323 * CHOOSE(CONTROL!$C$23, $C$12, 100%, $E$12)</f>
        <v>6.9322999999999997</v>
      </c>
      <c r="J93" s="66">
        <f>6.9254 * CHOOSE(CONTROL!$C$23, $C$12, 100%, $E$12)</f>
        <v>6.9253999999999998</v>
      </c>
      <c r="K93" s="66">
        <f>6.9323 * CHOOSE(CONTROL!$C$23, $C$12, 100%, $E$12)</f>
        <v>6.9322999999999997</v>
      </c>
      <c r="L93" s="66">
        <f>3.8913 * CHOOSE(CONTROL!$C$23, $C$12, 100%, $E$12)</f>
        <v>3.8913000000000002</v>
      </c>
      <c r="M93" s="66">
        <f>3.8982 * CHOOSE(CONTROL!$C$23, $C$12, 100%, $E$12)</f>
        <v>3.8982000000000001</v>
      </c>
      <c r="N93" s="66">
        <f>3.8913 * CHOOSE(CONTROL!$C$23, $C$12, 100%, $E$12)</f>
        <v>3.8913000000000002</v>
      </c>
      <c r="O93" s="66">
        <f>3.8982 * CHOOSE(CONTROL!$C$23, $C$12, 100%, $E$12)</f>
        <v>3.8982000000000001</v>
      </c>
      <c r="P93" s="4"/>
      <c r="Q93" s="4"/>
      <c r="R93" s="4"/>
    </row>
    <row r="94" spans="1:18" ht="15">
      <c r="A94" s="13">
        <v>44013</v>
      </c>
      <c r="B94" s="65">
        <f>3.2348 * CHOOSE(CONTROL!$C$23, $C$12, 100%, $E$12)</f>
        <v>3.2347999999999999</v>
      </c>
      <c r="C94" s="65">
        <f>3.2348 * CHOOSE(CONTROL!$C$23, $C$12, 100%, $E$12)</f>
        <v>3.2347999999999999</v>
      </c>
      <c r="D94" s="65">
        <f>3.2404 * CHOOSE(CONTROL!$C$23, $C$12, 100%, $E$12)</f>
        <v>3.2404000000000002</v>
      </c>
      <c r="E94" s="66">
        <f>3.6313 * CHOOSE(CONTROL!$C$23, $C$12, 100%, $E$12)</f>
        <v>3.6313</v>
      </c>
      <c r="F94" s="66">
        <f>3.6313 * CHOOSE(CONTROL!$C$23, $C$12, 100%, $E$12)</f>
        <v>3.6313</v>
      </c>
      <c r="G94" s="66">
        <f>3.6382 * CHOOSE(CONTROL!$C$23, $C$12, 100%, $E$12)</f>
        <v>3.6381999999999999</v>
      </c>
      <c r="H94" s="66">
        <f>6.9399* CHOOSE(CONTROL!$C$23, $C$12, 100%, $E$12)</f>
        <v>6.9398999999999997</v>
      </c>
      <c r="I94" s="66">
        <f>6.9468 * CHOOSE(CONTROL!$C$23, $C$12, 100%, $E$12)</f>
        <v>6.9467999999999996</v>
      </c>
      <c r="J94" s="66">
        <f>6.9399 * CHOOSE(CONTROL!$C$23, $C$12, 100%, $E$12)</f>
        <v>6.9398999999999997</v>
      </c>
      <c r="K94" s="66">
        <f>6.9468 * CHOOSE(CONTROL!$C$23, $C$12, 100%, $E$12)</f>
        <v>6.9467999999999996</v>
      </c>
      <c r="L94" s="66">
        <f>3.6313 * CHOOSE(CONTROL!$C$23, $C$12, 100%, $E$12)</f>
        <v>3.6313</v>
      </c>
      <c r="M94" s="66">
        <f>3.6382 * CHOOSE(CONTROL!$C$23, $C$12, 100%, $E$12)</f>
        <v>3.6381999999999999</v>
      </c>
      <c r="N94" s="66">
        <f>3.6313 * CHOOSE(CONTROL!$C$23, $C$12, 100%, $E$12)</f>
        <v>3.6313</v>
      </c>
      <c r="O94" s="66">
        <f>3.6382 * CHOOSE(CONTROL!$C$23, $C$12, 100%, $E$12)</f>
        <v>3.6381999999999999</v>
      </c>
      <c r="P94" s="4"/>
      <c r="Q94" s="4"/>
      <c r="R94" s="4"/>
    </row>
    <row r="95" spans="1:18" ht="15">
      <c r="A95" s="13">
        <v>44044</v>
      </c>
      <c r="B95" s="65">
        <f>3.2415 * CHOOSE(CONTROL!$C$23, $C$12, 100%, $E$12)</f>
        <v>3.2414999999999998</v>
      </c>
      <c r="C95" s="65">
        <f>3.2415 * CHOOSE(CONTROL!$C$23, $C$12, 100%, $E$12)</f>
        <v>3.2414999999999998</v>
      </c>
      <c r="D95" s="65">
        <f>3.2471 * CHOOSE(CONTROL!$C$23, $C$12, 100%, $E$12)</f>
        <v>3.2471000000000001</v>
      </c>
      <c r="E95" s="66">
        <f>3.5839 * CHOOSE(CONTROL!$C$23, $C$12, 100%, $E$12)</f>
        <v>3.5838999999999999</v>
      </c>
      <c r="F95" s="66">
        <f>3.5839 * CHOOSE(CONTROL!$C$23, $C$12, 100%, $E$12)</f>
        <v>3.5838999999999999</v>
      </c>
      <c r="G95" s="66">
        <f>3.5908 * CHOOSE(CONTROL!$C$23, $C$12, 100%, $E$12)</f>
        <v>3.5908000000000002</v>
      </c>
      <c r="H95" s="66">
        <f>6.9543* CHOOSE(CONTROL!$C$23, $C$12, 100%, $E$12)</f>
        <v>6.9542999999999999</v>
      </c>
      <c r="I95" s="66">
        <f>6.9612 * CHOOSE(CONTROL!$C$23, $C$12, 100%, $E$12)</f>
        <v>6.9611999999999998</v>
      </c>
      <c r="J95" s="66">
        <f>6.9543 * CHOOSE(CONTROL!$C$23, $C$12, 100%, $E$12)</f>
        <v>6.9542999999999999</v>
      </c>
      <c r="K95" s="66">
        <f>6.9612 * CHOOSE(CONTROL!$C$23, $C$12, 100%, $E$12)</f>
        <v>6.9611999999999998</v>
      </c>
      <c r="L95" s="66">
        <f>3.5839 * CHOOSE(CONTROL!$C$23, $C$12, 100%, $E$12)</f>
        <v>3.5838999999999999</v>
      </c>
      <c r="M95" s="66">
        <f>3.5908 * CHOOSE(CONTROL!$C$23, $C$12, 100%, $E$12)</f>
        <v>3.5908000000000002</v>
      </c>
      <c r="N95" s="66">
        <f>3.5839 * CHOOSE(CONTROL!$C$23, $C$12, 100%, $E$12)</f>
        <v>3.5838999999999999</v>
      </c>
      <c r="O95" s="66">
        <f>3.5908 * CHOOSE(CONTROL!$C$23, $C$12, 100%, $E$12)</f>
        <v>3.5908000000000002</v>
      </c>
      <c r="P95" s="4"/>
      <c r="Q95" s="4"/>
      <c r="R95" s="4"/>
    </row>
    <row r="96" spans="1:18" ht="15">
      <c r="A96" s="13">
        <v>44075</v>
      </c>
      <c r="B96" s="65">
        <f>3.2384 * CHOOSE(CONTROL!$C$23, $C$12, 100%, $E$12)</f>
        <v>3.2383999999999999</v>
      </c>
      <c r="C96" s="65">
        <f>3.2384 * CHOOSE(CONTROL!$C$23, $C$12, 100%, $E$12)</f>
        <v>3.2383999999999999</v>
      </c>
      <c r="D96" s="65">
        <f>3.2441 * CHOOSE(CONTROL!$C$23, $C$12, 100%, $E$12)</f>
        <v>3.2441</v>
      </c>
      <c r="E96" s="66">
        <f>3.576 * CHOOSE(CONTROL!$C$23, $C$12, 100%, $E$12)</f>
        <v>3.5760000000000001</v>
      </c>
      <c r="F96" s="66">
        <f>3.576 * CHOOSE(CONTROL!$C$23, $C$12, 100%, $E$12)</f>
        <v>3.5760000000000001</v>
      </c>
      <c r="G96" s="66">
        <f>3.5829 * CHOOSE(CONTROL!$C$23, $C$12, 100%, $E$12)</f>
        <v>3.5829</v>
      </c>
      <c r="H96" s="66">
        <f>6.9688* CHOOSE(CONTROL!$C$23, $C$12, 100%, $E$12)</f>
        <v>6.9687999999999999</v>
      </c>
      <c r="I96" s="66">
        <f>6.9757 * CHOOSE(CONTROL!$C$23, $C$12, 100%, $E$12)</f>
        <v>6.9756999999999998</v>
      </c>
      <c r="J96" s="66">
        <f>6.9688 * CHOOSE(CONTROL!$C$23, $C$12, 100%, $E$12)</f>
        <v>6.9687999999999999</v>
      </c>
      <c r="K96" s="66">
        <f>6.9757 * CHOOSE(CONTROL!$C$23, $C$12, 100%, $E$12)</f>
        <v>6.9756999999999998</v>
      </c>
      <c r="L96" s="66">
        <f>3.576 * CHOOSE(CONTROL!$C$23, $C$12, 100%, $E$12)</f>
        <v>3.5760000000000001</v>
      </c>
      <c r="M96" s="66">
        <f>3.5829 * CHOOSE(CONTROL!$C$23, $C$12, 100%, $E$12)</f>
        <v>3.5829</v>
      </c>
      <c r="N96" s="66">
        <f>3.576 * CHOOSE(CONTROL!$C$23, $C$12, 100%, $E$12)</f>
        <v>3.5760000000000001</v>
      </c>
      <c r="O96" s="66">
        <f>3.5829 * CHOOSE(CONTROL!$C$23, $C$12, 100%, $E$12)</f>
        <v>3.5829</v>
      </c>
      <c r="P96" s="4"/>
      <c r="Q96" s="4"/>
      <c r="R96" s="4"/>
    </row>
    <row r="97" spans="1:18" ht="15">
      <c r="A97" s="13">
        <v>44105</v>
      </c>
      <c r="B97" s="65">
        <f>3.2304 * CHOOSE(CONTROL!$C$23, $C$12, 100%, $E$12)</f>
        <v>3.2303999999999999</v>
      </c>
      <c r="C97" s="65">
        <f>3.2304 * CHOOSE(CONTROL!$C$23, $C$12, 100%, $E$12)</f>
        <v>3.2303999999999999</v>
      </c>
      <c r="D97" s="65">
        <f>3.2344 * CHOOSE(CONTROL!$C$23, $C$12, 100%, $E$12)</f>
        <v>3.2343999999999999</v>
      </c>
      <c r="E97" s="66">
        <f>3.5857 * CHOOSE(CONTROL!$C$23, $C$12, 100%, $E$12)</f>
        <v>3.5857000000000001</v>
      </c>
      <c r="F97" s="66">
        <f>3.5857 * CHOOSE(CONTROL!$C$23, $C$12, 100%, $E$12)</f>
        <v>3.5857000000000001</v>
      </c>
      <c r="G97" s="66">
        <f>3.5906 * CHOOSE(CONTROL!$C$23, $C$12, 100%, $E$12)</f>
        <v>3.5905999999999998</v>
      </c>
      <c r="H97" s="66">
        <f>6.9833* CHOOSE(CONTROL!$C$23, $C$12, 100%, $E$12)</f>
        <v>6.9832999999999998</v>
      </c>
      <c r="I97" s="66">
        <f>6.9883 * CHOOSE(CONTROL!$C$23, $C$12, 100%, $E$12)</f>
        <v>6.9882999999999997</v>
      </c>
      <c r="J97" s="66">
        <f>6.9833 * CHOOSE(CONTROL!$C$23, $C$12, 100%, $E$12)</f>
        <v>6.9832999999999998</v>
      </c>
      <c r="K97" s="66">
        <f>6.9883 * CHOOSE(CONTROL!$C$23, $C$12, 100%, $E$12)</f>
        <v>6.9882999999999997</v>
      </c>
      <c r="L97" s="66">
        <f>3.5857 * CHOOSE(CONTROL!$C$23, $C$12, 100%, $E$12)</f>
        <v>3.5857000000000001</v>
      </c>
      <c r="M97" s="66">
        <f>3.5906 * CHOOSE(CONTROL!$C$23, $C$12, 100%, $E$12)</f>
        <v>3.5905999999999998</v>
      </c>
      <c r="N97" s="66">
        <f>3.5857 * CHOOSE(CONTROL!$C$23, $C$12, 100%, $E$12)</f>
        <v>3.5857000000000001</v>
      </c>
      <c r="O97" s="66">
        <f>3.5906 * CHOOSE(CONTROL!$C$23, $C$12, 100%, $E$12)</f>
        <v>3.5905999999999998</v>
      </c>
      <c r="P97" s="4"/>
      <c r="Q97" s="4"/>
      <c r="R97" s="4"/>
    </row>
    <row r="98" spans="1:18" ht="15">
      <c r="A98" s="13">
        <v>44136</v>
      </c>
      <c r="B98" s="65">
        <f>3.2335 * CHOOSE(CONTROL!$C$23, $C$12, 100%, $E$12)</f>
        <v>3.2334999999999998</v>
      </c>
      <c r="C98" s="65">
        <f>3.2335 * CHOOSE(CONTROL!$C$23, $C$12, 100%, $E$12)</f>
        <v>3.2334999999999998</v>
      </c>
      <c r="D98" s="65">
        <f>3.2375 * CHOOSE(CONTROL!$C$23, $C$12, 100%, $E$12)</f>
        <v>3.2374999999999998</v>
      </c>
      <c r="E98" s="66">
        <f>3.5994 * CHOOSE(CONTROL!$C$23, $C$12, 100%, $E$12)</f>
        <v>3.5994000000000002</v>
      </c>
      <c r="F98" s="66">
        <f>3.5994 * CHOOSE(CONTROL!$C$23, $C$12, 100%, $E$12)</f>
        <v>3.5994000000000002</v>
      </c>
      <c r="G98" s="66">
        <f>3.6043 * CHOOSE(CONTROL!$C$23, $C$12, 100%, $E$12)</f>
        <v>3.6042999999999998</v>
      </c>
      <c r="H98" s="66">
        <f>6.9979* CHOOSE(CONTROL!$C$23, $C$12, 100%, $E$12)</f>
        <v>6.9978999999999996</v>
      </c>
      <c r="I98" s="66">
        <f>7.0028 * CHOOSE(CONTROL!$C$23, $C$12, 100%, $E$12)</f>
        <v>7.0027999999999997</v>
      </c>
      <c r="J98" s="66">
        <f>6.9979 * CHOOSE(CONTROL!$C$23, $C$12, 100%, $E$12)</f>
        <v>6.9978999999999996</v>
      </c>
      <c r="K98" s="66">
        <f>7.0028 * CHOOSE(CONTROL!$C$23, $C$12, 100%, $E$12)</f>
        <v>7.0027999999999997</v>
      </c>
      <c r="L98" s="66">
        <f>3.5994 * CHOOSE(CONTROL!$C$23, $C$12, 100%, $E$12)</f>
        <v>3.5994000000000002</v>
      </c>
      <c r="M98" s="66">
        <f>3.6043 * CHOOSE(CONTROL!$C$23, $C$12, 100%, $E$12)</f>
        <v>3.6042999999999998</v>
      </c>
      <c r="N98" s="66">
        <f>3.5994 * CHOOSE(CONTROL!$C$23, $C$12, 100%, $E$12)</f>
        <v>3.5994000000000002</v>
      </c>
      <c r="O98" s="66">
        <f>3.6043 * CHOOSE(CONTROL!$C$23, $C$12, 100%, $E$12)</f>
        <v>3.6042999999999998</v>
      </c>
      <c r="P98" s="4"/>
      <c r="Q98" s="4"/>
      <c r="R98" s="4"/>
    </row>
    <row r="99" spans="1:18" ht="15">
      <c r="A99" s="13">
        <v>44166</v>
      </c>
      <c r="B99" s="65">
        <f>3.2335 * CHOOSE(CONTROL!$C$23, $C$12, 100%, $E$12)</f>
        <v>3.2334999999999998</v>
      </c>
      <c r="C99" s="65">
        <f>3.2335 * CHOOSE(CONTROL!$C$23, $C$12, 100%, $E$12)</f>
        <v>3.2334999999999998</v>
      </c>
      <c r="D99" s="65">
        <f>3.2375 * CHOOSE(CONTROL!$C$23, $C$12, 100%, $E$12)</f>
        <v>3.2374999999999998</v>
      </c>
      <c r="E99" s="66">
        <f>3.5704 * CHOOSE(CONTROL!$C$23, $C$12, 100%, $E$12)</f>
        <v>3.5703999999999998</v>
      </c>
      <c r="F99" s="66">
        <f>3.5704 * CHOOSE(CONTROL!$C$23, $C$12, 100%, $E$12)</f>
        <v>3.5703999999999998</v>
      </c>
      <c r="G99" s="66">
        <f>3.5754 * CHOOSE(CONTROL!$C$23, $C$12, 100%, $E$12)</f>
        <v>3.5754000000000001</v>
      </c>
      <c r="H99" s="66">
        <f>7.0125* CHOOSE(CONTROL!$C$23, $C$12, 100%, $E$12)</f>
        <v>7.0125000000000002</v>
      </c>
      <c r="I99" s="66">
        <f>7.0174 * CHOOSE(CONTROL!$C$23, $C$12, 100%, $E$12)</f>
        <v>7.0174000000000003</v>
      </c>
      <c r="J99" s="66">
        <f>7.0125 * CHOOSE(CONTROL!$C$23, $C$12, 100%, $E$12)</f>
        <v>7.0125000000000002</v>
      </c>
      <c r="K99" s="66">
        <f>7.0174 * CHOOSE(CONTROL!$C$23, $C$12, 100%, $E$12)</f>
        <v>7.0174000000000003</v>
      </c>
      <c r="L99" s="66">
        <f>3.5704 * CHOOSE(CONTROL!$C$23, $C$12, 100%, $E$12)</f>
        <v>3.5703999999999998</v>
      </c>
      <c r="M99" s="66">
        <f>3.5754 * CHOOSE(CONTROL!$C$23, $C$12, 100%, $E$12)</f>
        <v>3.5754000000000001</v>
      </c>
      <c r="N99" s="66">
        <f>3.5704 * CHOOSE(CONTROL!$C$23, $C$12, 100%, $E$12)</f>
        <v>3.5703999999999998</v>
      </c>
      <c r="O99" s="66">
        <f>3.5754 * CHOOSE(CONTROL!$C$23, $C$12, 100%, $E$12)</f>
        <v>3.5754000000000001</v>
      </c>
      <c r="P99" s="4"/>
      <c r="Q99" s="4"/>
      <c r="R99" s="4"/>
    </row>
    <row r="100" spans="1:18" ht="15">
      <c r="A100" s="13">
        <v>44197</v>
      </c>
      <c r="B100" s="65">
        <f>3.2543 * CHOOSE(CONTROL!$C$23, $C$12, 100%, $E$12)</f>
        <v>3.2543000000000002</v>
      </c>
      <c r="C100" s="65">
        <f>3.2543 * CHOOSE(CONTROL!$C$23, $C$12, 100%, $E$12)</f>
        <v>3.2543000000000002</v>
      </c>
      <c r="D100" s="65">
        <f>3.2583 * CHOOSE(CONTROL!$C$23, $C$12, 100%, $E$12)</f>
        <v>3.2583000000000002</v>
      </c>
      <c r="E100" s="66">
        <f>3.6909 * CHOOSE(CONTROL!$C$23, $C$12, 100%, $E$12)</f>
        <v>3.6909000000000001</v>
      </c>
      <c r="F100" s="66">
        <f>3.6909 * CHOOSE(CONTROL!$C$23, $C$12, 100%, $E$12)</f>
        <v>3.6909000000000001</v>
      </c>
      <c r="G100" s="66">
        <f>3.6958 * CHOOSE(CONTROL!$C$23, $C$12, 100%, $E$12)</f>
        <v>3.6958000000000002</v>
      </c>
      <c r="H100" s="66">
        <f>7.0271* CHOOSE(CONTROL!$C$23, $C$12, 100%, $E$12)</f>
        <v>7.0270999999999999</v>
      </c>
      <c r="I100" s="66">
        <f>7.032 * CHOOSE(CONTROL!$C$23, $C$12, 100%, $E$12)</f>
        <v>7.032</v>
      </c>
      <c r="J100" s="66">
        <f>7.0271 * CHOOSE(CONTROL!$C$23, $C$12, 100%, $E$12)</f>
        <v>7.0270999999999999</v>
      </c>
      <c r="K100" s="66">
        <f>7.032 * CHOOSE(CONTROL!$C$23, $C$12, 100%, $E$12)</f>
        <v>7.032</v>
      </c>
      <c r="L100" s="66">
        <f>3.6909 * CHOOSE(CONTROL!$C$23, $C$12, 100%, $E$12)</f>
        <v>3.6909000000000001</v>
      </c>
      <c r="M100" s="66">
        <f>3.6958 * CHOOSE(CONTROL!$C$23, $C$12, 100%, $E$12)</f>
        <v>3.6958000000000002</v>
      </c>
      <c r="N100" s="66">
        <f>3.6909 * CHOOSE(CONTROL!$C$23, $C$12, 100%, $E$12)</f>
        <v>3.6909000000000001</v>
      </c>
      <c r="O100" s="66">
        <f>3.6958 * CHOOSE(CONTROL!$C$23, $C$12, 100%, $E$12)</f>
        <v>3.6958000000000002</v>
      </c>
      <c r="P100" s="4"/>
      <c r="Q100" s="4"/>
      <c r="R100" s="4"/>
    </row>
    <row r="101" spans="1:18" ht="15">
      <c r="A101" s="13">
        <v>44228</v>
      </c>
      <c r="B101" s="65">
        <f>3.2513 * CHOOSE(CONTROL!$C$23, $C$12, 100%, $E$12)</f>
        <v>3.2513000000000001</v>
      </c>
      <c r="C101" s="65">
        <f>3.2513 * CHOOSE(CONTROL!$C$23, $C$12, 100%, $E$12)</f>
        <v>3.2513000000000001</v>
      </c>
      <c r="D101" s="65">
        <f>3.2553 * CHOOSE(CONTROL!$C$23, $C$12, 100%, $E$12)</f>
        <v>3.2553000000000001</v>
      </c>
      <c r="E101" s="66">
        <f>3.6298 * CHOOSE(CONTROL!$C$23, $C$12, 100%, $E$12)</f>
        <v>3.6297999999999999</v>
      </c>
      <c r="F101" s="66">
        <f>3.6298 * CHOOSE(CONTROL!$C$23, $C$12, 100%, $E$12)</f>
        <v>3.6297999999999999</v>
      </c>
      <c r="G101" s="66">
        <f>3.6347 * CHOOSE(CONTROL!$C$23, $C$12, 100%, $E$12)</f>
        <v>3.6347</v>
      </c>
      <c r="H101" s="66">
        <f>7.0417* CHOOSE(CONTROL!$C$23, $C$12, 100%, $E$12)</f>
        <v>7.0416999999999996</v>
      </c>
      <c r="I101" s="66">
        <f>7.0466 * CHOOSE(CONTROL!$C$23, $C$12, 100%, $E$12)</f>
        <v>7.0465999999999998</v>
      </c>
      <c r="J101" s="66">
        <f>7.0417 * CHOOSE(CONTROL!$C$23, $C$12, 100%, $E$12)</f>
        <v>7.0416999999999996</v>
      </c>
      <c r="K101" s="66">
        <f>7.0466 * CHOOSE(CONTROL!$C$23, $C$12, 100%, $E$12)</f>
        <v>7.0465999999999998</v>
      </c>
      <c r="L101" s="66">
        <f>3.6298 * CHOOSE(CONTROL!$C$23, $C$12, 100%, $E$12)</f>
        <v>3.6297999999999999</v>
      </c>
      <c r="M101" s="66">
        <f>3.6347 * CHOOSE(CONTROL!$C$23, $C$12, 100%, $E$12)</f>
        <v>3.6347</v>
      </c>
      <c r="N101" s="66">
        <f>3.6298 * CHOOSE(CONTROL!$C$23, $C$12, 100%, $E$12)</f>
        <v>3.6297999999999999</v>
      </c>
      <c r="O101" s="66">
        <f>3.6347 * CHOOSE(CONTROL!$C$23, $C$12, 100%, $E$12)</f>
        <v>3.6347</v>
      </c>
      <c r="P101" s="4"/>
      <c r="Q101" s="4"/>
      <c r="R101" s="4"/>
    </row>
    <row r="102" spans="1:18" ht="15">
      <c r="A102" s="13">
        <v>44256</v>
      </c>
      <c r="B102" s="65">
        <f>3.2482 * CHOOSE(CONTROL!$C$23, $C$12, 100%, $E$12)</f>
        <v>3.2482000000000002</v>
      </c>
      <c r="C102" s="65">
        <f>3.2482 * CHOOSE(CONTROL!$C$23, $C$12, 100%, $E$12)</f>
        <v>3.2482000000000002</v>
      </c>
      <c r="D102" s="65">
        <f>3.2522 * CHOOSE(CONTROL!$C$23, $C$12, 100%, $E$12)</f>
        <v>3.2522000000000002</v>
      </c>
      <c r="E102" s="66">
        <f>3.6741 * CHOOSE(CONTROL!$C$23, $C$12, 100%, $E$12)</f>
        <v>3.6741000000000001</v>
      </c>
      <c r="F102" s="66">
        <f>3.6741 * CHOOSE(CONTROL!$C$23, $C$12, 100%, $E$12)</f>
        <v>3.6741000000000001</v>
      </c>
      <c r="G102" s="66">
        <f>3.6791 * CHOOSE(CONTROL!$C$23, $C$12, 100%, $E$12)</f>
        <v>3.6791</v>
      </c>
      <c r="H102" s="66">
        <f>7.0564* CHOOSE(CONTROL!$C$23, $C$12, 100%, $E$12)</f>
        <v>7.0564</v>
      </c>
      <c r="I102" s="66">
        <f>7.0613 * CHOOSE(CONTROL!$C$23, $C$12, 100%, $E$12)</f>
        <v>7.0613000000000001</v>
      </c>
      <c r="J102" s="66">
        <f>7.0564 * CHOOSE(CONTROL!$C$23, $C$12, 100%, $E$12)</f>
        <v>7.0564</v>
      </c>
      <c r="K102" s="66">
        <f>7.0613 * CHOOSE(CONTROL!$C$23, $C$12, 100%, $E$12)</f>
        <v>7.0613000000000001</v>
      </c>
      <c r="L102" s="66">
        <f>3.6741 * CHOOSE(CONTROL!$C$23, $C$12, 100%, $E$12)</f>
        <v>3.6741000000000001</v>
      </c>
      <c r="M102" s="66">
        <f>3.6791 * CHOOSE(CONTROL!$C$23, $C$12, 100%, $E$12)</f>
        <v>3.6791</v>
      </c>
      <c r="N102" s="66">
        <f>3.6741 * CHOOSE(CONTROL!$C$23, $C$12, 100%, $E$12)</f>
        <v>3.6741000000000001</v>
      </c>
      <c r="O102" s="66">
        <f>3.6791 * CHOOSE(CONTROL!$C$23, $C$12, 100%, $E$12)</f>
        <v>3.6791</v>
      </c>
      <c r="P102" s="4"/>
      <c r="Q102" s="4"/>
      <c r="R102" s="4"/>
    </row>
    <row r="103" spans="1:18" ht="15">
      <c r="A103" s="13">
        <v>44287</v>
      </c>
      <c r="B103" s="65">
        <f>3.2451 * CHOOSE(CONTROL!$C$23, $C$12, 100%, $E$12)</f>
        <v>3.2450999999999999</v>
      </c>
      <c r="C103" s="65">
        <f>3.2451 * CHOOSE(CONTROL!$C$23, $C$12, 100%, $E$12)</f>
        <v>3.2450999999999999</v>
      </c>
      <c r="D103" s="65">
        <f>3.2491 * CHOOSE(CONTROL!$C$23, $C$12, 100%, $E$12)</f>
        <v>3.2490999999999999</v>
      </c>
      <c r="E103" s="66">
        <f>3.7198 * CHOOSE(CONTROL!$C$23, $C$12, 100%, $E$12)</f>
        <v>3.7198000000000002</v>
      </c>
      <c r="F103" s="66">
        <f>3.7198 * CHOOSE(CONTROL!$C$23, $C$12, 100%, $E$12)</f>
        <v>3.7198000000000002</v>
      </c>
      <c r="G103" s="66">
        <f>3.7247 * CHOOSE(CONTROL!$C$23, $C$12, 100%, $E$12)</f>
        <v>3.7246999999999999</v>
      </c>
      <c r="H103" s="66">
        <f>7.0711* CHOOSE(CONTROL!$C$23, $C$12, 100%, $E$12)</f>
        <v>7.0711000000000004</v>
      </c>
      <c r="I103" s="66">
        <f>7.076 * CHOOSE(CONTROL!$C$23, $C$12, 100%, $E$12)</f>
        <v>7.0759999999999996</v>
      </c>
      <c r="J103" s="66">
        <f>7.0711 * CHOOSE(CONTROL!$C$23, $C$12, 100%, $E$12)</f>
        <v>7.0711000000000004</v>
      </c>
      <c r="K103" s="66">
        <f>7.076 * CHOOSE(CONTROL!$C$23, $C$12, 100%, $E$12)</f>
        <v>7.0759999999999996</v>
      </c>
      <c r="L103" s="66">
        <f>3.7198 * CHOOSE(CONTROL!$C$23, $C$12, 100%, $E$12)</f>
        <v>3.7198000000000002</v>
      </c>
      <c r="M103" s="66">
        <f>3.7247 * CHOOSE(CONTROL!$C$23, $C$12, 100%, $E$12)</f>
        <v>3.7246999999999999</v>
      </c>
      <c r="N103" s="66">
        <f>3.7198 * CHOOSE(CONTROL!$C$23, $C$12, 100%, $E$12)</f>
        <v>3.7198000000000002</v>
      </c>
      <c r="O103" s="66">
        <f>3.7247 * CHOOSE(CONTROL!$C$23, $C$12, 100%, $E$12)</f>
        <v>3.7246999999999999</v>
      </c>
      <c r="P103" s="4"/>
      <c r="Q103" s="4"/>
      <c r="R103" s="4"/>
    </row>
    <row r="104" spans="1:18" ht="15">
      <c r="A104" s="13">
        <v>44317</v>
      </c>
      <c r="B104" s="65">
        <f>3.2451 * CHOOSE(CONTROL!$C$23, $C$12, 100%, $E$12)</f>
        <v>3.2450999999999999</v>
      </c>
      <c r="C104" s="65">
        <f>3.2451 * CHOOSE(CONTROL!$C$23, $C$12, 100%, $E$12)</f>
        <v>3.2450999999999999</v>
      </c>
      <c r="D104" s="65">
        <f>3.2507 * CHOOSE(CONTROL!$C$23, $C$12, 100%, $E$12)</f>
        <v>3.2507000000000001</v>
      </c>
      <c r="E104" s="66">
        <f>3.7385 * CHOOSE(CONTROL!$C$23, $C$12, 100%, $E$12)</f>
        <v>3.7385000000000002</v>
      </c>
      <c r="F104" s="66">
        <f>3.7385 * CHOOSE(CONTROL!$C$23, $C$12, 100%, $E$12)</f>
        <v>3.7385000000000002</v>
      </c>
      <c r="G104" s="66">
        <f>3.7454 * CHOOSE(CONTROL!$C$23, $C$12, 100%, $E$12)</f>
        <v>3.7454000000000001</v>
      </c>
      <c r="H104" s="66">
        <f>7.0858* CHOOSE(CONTROL!$C$23, $C$12, 100%, $E$12)</f>
        <v>7.0857999999999999</v>
      </c>
      <c r="I104" s="66">
        <f>7.0927 * CHOOSE(CONTROL!$C$23, $C$12, 100%, $E$12)</f>
        <v>7.0926999999999998</v>
      </c>
      <c r="J104" s="66">
        <f>7.0858 * CHOOSE(CONTROL!$C$23, $C$12, 100%, $E$12)</f>
        <v>7.0857999999999999</v>
      </c>
      <c r="K104" s="66">
        <f>7.0927 * CHOOSE(CONTROL!$C$23, $C$12, 100%, $E$12)</f>
        <v>7.0926999999999998</v>
      </c>
      <c r="L104" s="66">
        <f>3.7385 * CHOOSE(CONTROL!$C$23, $C$12, 100%, $E$12)</f>
        <v>3.7385000000000002</v>
      </c>
      <c r="M104" s="66">
        <f>3.7454 * CHOOSE(CONTROL!$C$23, $C$12, 100%, $E$12)</f>
        <v>3.7454000000000001</v>
      </c>
      <c r="N104" s="66">
        <f>3.7385 * CHOOSE(CONTROL!$C$23, $C$12, 100%, $E$12)</f>
        <v>3.7385000000000002</v>
      </c>
      <c r="O104" s="66">
        <f>3.7454 * CHOOSE(CONTROL!$C$23, $C$12, 100%, $E$12)</f>
        <v>3.7454000000000001</v>
      </c>
      <c r="P104" s="4"/>
      <c r="Q104" s="4"/>
      <c r="R104" s="4"/>
    </row>
    <row r="105" spans="1:18" ht="15">
      <c r="A105" s="13">
        <v>44348</v>
      </c>
      <c r="B105" s="65">
        <f>3.2512 * CHOOSE(CONTROL!$C$23, $C$12, 100%, $E$12)</f>
        <v>3.2511999999999999</v>
      </c>
      <c r="C105" s="65">
        <f>3.2512 * CHOOSE(CONTROL!$C$23, $C$12, 100%, $E$12)</f>
        <v>3.2511999999999999</v>
      </c>
      <c r="D105" s="65">
        <f>3.2568 * CHOOSE(CONTROL!$C$23, $C$12, 100%, $E$12)</f>
        <v>3.2568000000000001</v>
      </c>
      <c r="E105" s="66">
        <f>3.724 * CHOOSE(CONTROL!$C$23, $C$12, 100%, $E$12)</f>
        <v>3.7240000000000002</v>
      </c>
      <c r="F105" s="66">
        <f>3.724 * CHOOSE(CONTROL!$C$23, $C$12, 100%, $E$12)</f>
        <v>3.7240000000000002</v>
      </c>
      <c r="G105" s="66">
        <f>3.7309 * CHOOSE(CONTROL!$C$23, $C$12, 100%, $E$12)</f>
        <v>3.7309000000000001</v>
      </c>
      <c r="H105" s="66">
        <f>7.1006* CHOOSE(CONTROL!$C$23, $C$12, 100%, $E$12)</f>
        <v>7.1006</v>
      </c>
      <c r="I105" s="66">
        <f>7.1075 * CHOOSE(CONTROL!$C$23, $C$12, 100%, $E$12)</f>
        <v>7.1074999999999999</v>
      </c>
      <c r="J105" s="66">
        <f>7.1006 * CHOOSE(CONTROL!$C$23, $C$12, 100%, $E$12)</f>
        <v>7.1006</v>
      </c>
      <c r="K105" s="66">
        <f>7.1075 * CHOOSE(CONTROL!$C$23, $C$12, 100%, $E$12)</f>
        <v>7.1074999999999999</v>
      </c>
      <c r="L105" s="66">
        <f>3.724 * CHOOSE(CONTROL!$C$23, $C$12, 100%, $E$12)</f>
        <v>3.7240000000000002</v>
      </c>
      <c r="M105" s="66">
        <f>3.7309 * CHOOSE(CONTROL!$C$23, $C$12, 100%, $E$12)</f>
        <v>3.7309000000000001</v>
      </c>
      <c r="N105" s="66">
        <f>3.724 * CHOOSE(CONTROL!$C$23, $C$12, 100%, $E$12)</f>
        <v>3.7240000000000002</v>
      </c>
      <c r="O105" s="66">
        <f>3.7309 * CHOOSE(CONTROL!$C$23, $C$12, 100%, $E$12)</f>
        <v>3.7309000000000001</v>
      </c>
      <c r="P105" s="4"/>
      <c r="Q105" s="4"/>
      <c r="R105" s="4"/>
    </row>
    <row r="106" spans="1:18" ht="15">
      <c r="A106" s="13">
        <v>44378</v>
      </c>
      <c r="B106" s="65">
        <f>3.2867 * CHOOSE(CONTROL!$C$23, $C$12, 100%, $E$12)</f>
        <v>3.2867000000000002</v>
      </c>
      <c r="C106" s="65">
        <f>3.2867 * CHOOSE(CONTROL!$C$23, $C$12, 100%, $E$12)</f>
        <v>3.2867000000000002</v>
      </c>
      <c r="D106" s="65">
        <f>3.2923 * CHOOSE(CONTROL!$C$23, $C$12, 100%, $E$12)</f>
        <v>3.2923</v>
      </c>
      <c r="E106" s="66">
        <f>3.8884 * CHOOSE(CONTROL!$C$23, $C$12, 100%, $E$12)</f>
        <v>3.8883999999999999</v>
      </c>
      <c r="F106" s="66">
        <f>3.8884 * CHOOSE(CONTROL!$C$23, $C$12, 100%, $E$12)</f>
        <v>3.8883999999999999</v>
      </c>
      <c r="G106" s="66">
        <f>3.8953 * CHOOSE(CONTROL!$C$23, $C$12, 100%, $E$12)</f>
        <v>3.8953000000000002</v>
      </c>
      <c r="H106" s="66">
        <f>7.1154* CHOOSE(CONTROL!$C$23, $C$12, 100%, $E$12)</f>
        <v>7.1154000000000002</v>
      </c>
      <c r="I106" s="66">
        <f>7.1223 * CHOOSE(CONTROL!$C$23, $C$12, 100%, $E$12)</f>
        <v>7.1223000000000001</v>
      </c>
      <c r="J106" s="66">
        <f>7.1154 * CHOOSE(CONTROL!$C$23, $C$12, 100%, $E$12)</f>
        <v>7.1154000000000002</v>
      </c>
      <c r="K106" s="66">
        <f>7.1223 * CHOOSE(CONTROL!$C$23, $C$12, 100%, $E$12)</f>
        <v>7.1223000000000001</v>
      </c>
      <c r="L106" s="66">
        <f>3.8884 * CHOOSE(CONTROL!$C$23, $C$12, 100%, $E$12)</f>
        <v>3.8883999999999999</v>
      </c>
      <c r="M106" s="66">
        <f>3.8953 * CHOOSE(CONTROL!$C$23, $C$12, 100%, $E$12)</f>
        <v>3.8953000000000002</v>
      </c>
      <c r="N106" s="66">
        <f>3.8884 * CHOOSE(CONTROL!$C$23, $C$12, 100%, $E$12)</f>
        <v>3.8883999999999999</v>
      </c>
      <c r="O106" s="66">
        <f>3.8953 * CHOOSE(CONTROL!$C$23, $C$12, 100%, $E$12)</f>
        <v>3.8953000000000002</v>
      </c>
      <c r="P106" s="4"/>
      <c r="Q106" s="4"/>
      <c r="R106" s="4"/>
    </row>
    <row r="107" spans="1:18" ht="15">
      <c r="A107" s="13">
        <v>44409</v>
      </c>
      <c r="B107" s="65">
        <f>3.2934 * CHOOSE(CONTROL!$C$23, $C$12, 100%, $E$12)</f>
        <v>3.2934000000000001</v>
      </c>
      <c r="C107" s="65">
        <f>3.2934 * CHOOSE(CONTROL!$C$23, $C$12, 100%, $E$12)</f>
        <v>3.2934000000000001</v>
      </c>
      <c r="D107" s="65">
        <f>3.299 * CHOOSE(CONTROL!$C$23, $C$12, 100%, $E$12)</f>
        <v>3.2989999999999999</v>
      </c>
      <c r="E107" s="66">
        <f>3.8369 * CHOOSE(CONTROL!$C$23, $C$12, 100%, $E$12)</f>
        <v>3.8369</v>
      </c>
      <c r="F107" s="66">
        <f>3.8369 * CHOOSE(CONTROL!$C$23, $C$12, 100%, $E$12)</f>
        <v>3.8369</v>
      </c>
      <c r="G107" s="66">
        <f>3.8438 * CHOOSE(CONTROL!$C$23, $C$12, 100%, $E$12)</f>
        <v>3.8437999999999999</v>
      </c>
      <c r="H107" s="66">
        <f>7.1302* CHOOSE(CONTROL!$C$23, $C$12, 100%, $E$12)</f>
        <v>7.1302000000000003</v>
      </c>
      <c r="I107" s="66">
        <f>7.1371 * CHOOSE(CONTROL!$C$23, $C$12, 100%, $E$12)</f>
        <v>7.1371000000000002</v>
      </c>
      <c r="J107" s="66">
        <f>7.1302 * CHOOSE(CONTROL!$C$23, $C$12, 100%, $E$12)</f>
        <v>7.1302000000000003</v>
      </c>
      <c r="K107" s="66">
        <f>7.1371 * CHOOSE(CONTROL!$C$23, $C$12, 100%, $E$12)</f>
        <v>7.1371000000000002</v>
      </c>
      <c r="L107" s="66">
        <f>3.8369 * CHOOSE(CONTROL!$C$23, $C$12, 100%, $E$12)</f>
        <v>3.8369</v>
      </c>
      <c r="M107" s="66">
        <f>3.8438 * CHOOSE(CONTROL!$C$23, $C$12, 100%, $E$12)</f>
        <v>3.8437999999999999</v>
      </c>
      <c r="N107" s="66">
        <f>3.8369 * CHOOSE(CONTROL!$C$23, $C$12, 100%, $E$12)</f>
        <v>3.8369</v>
      </c>
      <c r="O107" s="66">
        <f>3.8438 * CHOOSE(CONTROL!$C$23, $C$12, 100%, $E$12)</f>
        <v>3.8437999999999999</v>
      </c>
      <c r="P107" s="4"/>
      <c r="Q107" s="4"/>
      <c r="R107" s="4"/>
    </row>
    <row r="108" spans="1:18" ht="15">
      <c r="A108" s="13">
        <v>44440</v>
      </c>
      <c r="B108" s="65">
        <f>3.2903 * CHOOSE(CONTROL!$C$23, $C$12, 100%, $E$12)</f>
        <v>3.2902999999999998</v>
      </c>
      <c r="C108" s="65">
        <f>3.2903 * CHOOSE(CONTROL!$C$23, $C$12, 100%, $E$12)</f>
        <v>3.2902999999999998</v>
      </c>
      <c r="D108" s="65">
        <f>3.296 * CHOOSE(CONTROL!$C$23, $C$12, 100%, $E$12)</f>
        <v>3.2959999999999998</v>
      </c>
      <c r="E108" s="66">
        <f>3.8285 * CHOOSE(CONTROL!$C$23, $C$12, 100%, $E$12)</f>
        <v>3.8285</v>
      </c>
      <c r="F108" s="66">
        <f>3.8285 * CHOOSE(CONTROL!$C$23, $C$12, 100%, $E$12)</f>
        <v>3.8285</v>
      </c>
      <c r="G108" s="66">
        <f>3.8354 * CHOOSE(CONTROL!$C$23, $C$12, 100%, $E$12)</f>
        <v>3.8353999999999999</v>
      </c>
      <c r="H108" s="66">
        <f>7.145* CHOOSE(CONTROL!$C$23, $C$12, 100%, $E$12)</f>
        <v>7.1449999999999996</v>
      </c>
      <c r="I108" s="66">
        <f>7.1519 * CHOOSE(CONTROL!$C$23, $C$12, 100%, $E$12)</f>
        <v>7.1519000000000004</v>
      </c>
      <c r="J108" s="66">
        <f>7.145 * CHOOSE(CONTROL!$C$23, $C$12, 100%, $E$12)</f>
        <v>7.1449999999999996</v>
      </c>
      <c r="K108" s="66">
        <f>7.1519 * CHOOSE(CONTROL!$C$23, $C$12, 100%, $E$12)</f>
        <v>7.1519000000000004</v>
      </c>
      <c r="L108" s="66">
        <f>3.8285 * CHOOSE(CONTROL!$C$23, $C$12, 100%, $E$12)</f>
        <v>3.8285</v>
      </c>
      <c r="M108" s="66">
        <f>3.8354 * CHOOSE(CONTROL!$C$23, $C$12, 100%, $E$12)</f>
        <v>3.8353999999999999</v>
      </c>
      <c r="N108" s="66">
        <f>3.8285 * CHOOSE(CONTROL!$C$23, $C$12, 100%, $E$12)</f>
        <v>3.8285</v>
      </c>
      <c r="O108" s="66">
        <f>3.8354 * CHOOSE(CONTROL!$C$23, $C$12, 100%, $E$12)</f>
        <v>3.8353999999999999</v>
      </c>
      <c r="P108" s="4"/>
      <c r="Q108" s="4"/>
      <c r="R108" s="4"/>
    </row>
    <row r="109" spans="1:18" ht="15">
      <c r="A109" s="13">
        <v>44470</v>
      </c>
      <c r="B109" s="65">
        <f>3.2826 * CHOOSE(CONTROL!$C$23, $C$12, 100%, $E$12)</f>
        <v>3.2826</v>
      </c>
      <c r="C109" s="65">
        <f>3.2826 * CHOOSE(CONTROL!$C$23, $C$12, 100%, $E$12)</f>
        <v>3.2826</v>
      </c>
      <c r="D109" s="65">
        <f>3.2866 * CHOOSE(CONTROL!$C$23, $C$12, 100%, $E$12)</f>
        <v>3.2866</v>
      </c>
      <c r="E109" s="66">
        <f>3.8401 * CHOOSE(CONTROL!$C$23, $C$12, 100%, $E$12)</f>
        <v>3.8401000000000001</v>
      </c>
      <c r="F109" s="66">
        <f>3.8401 * CHOOSE(CONTROL!$C$23, $C$12, 100%, $E$12)</f>
        <v>3.8401000000000001</v>
      </c>
      <c r="G109" s="66">
        <f>3.845 * CHOOSE(CONTROL!$C$23, $C$12, 100%, $E$12)</f>
        <v>3.8450000000000002</v>
      </c>
      <c r="H109" s="66">
        <f>7.1599* CHOOSE(CONTROL!$C$23, $C$12, 100%, $E$12)</f>
        <v>7.1599000000000004</v>
      </c>
      <c r="I109" s="66">
        <f>7.1649 * CHOOSE(CONTROL!$C$23, $C$12, 100%, $E$12)</f>
        <v>7.1649000000000003</v>
      </c>
      <c r="J109" s="66">
        <f>7.1599 * CHOOSE(CONTROL!$C$23, $C$12, 100%, $E$12)</f>
        <v>7.1599000000000004</v>
      </c>
      <c r="K109" s="66">
        <f>7.1649 * CHOOSE(CONTROL!$C$23, $C$12, 100%, $E$12)</f>
        <v>7.1649000000000003</v>
      </c>
      <c r="L109" s="66">
        <f>3.8401 * CHOOSE(CONTROL!$C$23, $C$12, 100%, $E$12)</f>
        <v>3.8401000000000001</v>
      </c>
      <c r="M109" s="66">
        <f>3.845 * CHOOSE(CONTROL!$C$23, $C$12, 100%, $E$12)</f>
        <v>3.8450000000000002</v>
      </c>
      <c r="N109" s="66">
        <f>3.8401 * CHOOSE(CONTROL!$C$23, $C$12, 100%, $E$12)</f>
        <v>3.8401000000000001</v>
      </c>
      <c r="O109" s="66">
        <f>3.845 * CHOOSE(CONTROL!$C$23, $C$12, 100%, $E$12)</f>
        <v>3.8450000000000002</v>
      </c>
      <c r="P109" s="4"/>
      <c r="Q109" s="4"/>
      <c r="R109" s="4"/>
    </row>
    <row r="110" spans="1:18" ht="15">
      <c r="A110" s="13">
        <v>44501</v>
      </c>
      <c r="B110" s="65">
        <f>3.2856 * CHOOSE(CONTROL!$C$23, $C$12, 100%, $E$12)</f>
        <v>3.2856000000000001</v>
      </c>
      <c r="C110" s="65">
        <f>3.2856 * CHOOSE(CONTROL!$C$23, $C$12, 100%, $E$12)</f>
        <v>3.2856000000000001</v>
      </c>
      <c r="D110" s="65">
        <f>3.2896 * CHOOSE(CONTROL!$C$23, $C$12, 100%, $E$12)</f>
        <v>3.2896000000000001</v>
      </c>
      <c r="E110" s="66">
        <f>3.8547 * CHOOSE(CONTROL!$C$23, $C$12, 100%, $E$12)</f>
        <v>3.8546999999999998</v>
      </c>
      <c r="F110" s="66">
        <f>3.8547 * CHOOSE(CONTROL!$C$23, $C$12, 100%, $E$12)</f>
        <v>3.8546999999999998</v>
      </c>
      <c r="G110" s="66">
        <f>3.8596 * CHOOSE(CONTROL!$C$23, $C$12, 100%, $E$12)</f>
        <v>3.8595999999999999</v>
      </c>
      <c r="H110" s="66">
        <f>7.1749* CHOOSE(CONTROL!$C$23, $C$12, 100%, $E$12)</f>
        <v>7.1749000000000001</v>
      </c>
      <c r="I110" s="66">
        <f>7.1798 * CHOOSE(CONTROL!$C$23, $C$12, 100%, $E$12)</f>
        <v>7.1798000000000002</v>
      </c>
      <c r="J110" s="66">
        <f>7.1749 * CHOOSE(CONTROL!$C$23, $C$12, 100%, $E$12)</f>
        <v>7.1749000000000001</v>
      </c>
      <c r="K110" s="66">
        <f>7.1798 * CHOOSE(CONTROL!$C$23, $C$12, 100%, $E$12)</f>
        <v>7.1798000000000002</v>
      </c>
      <c r="L110" s="66">
        <f>3.8547 * CHOOSE(CONTROL!$C$23, $C$12, 100%, $E$12)</f>
        <v>3.8546999999999998</v>
      </c>
      <c r="M110" s="66">
        <f>3.8596 * CHOOSE(CONTROL!$C$23, $C$12, 100%, $E$12)</f>
        <v>3.8595999999999999</v>
      </c>
      <c r="N110" s="66">
        <f>3.8547 * CHOOSE(CONTROL!$C$23, $C$12, 100%, $E$12)</f>
        <v>3.8546999999999998</v>
      </c>
      <c r="O110" s="66">
        <f>3.8596 * CHOOSE(CONTROL!$C$23, $C$12, 100%, $E$12)</f>
        <v>3.8595999999999999</v>
      </c>
      <c r="P110" s="4"/>
      <c r="Q110" s="4"/>
      <c r="R110" s="4"/>
    </row>
    <row r="111" spans="1:18" ht="15">
      <c r="A111" s="13">
        <v>44531</v>
      </c>
      <c r="B111" s="65">
        <f>3.2856 * CHOOSE(CONTROL!$C$23, $C$12, 100%, $E$12)</f>
        <v>3.2856000000000001</v>
      </c>
      <c r="C111" s="65">
        <f>3.2856 * CHOOSE(CONTROL!$C$23, $C$12, 100%, $E$12)</f>
        <v>3.2856000000000001</v>
      </c>
      <c r="D111" s="65">
        <f>3.2896 * CHOOSE(CONTROL!$C$23, $C$12, 100%, $E$12)</f>
        <v>3.2896000000000001</v>
      </c>
      <c r="E111" s="66">
        <f>3.8235 * CHOOSE(CONTROL!$C$23, $C$12, 100%, $E$12)</f>
        <v>3.8235000000000001</v>
      </c>
      <c r="F111" s="66">
        <f>3.8235 * CHOOSE(CONTROL!$C$23, $C$12, 100%, $E$12)</f>
        <v>3.8235000000000001</v>
      </c>
      <c r="G111" s="66">
        <f>3.8284 * CHOOSE(CONTROL!$C$23, $C$12, 100%, $E$12)</f>
        <v>3.8283999999999998</v>
      </c>
      <c r="H111" s="66">
        <f>7.1898* CHOOSE(CONTROL!$C$23, $C$12, 100%, $E$12)</f>
        <v>7.1898</v>
      </c>
      <c r="I111" s="66">
        <f>7.1947 * CHOOSE(CONTROL!$C$23, $C$12, 100%, $E$12)</f>
        <v>7.1947000000000001</v>
      </c>
      <c r="J111" s="66">
        <f>7.1898 * CHOOSE(CONTROL!$C$23, $C$12, 100%, $E$12)</f>
        <v>7.1898</v>
      </c>
      <c r="K111" s="66">
        <f>7.1947 * CHOOSE(CONTROL!$C$23, $C$12, 100%, $E$12)</f>
        <v>7.1947000000000001</v>
      </c>
      <c r="L111" s="66">
        <f>3.8235 * CHOOSE(CONTROL!$C$23, $C$12, 100%, $E$12)</f>
        <v>3.8235000000000001</v>
      </c>
      <c r="M111" s="66">
        <f>3.8284 * CHOOSE(CONTROL!$C$23, $C$12, 100%, $E$12)</f>
        <v>3.8283999999999998</v>
      </c>
      <c r="N111" s="66">
        <f>3.8235 * CHOOSE(CONTROL!$C$23, $C$12, 100%, $E$12)</f>
        <v>3.8235000000000001</v>
      </c>
      <c r="O111" s="66">
        <f>3.8284 * CHOOSE(CONTROL!$C$23, $C$12, 100%, $E$12)</f>
        <v>3.8283999999999998</v>
      </c>
      <c r="P111" s="4"/>
      <c r="Q111" s="4"/>
      <c r="R111" s="4"/>
    </row>
    <row r="112" spans="1:18" ht="15">
      <c r="A112" s="13">
        <v>44562</v>
      </c>
      <c r="B112" s="65">
        <f>3.315 * CHOOSE(CONTROL!$C$23, $C$12, 100%, $E$12)</f>
        <v>3.3149999999999999</v>
      </c>
      <c r="C112" s="65">
        <f>3.315 * CHOOSE(CONTROL!$C$23, $C$12, 100%, $E$12)</f>
        <v>3.3149999999999999</v>
      </c>
      <c r="D112" s="65">
        <f>3.319 * CHOOSE(CONTROL!$C$23, $C$12, 100%, $E$12)</f>
        <v>3.319</v>
      </c>
      <c r="E112" s="66">
        <f>3.9024 * CHOOSE(CONTROL!$C$23, $C$12, 100%, $E$12)</f>
        <v>3.9024000000000001</v>
      </c>
      <c r="F112" s="66">
        <f>3.9024 * CHOOSE(CONTROL!$C$23, $C$12, 100%, $E$12)</f>
        <v>3.9024000000000001</v>
      </c>
      <c r="G112" s="66">
        <f>3.9073 * CHOOSE(CONTROL!$C$23, $C$12, 100%, $E$12)</f>
        <v>3.9073000000000002</v>
      </c>
      <c r="H112" s="66">
        <f>7.2048* CHOOSE(CONTROL!$C$23, $C$12, 100%, $E$12)</f>
        <v>7.2047999999999996</v>
      </c>
      <c r="I112" s="66">
        <f>7.2097 * CHOOSE(CONTROL!$C$23, $C$12, 100%, $E$12)</f>
        <v>7.2096999999999998</v>
      </c>
      <c r="J112" s="66">
        <f>7.2048 * CHOOSE(CONTROL!$C$23, $C$12, 100%, $E$12)</f>
        <v>7.2047999999999996</v>
      </c>
      <c r="K112" s="66">
        <f>7.2097 * CHOOSE(CONTROL!$C$23, $C$12, 100%, $E$12)</f>
        <v>7.2096999999999998</v>
      </c>
      <c r="L112" s="66">
        <f>3.9024 * CHOOSE(CONTROL!$C$23, $C$12, 100%, $E$12)</f>
        <v>3.9024000000000001</v>
      </c>
      <c r="M112" s="66">
        <f>3.9073 * CHOOSE(CONTROL!$C$23, $C$12, 100%, $E$12)</f>
        <v>3.9073000000000002</v>
      </c>
      <c r="N112" s="66">
        <f>3.9024 * CHOOSE(CONTROL!$C$23, $C$12, 100%, $E$12)</f>
        <v>3.9024000000000001</v>
      </c>
      <c r="O112" s="66">
        <f>3.9073 * CHOOSE(CONTROL!$C$23, $C$12, 100%, $E$12)</f>
        <v>3.9073000000000002</v>
      </c>
      <c r="P112" s="4"/>
      <c r="Q112" s="4"/>
      <c r="R112" s="4"/>
    </row>
    <row r="113" spans="1:18" ht="15">
      <c r="A113" s="13">
        <v>44593</v>
      </c>
      <c r="B113" s="65">
        <f>3.312 * CHOOSE(CONTROL!$C$23, $C$12, 100%, $E$12)</f>
        <v>3.3119999999999998</v>
      </c>
      <c r="C113" s="65">
        <f>3.312 * CHOOSE(CONTROL!$C$23, $C$12, 100%, $E$12)</f>
        <v>3.3119999999999998</v>
      </c>
      <c r="D113" s="65">
        <f>3.316 * CHOOSE(CONTROL!$C$23, $C$12, 100%, $E$12)</f>
        <v>3.3159999999999998</v>
      </c>
      <c r="E113" s="66">
        <f>3.8381 * CHOOSE(CONTROL!$C$23, $C$12, 100%, $E$12)</f>
        <v>3.8380999999999998</v>
      </c>
      <c r="F113" s="66">
        <f>3.8381 * CHOOSE(CONTROL!$C$23, $C$12, 100%, $E$12)</f>
        <v>3.8380999999999998</v>
      </c>
      <c r="G113" s="66">
        <f>3.843 * CHOOSE(CONTROL!$C$23, $C$12, 100%, $E$12)</f>
        <v>3.843</v>
      </c>
      <c r="H113" s="66">
        <f>7.2198* CHOOSE(CONTROL!$C$23, $C$12, 100%, $E$12)</f>
        <v>7.2198000000000002</v>
      </c>
      <c r="I113" s="66">
        <f>7.2247 * CHOOSE(CONTROL!$C$23, $C$12, 100%, $E$12)</f>
        <v>7.2247000000000003</v>
      </c>
      <c r="J113" s="66">
        <f>7.2198 * CHOOSE(CONTROL!$C$23, $C$12, 100%, $E$12)</f>
        <v>7.2198000000000002</v>
      </c>
      <c r="K113" s="66">
        <f>7.2247 * CHOOSE(CONTROL!$C$23, $C$12, 100%, $E$12)</f>
        <v>7.2247000000000003</v>
      </c>
      <c r="L113" s="66">
        <f>3.8381 * CHOOSE(CONTROL!$C$23, $C$12, 100%, $E$12)</f>
        <v>3.8380999999999998</v>
      </c>
      <c r="M113" s="66">
        <f>3.843 * CHOOSE(CONTROL!$C$23, $C$12, 100%, $E$12)</f>
        <v>3.843</v>
      </c>
      <c r="N113" s="66">
        <f>3.8381 * CHOOSE(CONTROL!$C$23, $C$12, 100%, $E$12)</f>
        <v>3.8380999999999998</v>
      </c>
      <c r="O113" s="66">
        <f>3.843 * CHOOSE(CONTROL!$C$23, $C$12, 100%, $E$12)</f>
        <v>3.843</v>
      </c>
      <c r="P113" s="4"/>
      <c r="Q113" s="4"/>
      <c r="R113" s="4"/>
    </row>
    <row r="114" spans="1:18" ht="15">
      <c r="A114" s="13">
        <v>44621</v>
      </c>
      <c r="B114" s="65">
        <f>3.309 * CHOOSE(CONTROL!$C$23, $C$12, 100%, $E$12)</f>
        <v>3.3090000000000002</v>
      </c>
      <c r="C114" s="65">
        <f>3.309 * CHOOSE(CONTROL!$C$23, $C$12, 100%, $E$12)</f>
        <v>3.3090000000000002</v>
      </c>
      <c r="D114" s="65">
        <f>3.313 * CHOOSE(CONTROL!$C$23, $C$12, 100%, $E$12)</f>
        <v>3.3130000000000002</v>
      </c>
      <c r="E114" s="66">
        <f>3.885 * CHOOSE(CONTROL!$C$23, $C$12, 100%, $E$12)</f>
        <v>3.8849999999999998</v>
      </c>
      <c r="F114" s="66">
        <f>3.885 * CHOOSE(CONTROL!$C$23, $C$12, 100%, $E$12)</f>
        <v>3.8849999999999998</v>
      </c>
      <c r="G114" s="66">
        <f>3.8899 * CHOOSE(CONTROL!$C$23, $C$12, 100%, $E$12)</f>
        <v>3.8898999999999999</v>
      </c>
      <c r="H114" s="66">
        <f>7.2348* CHOOSE(CONTROL!$C$23, $C$12, 100%, $E$12)</f>
        <v>7.2347999999999999</v>
      </c>
      <c r="I114" s="66">
        <f>7.2398 * CHOOSE(CONTROL!$C$23, $C$12, 100%, $E$12)</f>
        <v>7.2397999999999998</v>
      </c>
      <c r="J114" s="66">
        <f>7.2348 * CHOOSE(CONTROL!$C$23, $C$12, 100%, $E$12)</f>
        <v>7.2347999999999999</v>
      </c>
      <c r="K114" s="66">
        <f>7.2398 * CHOOSE(CONTROL!$C$23, $C$12, 100%, $E$12)</f>
        <v>7.2397999999999998</v>
      </c>
      <c r="L114" s="66">
        <f>3.885 * CHOOSE(CONTROL!$C$23, $C$12, 100%, $E$12)</f>
        <v>3.8849999999999998</v>
      </c>
      <c r="M114" s="66">
        <f>3.8899 * CHOOSE(CONTROL!$C$23, $C$12, 100%, $E$12)</f>
        <v>3.8898999999999999</v>
      </c>
      <c r="N114" s="66">
        <f>3.885 * CHOOSE(CONTROL!$C$23, $C$12, 100%, $E$12)</f>
        <v>3.8849999999999998</v>
      </c>
      <c r="O114" s="66">
        <f>3.8899 * CHOOSE(CONTROL!$C$23, $C$12, 100%, $E$12)</f>
        <v>3.8898999999999999</v>
      </c>
      <c r="P114" s="4"/>
      <c r="Q114" s="4"/>
      <c r="R114" s="4"/>
    </row>
    <row r="115" spans="1:18" ht="15">
      <c r="A115" s="13">
        <v>44652</v>
      </c>
      <c r="B115" s="65">
        <f>3.3059 * CHOOSE(CONTROL!$C$23, $C$12, 100%, $E$12)</f>
        <v>3.3058999999999998</v>
      </c>
      <c r="C115" s="65">
        <f>3.3059 * CHOOSE(CONTROL!$C$23, $C$12, 100%, $E$12)</f>
        <v>3.3058999999999998</v>
      </c>
      <c r="D115" s="65">
        <f>3.3099 * CHOOSE(CONTROL!$C$23, $C$12, 100%, $E$12)</f>
        <v>3.3098999999999998</v>
      </c>
      <c r="E115" s="66">
        <f>3.9334 * CHOOSE(CONTROL!$C$23, $C$12, 100%, $E$12)</f>
        <v>3.9333999999999998</v>
      </c>
      <c r="F115" s="66">
        <f>3.9334 * CHOOSE(CONTROL!$C$23, $C$12, 100%, $E$12)</f>
        <v>3.9333999999999998</v>
      </c>
      <c r="G115" s="66">
        <f>3.9383 * CHOOSE(CONTROL!$C$23, $C$12, 100%, $E$12)</f>
        <v>3.9382999999999999</v>
      </c>
      <c r="H115" s="66">
        <f>7.2499* CHOOSE(CONTROL!$C$23, $C$12, 100%, $E$12)</f>
        <v>7.2499000000000002</v>
      </c>
      <c r="I115" s="66">
        <f>7.2548 * CHOOSE(CONTROL!$C$23, $C$12, 100%, $E$12)</f>
        <v>7.2548000000000004</v>
      </c>
      <c r="J115" s="66">
        <f>7.2499 * CHOOSE(CONTROL!$C$23, $C$12, 100%, $E$12)</f>
        <v>7.2499000000000002</v>
      </c>
      <c r="K115" s="66">
        <f>7.2548 * CHOOSE(CONTROL!$C$23, $C$12, 100%, $E$12)</f>
        <v>7.2548000000000004</v>
      </c>
      <c r="L115" s="66">
        <f>3.9334 * CHOOSE(CONTROL!$C$23, $C$12, 100%, $E$12)</f>
        <v>3.9333999999999998</v>
      </c>
      <c r="M115" s="66">
        <f>3.9383 * CHOOSE(CONTROL!$C$23, $C$12, 100%, $E$12)</f>
        <v>3.9382999999999999</v>
      </c>
      <c r="N115" s="66">
        <f>3.9334 * CHOOSE(CONTROL!$C$23, $C$12, 100%, $E$12)</f>
        <v>3.9333999999999998</v>
      </c>
      <c r="O115" s="66">
        <f>3.9383 * CHOOSE(CONTROL!$C$23, $C$12, 100%, $E$12)</f>
        <v>3.9382999999999999</v>
      </c>
      <c r="P115" s="4"/>
      <c r="Q115" s="4"/>
      <c r="R115" s="4"/>
    </row>
    <row r="116" spans="1:18" ht="15">
      <c r="A116" s="13">
        <v>44682</v>
      </c>
      <c r="B116" s="65">
        <f>3.3059 * CHOOSE(CONTROL!$C$23, $C$12, 100%, $E$12)</f>
        <v>3.3058999999999998</v>
      </c>
      <c r="C116" s="65">
        <f>3.3059 * CHOOSE(CONTROL!$C$23, $C$12, 100%, $E$12)</f>
        <v>3.3058999999999998</v>
      </c>
      <c r="D116" s="65">
        <f>3.3115 * CHOOSE(CONTROL!$C$23, $C$12, 100%, $E$12)</f>
        <v>3.3115000000000001</v>
      </c>
      <c r="E116" s="66">
        <f>3.9531 * CHOOSE(CONTROL!$C$23, $C$12, 100%, $E$12)</f>
        <v>3.9531000000000001</v>
      </c>
      <c r="F116" s="66">
        <f>3.9531 * CHOOSE(CONTROL!$C$23, $C$12, 100%, $E$12)</f>
        <v>3.9531000000000001</v>
      </c>
      <c r="G116" s="66">
        <f>3.96 * CHOOSE(CONTROL!$C$23, $C$12, 100%, $E$12)</f>
        <v>3.96</v>
      </c>
      <c r="H116" s="66">
        <f>7.265* CHOOSE(CONTROL!$C$23, $C$12, 100%, $E$12)</f>
        <v>7.2649999999999997</v>
      </c>
      <c r="I116" s="66">
        <f>7.2719 * CHOOSE(CONTROL!$C$23, $C$12, 100%, $E$12)</f>
        <v>7.2718999999999996</v>
      </c>
      <c r="J116" s="66">
        <f>7.265 * CHOOSE(CONTROL!$C$23, $C$12, 100%, $E$12)</f>
        <v>7.2649999999999997</v>
      </c>
      <c r="K116" s="66">
        <f>7.2719 * CHOOSE(CONTROL!$C$23, $C$12, 100%, $E$12)</f>
        <v>7.2718999999999996</v>
      </c>
      <c r="L116" s="66">
        <f>3.9531 * CHOOSE(CONTROL!$C$23, $C$12, 100%, $E$12)</f>
        <v>3.9531000000000001</v>
      </c>
      <c r="M116" s="66">
        <f>3.96 * CHOOSE(CONTROL!$C$23, $C$12, 100%, $E$12)</f>
        <v>3.96</v>
      </c>
      <c r="N116" s="66">
        <f>3.9531 * CHOOSE(CONTROL!$C$23, $C$12, 100%, $E$12)</f>
        <v>3.9531000000000001</v>
      </c>
      <c r="O116" s="66">
        <f>3.96 * CHOOSE(CONTROL!$C$23, $C$12, 100%, $E$12)</f>
        <v>3.96</v>
      </c>
      <c r="P116" s="4"/>
      <c r="Q116" s="4"/>
      <c r="R116" s="4"/>
    </row>
    <row r="117" spans="1:18" ht="15">
      <c r="A117" s="13">
        <v>44713</v>
      </c>
      <c r="B117" s="65">
        <f>3.312 * CHOOSE(CONTROL!$C$23, $C$12, 100%, $E$12)</f>
        <v>3.3119999999999998</v>
      </c>
      <c r="C117" s="65">
        <f>3.312 * CHOOSE(CONTROL!$C$23, $C$12, 100%, $E$12)</f>
        <v>3.3119999999999998</v>
      </c>
      <c r="D117" s="65">
        <f>3.3176 * CHOOSE(CONTROL!$C$23, $C$12, 100%, $E$12)</f>
        <v>3.3176000000000001</v>
      </c>
      <c r="E117" s="66">
        <f>3.9376 * CHOOSE(CONTROL!$C$23, $C$12, 100%, $E$12)</f>
        <v>3.9376000000000002</v>
      </c>
      <c r="F117" s="66">
        <f>3.9376 * CHOOSE(CONTROL!$C$23, $C$12, 100%, $E$12)</f>
        <v>3.9376000000000002</v>
      </c>
      <c r="G117" s="66">
        <f>3.9445 * CHOOSE(CONTROL!$C$23, $C$12, 100%, $E$12)</f>
        <v>3.9445000000000001</v>
      </c>
      <c r="H117" s="66">
        <f>7.2801* CHOOSE(CONTROL!$C$23, $C$12, 100%, $E$12)</f>
        <v>7.2801</v>
      </c>
      <c r="I117" s="66">
        <f>7.287 * CHOOSE(CONTROL!$C$23, $C$12, 100%, $E$12)</f>
        <v>7.2869999999999999</v>
      </c>
      <c r="J117" s="66">
        <f>7.2801 * CHOOSE(CONTROL!$C$23, $C$12, 100%, $E$12)</f>
        <v>7.2801</v>
      </c>
      <c r="K117" s="66">
        <f>7.287 * CHOOSE(CONTROL!$C$23, $C$12, 100%, $E$12)</f>
        <v>7.2869999999999999</v>
      </c>
      <c r="L117" s="66">
        <f>3.9376 * CHOOSE(CONTROL!$C$23, $C$12, 100%, $E$12)</f>
        <v>3.9376000000000002</v>
      </c>
      <c r="M117" s="66">
        <f>3.9445 * CHOOSE(CONTROL!$C$23, $C$12, 100%, $E$12)</f>
        <v>3.9445000000000001</v>
      </c>
      <c r="N117" s="66">
        <f>3.9376 * CHOOSE(CONTROL!$C$23, $C$12, 100%, $E$12)</f>
        <v>3.9376000000000002</v>
      </c>
      <c r="O117" s="66">
        <f>3.9445 * CHOOSE(CONTROL!$C$23, $C$12, 100%, $E$12)</f>
        <v>3.9445000000000001</v>
      </c>
      <c r="P117" s="4"/>
      <c r="Q117" s="4"/>
      <c r="R117" s="4"/>
    </row>
    <row r="118" spans="1:18" ht="15">
      <c r="A118" s="13">
        <v>44743</v>
      </c>
      <c r="B118" s="65">
        <f>3.3675 * CHOOSE(CONTROL!$C$23, $C$12, 100%, $E$12)</f>
        <v>3.3675000000000002</v>
      </c>
      <c r="C118" s="65">
        <f>3.3675 * CHOOSE(CONTROL!$C$23, $C$12, 100%, $E$12)</f>
        <v>3.3675000000000002</v>
      </c>
      <c r="D118" s="65">
        <f>3.3731 * CHOOSE(CONTROL!$C$23, $C$12, 100%, $E$12)</f>
        <v>3.3731</v>
      </c>
      <c r="E118" s="66">
        <f>4.0252 * CHOOSE(CONTROL!$C$23, $C$12, 100%, $E$12)</f>
        <v>4.0251999999999999</v>
      </c>
      <c r="F118" s="66">
        <f>4.0252 * CHOOSE(CONTROL!$C$23, $C$12, 100%, $E$12)</f>
        <v>4.0251999999999999</v>
      </c>
      <c r="G118" s="66">
        <f>4.0321 * CHOOSE(CONTROL!$C$23, $C$12, 100%, $E$12)</f>
        <v>4.0320999999999998</v>
      </c>
      <c r="H118" s="66">
        <f>7.2953* CHOOSE(CONTROL!$C$23, $C$12, 100%, $E$12)</f>
        <v>7.2953000000000001</v>
      </c>
      <c r="I118" s="66">
        <f>7.3022 * CHOOSE(CONTROL!$C$23, $C$12, 100%, $E$12)</f>
        <v>7.3022</v>
      </c>
      <c r="J118" s="66">
        <f>7.2953 * CHOOSE(CONTROL!$C$23, $C$12, 100%, $E$12)</f>
        <v>7.2953000000000001</v>
      </c>
      <c r="K118" s="66">
        <f>7.3022 * CHOOSE(CONTROL!$C$23, $C$12, 100%, $E$12)</f>
        <v>7.3022</v>
      </c>
      <c r="L118" s="66">
        <f>4.0252 * CHOOSE(CONTROL!$C$23, $C$12, 100%, $E$12)</f>
        <v>4.0251999999999999</v>
      </c>
      <c r="M118" s="66">
        <f>4.0321 * CHOOSE(CONTROL!$C$23, $C$12, 100%, $E$12)</f>
        <v>4.0320999999999998</v>
      </c>
      <c r="N118" s="66">
        <f>4.0252 * CHOOSE(CONTROL!$C$23, $C$12, 100%, $E$12)</f>
        <v>4.0251999999999999</v>
      </c>
      <c r="O118" s="66">
        <f>4.0321 * CHOOSE(CONTROL!$C$23, $C$12, 100%, $E$12)</f>
        <v>4.0320999999999998</v>
      </c>
      <c r="P118" s="4"/>
      <c r="Q118" s="4"/>
      <c r="R118" s="4"/>
    </row>
    <row r="119" spans="1:18" ht="15">
      <c r="A119" s="13">
        <v>44774</v>
      </c>
      <c r="B119" s="65">
        <f>3.3742 * CHOOSE(CONTROL!$C$23, $C$12, 100%, $E$12)</f>
        <v>3.3742000000000001</v>
      </c>
      <c r="C119" s="65">
        <f>3.3742 * CHOOSE(CONTROL!$C$23, $C$12, 100%, $E$12)</f>
        <v>3.3742000000000001</v>
      </c>
      <c r="D119" s="65">
        <f>3.3798 * CHOOSE(CONTROL!$C$23, $C$12, 100%, $E$12)</f>
        <v>3.3797999999999999</v>
      </c>
      <c r="E119" s="66">
        <f>3.9706 * CHOOSE(CONTROL!$C$23, $C$12, 100%, $E$12)</f>
        <v>3.9706000000000001</v>
      </c>
      <c r="F119" s="66">
        <f>3.9706 * CHOOSE(CONTROL!$C$23, $C$12, 100%, $E$12)</f>
        <v>3.9706000000000001</v>
      </c>
      <c r="G119" s="66">
        <f>3.9775 * CHOOSE(CONTROL!$C$23, $C$12, 100%, $E$12)</f>
        <v>3.9775</v>
      </c>
      <c r="H119" s="66">
        <f>7.3105* CHOOSE(CONTROL!$C$23, $C$12, 100%, $E$12)</f>
        <v>7.3105000000000002</v>
      </c>
      <c r="I119" s="66">
        <f>7.3174 * CHOOSE(CONTROL!$C$23, $C$12, 100%, $E$12)</f>
        <v>7.3174000000000001</v>
      </c>
      <c r="J119" s="66">
        <f>7.3105 * CHOOSE(CONTROL!$C$23, $C$12, 100%, $E$12)</f>
        <v>7.3105000000000002</v>
      </c>
      <c r="K119" s="66">
        <f>7.3174 * CHOOSE(CONTROL!$C$23, $C$12, 100%, $E$12)</f>
        <v>7.3174000000000001</v>
      </c>
      <c r="L119" s="66">
        <f>3.9706 * CHOOSE(CONTROL!$C$23, $C$12, 100%, $E$12)</f>
        <v>3.9706000000000001</v>
      </c>
      <c r="M119" s="66">
        <f>3.9775 * CHOOSE(CONTROL!$C$23, $C$12, 100%, $E$12)</f>
        <v>3.9775</v>
      </c>
      <c r="N119" s="66">
        <f>3.9706 * CHOOSE(CONTROL!$C$23, $C$12, 100%, $E$12)</f>
        <v>3.9706000000000001</v>
      </c>
      <c r="O119" s="66">
        <f>3.9775 * CHOOSE(CONTROL!$C$23, $C$12, 100%, $E$12)</f>
        <v>3.9775</v>
      </c>
      <c r="P119" s="4"/>
      <c r="Q119" s="4"/>
      <c r="R119" s="4"/>
    </row>
    <row r="120" spans="1:18" ht="15">
      <c r="A120" s="13">
        <v>44805</v>
      </c>
      <c r="B120" s="65">
        <f>3.3711 * CHOOSE(CONTROL!$C$23, $C$12, 100%, $E$12)</f>
        <v>3.3711000000000002</v>
      </c>
      <c r="C120" s="65">
        <f>3.3711 * CHOOSE(CONTROL!$C$23, $C$12, 100%, $E$12)</f>
        <v>3.3711000000000002</v>
      </c>
      <c r="D120" s="65">
        <f>3.3768 * CHOOSE(CONTROL!$C$23, $C$12, 100%, $E$12)</f>
        <v>3.3767999999999998</v>
      </c>
      <c r="E120" s="66">
        <f>3.9619 * CHOOSE(CONTROL!$C$23, $C$12, 100%, $E$12)</f>
        <v>3.9619</v>
      </c>
      <c r="F120" s="66">
        <f>3.9619 * CHOOSE(CONTROL!$C$23, $C$12, 100%, $E$12)</f>
        <v>3.9619</v>
      </c>
      <c r="G120" s="66">
        <f>3.9688 * CHOOSE(CONTROL!$C$23, $C$12, 100%, $E$12)</f>
        <v>3.9687999999999999</v>
      </c>
      <c r="H120" s="66">
        <f>7.3257* CHOOSE(CONTROL!$C$23, $C$12, 100%, $E$12)</f>
        <v>7.3257000000000003</v>
      </c>
      <c r="I120" s="66">
        <f>7.3326 * CHOOSE(CONTROL!$C$23, $C$12, 100%, $E$12)</f>
        <v>7.3326000000000002</v>
      </c>
      <c r="J120" s="66">
        <f>7.3257 * CHOOSE(CONTROL!$C$23, $C$12, 100%, $E$12)</f>
        <v>7.3257000000000003</v>
      </c>
      <c r="K120" s="66">
        <f>7.3326 * CHOOSE(CONTROL!$C$23, $C$12, 100%, $E$12)</f>
        <v>7.3326000000000002</v>
      </c>
      <c r="L120" s="66">
        <f>3.9619 * CHOOSE(CONTROL!$C$23, $C$12, 100%, $E$12)</f>
        <v>3.9619</v>
      </c>
      <c r="M120" s="66">
        <f>3.9688 * CHOOSE(CONTROL!$C$23, $C$12, 100%, $E$12)</f>
        <v>3.9687999999999999</v>
      </c>
      <c r="N120" s="66">
        <f>3.9619 * CHOOSE(CONTROL!$C$23, $C$12, 100%, $E$12)</f>
        <v>3.9619</v>
      </c>
      <c r="O120" s="66">
        <f>3.9688 * CHOOSE(CONTROL!$C$23, $C$12, 100%, $E$12)</f>
        <v>3.9687999999999999</v>
      </c>
      <c r="P120" s="4"/>
      <c r="Q120" s="4"/>
      <c r="R120" s="4"/>
    </row>
    <row r="121" spans="1:18" ht="15">
      <c r="A121" s="13">
        <v>44835</v>
      </c>
      <c r="B121" s="65">
        <f>3.3637 * CHOOSE(CONTROL!$C$23, $C$12, 100%, $E$12)</f>
        <v>3.3637000000000001</v>
      </c>
      <c r="C121" s="65">
        <f>3.3637 * CHOOSE(CONTROL!$C$23, $C$12, 100%, $E$12)</f>
        <v>3.3637000000000001</v>
      </c>
      <c r="D121" s="65">
        <f>3.3677 * CHOOSE(CONTROL!$C$23, $C$12, 100%, $E$12)</f>
        <v>3.3677000000000001</v>
      </c>
      <c r="E121" s="66">
        <f>3.9748 * CHOOSE(CONTROL!$C$23, $C$12, 100%, $E$12)</f>
        <v>3.9748000000000001</v>
      </c>
      <c r="F121" s="66">
        <f>3.9748 * CHOOSE(CONTROL!$C$23, $C$12, 100%, $E$12)</f>
        <v>3.9748000000000001</v>
      </c>
      <c r="G121" s="66">
        <f>3.9798 * CHOOSE(CONTROL!$C$23, $C$12, 100%, $E$12)</f>
        <v>3.9798</v>
      </c>
      <c r="H121" s="66">
        <f>7.341* CHOOSE(CONTROL!$C$23, $C$12, 100%, $E$12)</f>
        <v>7.3410000000000002</v>
      </c>
      <c r="I121" s="66">
        <f>7.3459 * CHOOSE(CONTROL!$C$23, $C$12, 100%, $E$12)</f>
        <v>7.3459000000000003</v>
      </c>
      <c r="J121" s="66">
        <f>7.341 * CHOOSE(CONTROL!$C$23, $C$12, 100%, $E$12)</f>
        <v>7.3410000000000002</v>
      </c>
      <c r="K121" s="66">
        <f>7.3459 * CHOOSE(CONTROL!$C$23, $C$12, 100%, $E$12)</f>
        <v>7.3459000000000003</v>
      </c>
      <c r="L121" s="66">
        <f>3.9748 * CHOOSE(CONTROL!$C$23, $C$12, 100%, $E$12)</f>
        <v>3.9748000000000001</v>
      </c>
      <c r="M121" s="66">
        <f>3.9798 * CHOOSE(CONTROL!$C$23, $C$12, 100%, $E$12)</f>
        <v>3.9798</v>
      </c>
      <c r="N121" s="66">
        <f>3.9748 * CHOOSE(CONTROL!$C$23, $C$12, 100%, $E$12)</f>
        <v>3.9748000000000001</v>
      </c>
      <c r="O121" s="66">
        <f>3.9798 * CHOOSE(CONTROL!$C$23, $C$12, 100%, $E$12)</f>
        <v>3.9798</v>
      </c>
      <c r="P121" s="4"/>
      <c r="Q121" s="4"/>
      <c r="R121" s="4"/>
    </row>
    <row r="122" spans="1:18" ht="15">
      <c r="A122" s="13">
        <v>44866</v>
      </c>
      <c r="B122" s="65">
        <f>3.3667 * CHOOSE(CONTROL!$C$23, $C$12, 100%, $E$12)</f>
        <v>3.3666999999999998</v>
      </c>
      <c r="C122" s="65">
        <f>3.3667 * CHOOSE(CONTROL!$C$23, $C$12, 100%, $E$12)</f>
        <v>3.3666999999999998</v>
      </c>
      <c r="D122" s="65">
        <f>3.3707 * CHOOSE(CONTROL!$C$23, $C$12, 100%, $E$12)</f>
        <v>3.3706999999999998</v>
      </c>
      <c r="E122" s="66">
        <f>3.9901 * CHOOSE(CONTROL!$C$23, $C$12, 100%, $E$12)</f>
        <v>3.9901</v>
      </c>
      <c r="F122" s="66">
        <f>3.9901 * CHOOSE(CONTROL!$C$23, $C$12, 100%, $E$12)</f>
        <v>3.9901</v>
      </c>
      <c r="G122" s="66">
        <f>3.995 * CHOOSE(CONTROL!$C$23, $C$12, 100%, $E$12)</f>
        <v>3.9950000000000001</v>
      </c>
      <c r="H122" s="66">
        <f>7.3563* CHOOSE(CONTROL!$C$23, $C$12, 100%, $E$12)</f>
        <v>7.3563000000000001</v>
      </c>
      <c r="I122" s="66">
        <f>7.3612 * CHOOSE(CONTROL!$C$23, $C$12, 100%, $E$12)</f>
        <v>7.3612000000000002</v>
      </c>
      <c r="J122" s="66">
        <f>7.3563 * CHOOSE(CONTROL!$C$23, $C$12, 100%, $E$12)</f>
        <v>7.3563000000000001</v>
      </c>
      <c r="K122" s="66">
        <f>7.3612 * CHOOSE(CONTROL!$C$23, $C$12, 100%, $E$12)</f>
        <v>7.3612000000000002</v>
      </c>
      <c r="L122" s="66">
        <f>3.9901 * CHOOSE(CONTROL!$C$23, $C$12, 100%, $E$12)</f>
        <v>3.9901</v>
      </c>
      <c r="M122" s="66">
        <f>3.995 * CHOOSE(CONTROL!$C$23, $C$12, 100%, $E$12)</f>
        <v>3.9950000000000001</v>
      </c>
      <c r="N122" s="66">
        <f>3.9901 * CHOOSE(CONTROL!$C$23, $C$12, 100%, $E$12)</f>
        <v>3.9901</v>
      </c>
      <c r="O122" s="66">
        <f>3.995 * CHOOSE(CONTROL!$C$23, $C$12, 100%, $E$12)</f>
        <v>3.9950000000000001</v>
      </c>
      <c r="P122" s="4"/>
      <c r="Q122" s="4"/>
      <c r="R122" s="4"/>
    </row>
    <row r="123" spans="1:18" ht="15">
      <c r="A123" s="13">
        <v>44896</v>
      </c>
      <c r="B123" s="65">
        <f>3.3667 * CHOOSE(CONTROL!$C$23, $C$12, 100%, $E$12)</f>
        <v>3.3666999999999998</v>
      </c>
      <c r="C123" s="65">
        <f>3.3667 * CHOOSE(CONTROL!$C$23, $C$12, 100%, $E$12)</f>
        <v>3.3666999999999998</v>
      </c>
      <c r="D123" s="65">
        <f>3.3707 * CHOOSE(CONTROL!$C$23, $C$12, 100%, $E$12)</f>
        <v>3.3706999999999998</v>
      </c>
      <c r="E123" s="66">
        <f>3.9572 * CHOOSE(CONTROL!$C$23, $C$12, 100%, $E$12)</f>
        <v>3.9571999999999998</v>
      </c>
      <c r="F123" s="66">
        <f>3.9572 * CHOOSE(CONTROL!$C$23, $C$12, 100%, $E$12)</f>
        <v>3.9571999999999998</v>
      </c>
      <c r="G123" s="66">
        <f>3.9621 * CHOOSE(CONTROL!$C$23, $C$12, 100%, $E$12)</f>
        <v>3.9621</v>
      </c>
      <c r="H123" s="66">
        <f>7.3716* CHOOSE(CONTROL!$C$23, $C$12, 100%, $E$12)</f>
        <v>7.3715999999999999</v>
      </c>
      <c r="I123" s="66">
        <f>7.3765 * CHOOSE(CONTROL!$C$23, $C$12, 100%, $E$12)</f>
        <v>7.3765000000000001</v>
      </c>
      <c r="J123" s="66">
        <f>7.3716 * CHOOSE(CONTROL!$C$23, $C$12, 100%, $E$12)</f>
        <v>7.3715999999999999</v>
      </c>
      <c r="K123" s="66">
        <f>7.3765 * CHOOSE(CONTROL!$C$23, $C$12, 100%, $E$12)</f>
        <v>7.3765000000000001</v>
      </c>
      <c r="L123" s="66">
        <f>3.9572 * CHOOSE(CONTROL!$C$23, $C$12, 100%, $E$12)</f>
        <v>3.9571999999999998</v>
      </c>
      <c r="M123" s="66">
        <f>3.9621 * CHOOSE(CONTROL!$C$23, $C$12, 100%, $E$12)</f>
        <v>3.9621</v>
      </c>
      <c r="N123" s="66">
        <f>3.9572 * CHOOSE(CONTROL!$C$23, $C$12, 100%, $E$12)</f>
        <v>3.9571999999999998</v>
      </c>
      <c r="O123" s="66">
        <f>3.9621 * CHOOSE(CONTROL!$C$23, $C$12, 100%, $E$12)</f>
        <v>3.9621</v>
      </c>
      <c r="P123" s="4"/>
      <c r="Q123" s="4"/>
      <c r="R123" s="4"/>
    </row>
    <row r="124" spans="1:18" ht="15">
      <c r="A124" s="13">
        <v>44927</v>
      </c>
      <c r="B124" s="65">
        <f>3.3924 * CHOOSE(CONTROL!$C$23, $C$12, 100%, $E$12)</f>
        <v>3.3923999999999999</v>
      </c>
      <c r="C124" s="65">
        <f>3.3924 * CHOOSE(CONTROL!$C$23, $C$12, 100%, $E$12)</f>
        <v>3.3923999999999999</v>
      </c>
      <c r="D124" s="65">
        <f>3.3964 * CHOOSE(CONTROL!$C$23, $C$12, 100%, $E$12)</f>
        <v>3.3963999999999999</v>
      </c>
      <c r="E124" s="66">
        <f>4.0337 * CHOOSE(CONTROL!$C$23, $C$12, 100%, $E$12)</f>
        <v>4.0336999999999996</v>
      </c>
      <c r="F124" s="66">
        <f>4.0337 * CHOOSE(CONTROL!$C$23, $C$12, 100%, $E$12)</f>
        <v>4.0336999999999996</v>
      </c>
      <c r="G124" s="66">
        <f>4.0387 * CHOOSE(CONTROL!$C$23, $C$12, 100%, $E$12)</f>
        <v>4.0387000000000004</v>
      </c>
      <c r="H124" s="66">
        <f>7.387* CHOOSE(CONTROL!$C$23, $C$12, 100%, $E$12)</f>
        <v>7.3869999999999996</v>
      </c>
      <c r="I124" s="66">
        <f>7.3919 * CHOOSE(CONTROL!$C$23, $C$12, 100%, $E$12)</f>
        <v>7.3918999999999997</v>
      </c>
      <c r="J124" s="66">
        <f>7.387 * CHOOSE(CONTROL!$C$23, $C$12, 100%, $E$12)</f>
        <v>7.3869999999999996</v>
      </c>
      <c r="K124" s="66">
        <f>7.3919 * CHOOSE(CONTROL!$C$23, $C$12, 100%, $E$12)</f>
        <v>7.3918999999999997</v>
      </c>
      <c r="L124" s="66">
        <f>4.0337 * CHOOSE(CONTROL!$C$23, $C$12, 100%, $E$12)</f>
        <v>4.0336999999999996</v>
      </c>
      <c r="M124" s="66">
        <f>4.0387 * CHOOSE(CONTROL!$C$23, $C$12, 100%, $E$12)</f>
        <v>4.0387000000000004</v>
      </c>
      <c r="N124" s="66">
        <f>4.0337 * CHOOSE(CONTROL!$C$23, $C$12, 100%, $E$12)</f>
        <v>4.0336999999999996</v>
      </c>
      <c r="O124" s="66">
        <f>4.0387 * CHOOSE(CONTROL!$C$23, $C$12, 100%, $E$12)</f>
        <v>4.0387000000000004</v>
      </c>
      <c r="P124" s="4"/>
      <c r="Q124" s="4"/>
      <c r="R124" s="4"/>
    </row>
    <row r="125" spans="1:18" ht="15">
      <c r="A125" s="13">
        <v>44958</v>
      </c>
      <c r="B125" s="65">
        <f>3.3894 * CHOOSE(CONTROL!$C$23, $C$12, 100%, $E$12)</f>
        <v>3.3894000000000002</v>
      </c>
      <c r="C125" s="65">
        <f>3.3894 * CHOOSE(CONTROL!$C$23, $C$12, 100%, $E$12)</f>
        <v>3.3894000000000002</v>
      </c>
      <c r="D125" s="65">
        <f>3.3933 * CHOOSE(CONTROL!$C$23, $C$12, 100%, $E$12)</f>
        <v>3.3933</v>
      </c>
      <c r="E125" s="66">
        <f>3.9661 * CHOOSE(CONTROL!$C$23, $C$12, 100%, $E$12)</f>
        <v>3.9661</v>
      </c>
      <c r="F125" s="66">
        <f>3.9661 * CHOOSE(CONTROL!$C$23, $C$12, 100%, $E$12)</f>
        <v>3.9661</v>
      </c>
      <c r="G125" s="66">
        <f>3.971 * CHOOSE(CONTROL!$C$23, $C$12, 100%, $E$12)</f>
        <v>3.9710000000000001</v>
      </c>
      <c r="H125" s="66">
        <f>7.4024* CHOOSE(CONTROL!$C$23, $C$12, 100%, $E$12)</f>
        <v>7.4024000000000001</v>
      </c>
      <c r="I125" s="66">
        <f>7.4073 * CHOOSE(CONTROL!$C$23, $C$12, 100%, $E$12)</f>
        <v>7.4073000000000002</v>
      </c>
      <c r="J125" s="66">
        <f>7.4024 * CHOOSE(CONTROL!$C$23, $C$12, 100%, $E$12)</f>
        <v>7.4024000000000001</v>
      </c>
      <c r="K125" s="66">
        <f>7.4073 * CHOOSE(CONTROL!$C$23, $C$12, 100%, $E$12)</f>
        <v>7.4073000000000002</v>
      </c>
      <c r="L125" s="66">
        <f>3.9661 * CHOOSE(CONTROL!$C$23, $C$12, 100%, $E$12)</f>
        <v>3.9661</v>
      </c>
      <c r="M125" s="66">
        <f>3.971 * CHOOSE(CONTROL!$C$23, $C$12, 100%, $E$12)</f>
        <v>3.9710000000000001</v>
      </c>
      <c r="N125" s="66">
        <f>3.9661 * CHOOSE(CONTROL!$C$23, $C$12, 100%, $E$12)</f>
        <v>3.9661</v>
      </c>
      <c r="O125" s="66">
        <f>3.971 * CHOOSE(CONTROL!$C$23, $C$12, 100%, $E$12)</f>
        <v>3.9710000000000001</v>
      </c>
      <c r="P125" s="4"/>
      <c r="Q125" s="4"/>
      <c r="R125" s="4"/>
    </row>
    <row r="126" spans="1:18" ht="15">
      <c r="A126" s="13">
        <v>44986</v>
      </c>
      <c r="B126" s="65">
        <f>3.3863 * CHOOSE(CONTROL!$C$23, $C$12, 100%, $E$12)</f>
        <v>3.3862999999999999</v>
      </c>
      <c r="C126" s="65">
        <f>3.3863 * CHOOSE(CONTROL!$C$23, $C$12, 100%, $E$12)</f>
        <v>3.3862999999999999</v>
      </c>
      <c r="D126" s="65">
        <f>3.3903 * CHOOSE(CONTROL!$C$23, $C$12, 100%, $E$12)</f>
        <v>3.3902999999999999</v>
      </c>
      <c r="E126" s="66">
        <f>4.0156 * CHOOSE(CONTROL!$C$23, $C$12, 100%, $E$12)</f>
        <v>4.0156000000000001</v>
      </c>
      <c r="F126" s="66">
        <f>4.0156 * CHOOSE(CONTROL!$C$23, $C$12, 100%, $E$12)</f>
        <v>4.0156000000000001</v>
      </c>
      <c r="G126" s="66">
        <f>4.0206 * CHOOSE(CONTROL!$C$23, $C$12, 100%, $E$12)</f>
        <v>4.0206</v>
      </c>
      <c r="H126" s="66">
        <f>7.4178* CHOOSE(CONTROL!$C$23, $C$12, 100%, $E$12)</f>
        <v>7.4177999999999997</v>
      </c>
      <c r="I126" s="66">
        <f>7.4227 * CHOOSE(CONTROL!$C$23, $C$12, 100%, $E$12)</f>
        <v>7.4226999999999999</v>
      </c>
      <c r="J126" s="66">
        <f>7.4178 * CHOOSE(CONTROL!$C$23, $C$12, 100%, $E$12)</f>
        <v>7.4177999999999997</v>
      </c>
      <c r="K126" s="66">
        <f>7.4227 * CHOOSE(CONTROL!$C$23, $C$12, 100%, $E$12)</f>
        <v>7.4226999999999999</v>
      </c>
      <c r="L126" s="66">
        <f>4.0156 * CHOOSE(CONTROL!$C$23, $C$12, 100%, $E$12)</f>
        <v>4.0156000000000001</v>
      </c>
      <c r="M126" s="66">
        <f>4.0206 * CHOOSE(CONTROL!$C$23, $C$12, 100%, $E$12)</f>
        <v>4.0206</v>
      </c>
      <c r="N126" s="66">
        <f>4.0156 * CHOOSE(CONTROL!$C$23, $C$12, 100%, $E$12)</f>
        <v>4.0156000000000001</v>
      </c>
      <c r="O126" s="66">
        <f>4.0206 * CHOOSE(CONTROL!$C$23, $C$12, 100%, $E$12)</f>
        <v>4.0206</v>
      </c>
      <c r="P126" s="4"/>
      <c r="Q126" s="4"/>
      <c r="R126" s="4"/>
    </row>
    <row r="127" spans="1:18" ht="15">
      <c r="A127" s="13">
        <v>45017</v>
      </c>
      <c r="B127" s="65">
        <f>3.3833 * CHOOSE(CONTROL!$C$23, $C$12, 100%, $E$12)</f>
        <v>3.3833000000000002</v>
      </c>
      <c r="C127" s="65">
        <f>3.3833 * CHOOSE(CONTROL!$C$23, $C$12, 100%, $E$12)</f>
        <v>3.3833000000000002</v>
      </c>
      <c r="D127" s="65">
        <f>3.3873 * CHOOSE(CONTROL!$C$23, $C$12, 100%, $E$12)</f>
        <v>3.3873000000000002</v>
      </c>
      <c r="E127" s="66">
        <f>4.0669 * CHOOSE(CONTROL!$C$23, $C$12, 100%, $E$12)</f>
        <v>4.0669000000000004</v>
      </c>
      <c r="F127" s="66">
        <f>4.0669 * CHOOSE(CONTROL!$C$23, $C$12, 100%, $E$12)</f>
        <v>4.0669000000000004</v>
      </c>
      <c r="G127" s="66">
        <f>4.0718 * CHOOSE(CONTROL!$C$23, $C$12, 100%, $E$12)</f>
        <v>4.0717999999999996</v>
      </c>
      <c r="H127" s="66">
        <f>7.4332* CHOOSE(CONTROL!$C$23, $C$12, 100%, $E$12)</f>
        <v>7.4332000000000003</v>
      </c>
      <c r="I127" s="66">
        <f>7.4382 * CHOOSE(CONTROL!$C$23, $C$12, 100%, $E$12)</f>
        <v>7.4382000000000001</v>
      </c>
      <c r="J127" s="66">
        <f>7.4332 * CHOOSE(CONTROL!$C$23, $C$12, 100%, $E$12)</f>
        <v>7.4332000000000003</v>
      </c>
      <c r="K127" s="66">
        <f>7.4382 * CHOOSE(CONTROL!$C$23, $C$12, 100%, $E$12)</f>
        <v>7.4382000000000001</v>
      </c>
      <c r="L127" s="66">
        <f>4.0669 * CHOOSE(CONTROL!$C$23, $C$12, 100%, $E$12)</f>
        <v>4.0669000000000004</v>
      </c>
      <c r="M127" s="66">
        <f>4.0718 * CHOOSE(CONTROL!$C$23, $C$12, 100%, $E$12)</f>
        <v>4.0717999999999996</v>
      </c>
      <c r="N127" s="66">
        <f>4.0669 * CHOOSE(CONTROL!$C$23, $C$12, 100%, $E$12)</f>
        <v>4.0669000000000004</v>
      </c>
      <c r="O127" s="66">
        <f>4.0718 * CHOOSE(CONTROL!$C$23, $C$12, 100%, $E$12)</f>
        <v>4.0717999999999996</v>
      </c>
      <c r="P127" s="4"/>
      <c r="Q127" s="4"/>
      <c r="R127" s="4"/>
    </row>
    <row r="128" spans="1:18" ht="15">
      <c r="A128" s="13">
        <v>45047</v>
      </c>
      <c r="B128" s="65">
        <f>3.3833 * CHOOSE(CONTROL!$C$23, $C$12, 100%, $E$12)</f>
        <v>3.3833000000000002</v>
      </c>
      <c r="C128" s="65">
        <f>3.3833 * CHOOSE(CONTROL!$C$23, $C$12, 100%, $E$12)</f>
        <v>3.3833000000000002</v>
      </c>
      <c r="D128" s="65">
        <f>3.389 * CHOOSE(CONTROL!$C$23, $C$12, 100%, $E$12)</f>
        <v>3.3889999999999998</v>
      </c>
      <c r="E128" s="66">
        <f>4.0877 * CHOOSE(CONTROL!$C$23, $C$12, 100%, $E$12)</f>
        <v>4.0876999999999999</v>
      </c>
      <c r="F128" s="66">
        <f>4.0877 * CHOOSE(CONTROL!$C$23, $C$12, 100%, $E$12)</f>
        <v>4.0876999999999999</v>
      </c>
      <c r="G128" s="66">
        <f>4.0946 * CHOOSE(CONTROL!$C$23, $C$12, 100%, $E$12)</f>
        <v>4.0945999999999998</v>
      </c>
      <c r="H128" s="66">
        <f>7.4487* CHOOSE(CONTROL!$C$23, $C$12, 100%, $E$12)</f>
        <v>7.4486999999999997</v>
      </c>
      <c r="I128" s="66">
        <f>7.4556 * CHOOSE(CONTROL!$C$23, $C$12, 100%, $E$12)</f>
        <v>7.4555999999999996</v>
      </c>
      <c r="J128" s="66">
        <f>7.4487 * CHOOSE(CONTROL!$C$23, $C$12, 100%, $E$12)</f>
        <v>7.4486999999999997</v>
      </c>
      <c r="K128" s="66">
        <f>7.4556 * CHOOSE(CONTROL!$C$23, $C$12, 100%, $E$12)</f>
        <v>7.4555999999999996</v>
      </c>
      <c r="L128" s="66">
        <f>4.0877 * CHOOSE(CONTROL!$C$23, $C$12, 100%, $E$12)</f>
        <v>4.0876999999999999</v>
      </c>
      <c r="M128" s="66">
        <f>4.0946 * CHOOSE(CONTROL!$C$23, $C$12, 100%, $E$12)</f>
        <v>4.0945999999999998</v>
      </c>
      <c r="N128" s="66">
        <f>4.0877 * CHOOSE(CONTROL!$C$23, $C$12, 100%, $E$12)</f>
        <v>4.0876999999999999</v>
      </c>
      <c r="O128" s="66">
        <f>4.0946 * CHOOSE(CONTROL!$C$23, $C$12, 100%, $E$12)</f>
        <v>4.0945999999999998</v>
      </c>
      <c r="P128" s="4"/>
      <c r="Q128" s="4"/>
      <c r="R128" s="4"/>
    </row>
    <row r="129" spans="1:18" ht="15">
      <c r="A129" s="13">
        <v>45078</v>
      </c>
      <c r="B129" s="65">
        <f>3.3894 * CHOOSE(CONTROL!$C$23, $C$12, 100%, $E$12)</f>
        <v>3.3894000000000002</v>
      </c>
      <c r="C129" s="65">
        <f>3.3894 * CHOOSE(CONTROL!$C$23, $C$12, 100%, $E$12)</f>
        <v>3.3894000000000002</v>
      </c>
      <c r="D129" s="65">
        <f>3.395 * CHOOSE(CONTROL!$C$23, $C$12, 100%, $E$12)</f>
        <v>3.395</v>
      </c>
      <c r="E129" s="66">
        <f>4.0711 * CHOOSE(CONTROL!$C$23, $C$12, 100%, $E$12)</f>
        <v>4.0711000000000004</v>
      </c>
      <c r="F129" s="66">
        <f>4.0711 * CHOOSE(CONTROL!$C$23, $C$12, 100%, $E$12)</f>
        <v>4.0711000000000004</v>
      </c>
      <c r="G129" s="66">
        <f>4.078 * CHOOSE(CONTROL!$C$23, $C$12, 100%, $E$12)</f>
        <v>4.0780000000000003</v>
      </c>
      <c r="H129" s="66">
        <f>7.4642* CHOOSE(CONTROL!$C$23, $C$12, 100%, $E$12)</f>
        <v>7.4641999999999999</v>
      </c>
      <c r="I129" s="66">
        <f>7.4711 * CHOOSE(CONTROL!$C$23, $C$12, 100%, $E$12)</f>
        <v>7.4710999999999999</v>
      </c>
      <c r="J129" s="66">
        <f>7.4642 * CHOOSE(CONTROL!$C$23, $C$12, 100%, $E$12)</f>
        <v>7.4641999999999999</v>
      </c>
      <c r="K129" s="66">
        <f>7.4711 * CHOOSE(CONTROL!$C$23, $C$12, 100%, $E$12)</f>
        <v>7.4710999999999999</v>
      </c>
      <c r="L129" s="66">
        <f>4.0711 * CHOOSE(CONTROL!$C$23, $C$12, 100%, $E$12)</f>
        <v>4.0711000000000004</v>
      </c>
      <c r="M129" s="66">
        <f>4.078 * CHOOSE(CONTROL!$C$23, $C$12, 100%, $E$12)</f>
        <v>4.0780000000000003</v>
      </c>
      <c r="N129" s="66">
        <f>4.0711 * CHOOSE(CONTROL!$C$23, $C$12, 100%, $E$12)</f>
        <v>4.0711000000000004</v>
      </c>
      <c r="O129" s="66">
        <f>4.078 * CHOOSE(CONTROL!$C$23, $C$12, 100%, $E$12)</f>
        <v>4.0780000000000003</v>
      </c>
      <c r="P129" s="4"/>
      <c r="Q129" s="4"/>
      <c r="R129" s="4"/>
    </row>
    <row r="130" spans="1:18" ht="15">
      <c r="A130" s="13">
        <v>45108</v>
      </c>
      <c r="B130" s="65">
        <f>3.4356 * CHOOSE(CONTROL!$C$23, $C$12, 100%, $E$12)</f>
        <v>3.4356</v>
      </c>
      <c r="C130" s="65">
        <f>3.4356 * CHOOSE(CONTROL!$C$23, $C$12, 100%, $E$12)</f>
        <v>3.4356</v>
      </c>
      <c r="D130" s="65">
        <f>3.4413 * CHOOSE(CONTROL!$C$23, $C$12, 100%, $E$12)</f>
        <v>3.4413</v>
      </c>
      <c r="E130" s="66">
        <f>4.1492 * CHOOSE(CONTROL!$C$23, $C$12, 100%, $E$12)</f>
        <v>4.1492000000000004</v>
      </c>
      <c r="F130" s="66">
        <f>4.1492 * CHOOSE(CONTROL!$C$23, $C$12, 100%, $E$12)</f>
        <v>4.1492000000000004</v>
      </c>
      <c r="G130" s="66">
        <f>4.1561 * CHOOSE(CONTROL!$C$23, $C$12, 100%, $E$12)</f>
        <v>4.1561000000000003</v>
      </c>
      <c r="H130" s="66">
        <f>7.4798* CHOOSE(CONTROL!$C$23, $C$12, 100%, $E$12)</f>
        <v>7.4798</v>
      </c>
      <c r="I130" s="66">
        <f>7.4867 * CHOOSE(CONTROL!$C$23, $C$12, 100%, $E$12)</f>
        <v>7.4866999999999999</v>
      </c>
      <c r="J130" s="66">
        <f>7.4798 * CHOOSE(CONTROL!$C$23, $C$12, 100%, $E$12)</f>
        <v>7.4798</v>
      </c>
      <c r="K130" s="66">
        <f>7.4867 * CHOOSE(CONTROL!$C$23, $C$12, 100%, $E$12)</f>
        <v>7.4866999999999999</v>
      </c>
      <c r="L130" s="66">
        <f>4.1492 * CHOOSE(CONTROL!$C$23, $C$12, 100%, $E$12)</f>
        <v>4.1492000000000004</v>
      </c>
      <c r="M130" s="66">
        <f>4.1561 * CHOOSE(CONTROL!$C$23, $C$12, 100%, $E$12)</f>
        <v>4.1561000000000003</v>
      </c>
      <c r="N130" s="66">
        <f>4.1492 * CHOOSE(CONTROL!$C$23, $C$12, 100%, $E$12)</f>
        <v>4.1492000000000004</v>
      </c>
      <c r="O130" s="66">
        <f>4.1561 * CHOOSE(CONTROL!$C$23, $C$12, 100%, $E$12)</f>
        <v>4.1561000000000003</v>
      </c>
      <c r="P130" s="4"/>
      <c r="Q130" s="4"/>
      <c r="R130" s="4"/>
    </row>
    <row r="131" spans="1:18" ht="15">
      <c r="A131" s="13">
        <v>45139</v>
      </c>
      <c r="B131" s="65">
        <f>3.4423 * CHOOSE(CONTROL!$C$23, $C$12, 100%, $E$12)</f>
        <v>3.4422999999999999</v>
      </c>
      <c r="C131" s="65">
        <f>3.4423 * CHOOSE(CONTROL!$C$23, $C$12, 100%, $E$12)</f>
        <v>3.4422999999999999</v>
      </c>
      <c r="D131" s="65">
        <f>3.448 * CHOOSE(CONTROL!$C$23, $C$12, 100%, $E$12)</f>
        <v>3.448</v>
      </c>
      <c r="E131" s="66">
        <f>4.0915 * CHOOSE(CONTROL!$C$23, $C$12, 100%, $E$12)</f>
        <v>4.0914999999999999</v>
      </c>
      <c r="F131" s="66">
        <f>4.0915 * CHOOSE(CONTROL!$C$23, $C$12, 100%, $E$12)</f>
        <v>4.0914999999999999</v>
      </c>
      <c r="G131" s="66">
        <f>4.0984 * CHOOSE(CONTROL!$C$23, $C$12, 100%, $E$12)</f>
        <v>4.0983999999999998</v>
      </c>
      <c r="H131" s="66">
        <f>7.4954* CHOOSE(CONTROL!$C$23, $C$12, 100%, $E$12)</f>
        <v>7.4954000000000001</v>
      </c>
      <c r="I131" s="66">
        <f>7.5023 * CHOOSE(CONTROL!$C$23, $C$12, 100%, $E$12)</f>
        <v>7.5023</v>
      </c>
      <c r="J131" s="66">
        <f>7.4954 * CHOOSE(CONTROL!$C$23, $C$12, 100%, $E$12)</f>
        <v>7.4954000000000001</v>
      </c>
      <c r="K131" s="66">
        <f>7.5023 * CHOOSE(CONTROL!$C$23, $C$12, 100%, $E$12)</f>
        <v>7.5023</v>
      </c>
      <c r="L131" s="66">
        <f>4.0915 * CHOOSE(CONTROL!$C$23, $C$12, 100%, $E$12)</f>
        <v>4.0914999999999999</v>
      </c>
      <c r="M131" s="66">
        <f>4.0984 * CHOOSE(CONTROL!$C$23, $C$12, 100%, $E$12)</f>
        <v>4.0983999999999998</v>
      </c>
      <c r="N131" s="66">
        <f>4.0915 * CHOOSE(CONTROL!$C$23, $C$12, 100%, $E$12)</f>
        <v>4.0914999999999999</v>
      </c>
      <c r="O131" s="66">
        <f>4.0984 * CHOOSE(CONTROL!$C$23, $C$12, 100%, $E$12)</f>
        <v>4.0983999999999998</v>
      </c>
      <c r="P131" s="4"/>
      <c r="Q131" s="4"/>
      <c r="R131" s="4"/>
    </row>
    <row r="132" spans="1:18" ht="15">
      <c r="A132" s="13">
        <v>45170</v>
      </c>
      <c r="B132" s="65">
        <f>3.4393 * CHOOSE(CONTROL!$C$23, $C$12, 100%, $E$12)</f>
        <v>3.4392999999999998</v>
      </c>
      <c r="C132" s="65">
        <f>3.4393 * CHOOSE(CONTROL!$C$23, $C$12, 100%, $E$12)</f>
        <v>3.4392999999999998</v>
      </c>
      <c r="D132" s="65">
        <f>3.4449 * CHOOSE(CONTROL!$C$23, $C$12, 100%, $E$12)</f>
        <v>3.4449000000000001</v>
      </c>
      <c r="E132" s="66">
        <f>4.0824 * CHOOSE(CONTROL!$C$23, $C$12, 100%, $E$12)</f>
        <v>4.0823999999999998</v>
      </c>
      <c r="F132" s="66">
        <f>4.0824 * CHOOSE(CONTROL!$C$23, $C$12, 100%, $E$12)</f>
        <v>4.0823999999999998</v>
      </c>
      <c r="G132" s="66">
        <f>4.0893 * CHOOSE(CONTROL!$C$23, $C$12, 100%, $E$12)</f>
        <v>4.0892999999999997</v>
      </c>
      <c r="H132" s="66">
        <f>7.511* CHOOSE(CONTROL!$C$23, $C$12, 100%, $E$12)</f>
        <v>7.5110000000000001</v>
      </c>
      <c r="I132" s="66">
        <f>7.5179 * CHOOSE(CONTROL!$C$23, $C$12, 100%, $E$12)</f>
        <v>7.5179</v>
      </c>
      <c r="J132" s="66">
        <f>7.511 * CHOOSE(CONTROL!$C$23, $C$12, 100%, $E$12)</f>
        <v>7.5110000000000001</v>
      </c>
      <c r="K132" s="66">
        <f>7.5179 * CHOOSE(CONTROL!$C$23, $C$12, 100%, $E$12)</f>
        <v>7.5179</v>
      </c>
      <c r="L132" s="66">
        <f>4.0824 * CHOOSE(CONTROL!$C$23, $C$12, 100%, $E$12)</f>
        <v>4.0823999999999998</v>
      </c>
      <c r="M132" s="66">
        <f>4.0893 * CHOOSE(CONTROL!$C$23, $C$12, 100%, $E$12)</f>
        <v>4.0892999999999997</v>
      </c>
      <c r="N132" s="66">
        <f>4.0824 * CHOOSE(CONTROL!$C$23, $C$12, 100%, $E$12)</f>
        <v>4.0823999999999998</v>
      </c>
      <c r="O132" s="66">
        <f>4.0893 * CHOOSE(CONTROL!$C$23, $C$12, 100%, $E$12)</f>
        <v>4.0892999999999997</v>
      </c>
      <c r="P132" s="4"/>
      <c r="Q132" s="4"/>
      <c r="R132" s="4"/>
    </row>
    <row r="133" spans="1:18" ht="15">
      <c r="A133" s="13">
        <v>45200</v>
      </c>
      <c r="B133" s="65">
        <f>3.4321 * CHOOSE(CONTROL!$C$23, $C$12, 100%, $E$12)</f>
        <v>3.4321000000000002</v>
      </c>
      <c r="C133" s="65">
        <f>3.4321 * CHOOSE(CONTROL!$C$23, $C$12, 100%, $E$12)</f>
        <v>3.4321000000000002</v>
      </c>
      <c r="D133" s="65">
        <f>3.4361 * CHOOSE(CONTROL!$C$23, $C$12, 100%, $E$12)</f>
        <v>3.4361000000000002</v>
      </c>
      <c r="E133" s="66">
        <f>4.0968 * CHOOSE(CONTROL!$C$23, $C$12, 100%, $E$12)</f>
        <v>4.0968</v>
      </c>
      <c r="F133" s="66">
        <f>4.0968 * CHOOSE(CONTROL!$C$23, $C$12, 100%, $E$12)</f>
        <v>4.0968</v>
      </c>
      <c r="G133" s="66">
        <f>4.1017 * CHOOSE(CONTROL!$C$23, $C$12, 100%, $E$12)</f>
        <v>4.1017000000000001</v>
      </c>
      <c r="H133" s="66">
        <f>7.5266* CHOOSE(CONTROL!$C$23, $C$12, 100%, $E$12)</f>
        <v>7.5266000000000002</v>
      </c>
      <c r="I133" s="66">
        <f>7.5316 * CHOOSE(CONTROL!$C$23, $C$12, 100%, $E$12)</f>
        <v>7.5316000000000001</v>
      </c>
      <c r="J133" s="66">
        <f>7.5266 * CHOOSE(CONTROL!$C$23, $C$12, 100%, $E$12)</f>
        <v>7.5266000000000002</v>
      </c>
      <c r="K133" s="66">
        <f>7.5316 * CHOOSE(CONTROL!$C$23, $C$12, 100%, $E$12)</f>
        <v>7.5316000000000001</v>
      </c>
      <c r="L133" s="66">
        <f>4.0968 * CHOOSE(CONTROL!$C$23, $C$12, 100%, $E$12)</f>
        <v>4.0968</v>
      </c>
      <c r="M133" s="66">
        <f>4.1017 * CHOOSE(CONTROL!$C$23, $C$12, 100%, $E$12)</f>
        <v>4.1017000000000001</v>
      </c>
      <c r="N133" s="66">
        <f>4.0968 * CHOOSE(CONTROL!$C$23, $C$12, 100%, $E$12)</f>
        <v>4.0968</v>
      </c>
      <c r="O133" s="66">
        <f>4.1017 * CHOOSE(CONTROL!$C$23, $C$12, 100%, $E$12)</f>
        <v>4.1017000000000001</v>
      </c>
      <c r="P133" s="4"/>
      <c r="Q133" s="4"/>
      <c r="R133" s="4"/>
    </row>
    <row r="134" spans="1:18" ht="15">
      <c r="A134" s="13">
        <v>45231</v>
      </c>
      <c r="B134" s="65">
        <f>3.4352 * CHOOSE(CONTROL!$C$23, $C$12, 100%, $E$12)</f>
        <v>3.4352</v>
      </c>
      <c r="C134" s="65">
        <f>3.4352 * CHOOSE(CONTROL!$C$23, $C$12, 100%, $E$12)</f>
        <v>3.4352</v>
      </c>
      <c r="D134" s="65">
        <f>3.4392 * CHOOSE(CONTROL!$C$23, $C$12, 100%, $E$12)</f>
        <v>3.4392</v>
      </c>
      <c r="E134" s="66">
        <f>4.1127 * CHOOSE(CONTROL!$C$23, $C$12, 100%, $E$12)</f>
        <v>4.1127000000000002</v>
      </c>
      <c r="F134" s="66">
        <f>4.1127 * CHOOSE(CONTROL!$C$23, $C$12, 100%, $E$12)</f>
        <v>4.1127000000000002</v>
      </c>
      <c r="G134" s="66">
        <f>4.1177 * CHOOSE(CONTROL!$C$23, $C$12, 100%, $E$12)</f>
        <v>4.1177000000000001</v>
      </c>
      <c r="H134" s="66">
        <f>7.5423* CHOOSE(CONTROL!$C$23, $C$12, 100%, $E$12)</f>
        <v>7.5423</v>
      </c>
      <c r="I134" s="66">
        <f>7.5472 * CHOOSE(CONTROL!$C$23, $C$12, 100%, $E$12)</f>
        <v>7.5472000000000001</v>
      </c>
      <c r="J134" s="66">
        <f>7.5423 * CHOOSE(CONTROL!$C$23, $C$12, 100%, $E$12)</f>
        <v>7.5423</v>
      </c>
      <c r="K134" s="66">
        <f>7.5472 * CHOOSE(CONTROL!$C$23, $C$12, 100%, $E$12)</f>
        <v>7.5472000000000001</v>
      </c>
      <c r="L134" s="66">
        <f>4.1127 * CHOOSE(CONTROL!$C$23, $C$12, 100%, $E$12)</f>
        <v>4.1127000000000002</v>
      </c>
      <c r="M134" s="66">
        <f>4.1177 * CHOOSE(CONTROL!$C$23, $C$12, 100%, $E$12)</f>
        <v>4.1177000000000001</v>
      </c>
      <c r="N134" s="66">
        <f>4.1127 * CHOOSE(CONTROL!$C$23, $C$12, 100%, $E$12)</f>
        <v>4.1127000000000002</v>
      </c>
      <c r="O134" s="66">
        <f>4.1177 * CHOOSE(CONTROL!$C$23, $C$12, 100%, $E$12)</f>
        <v>4.1177000000000001</v>
      </c>
      <c r="P134" s="4"/>
      <c r="Q134" s="4"/>
      <c r="R134" s="4"/>
    </row>
    <row r="135" spans="1:18" ht="15">
      <c r="A135" s="13">
        <v>45261</v>
      </c>
      <c r="B135" s="65">
        <f>3.4352 * CHOOSE(CONTROL!$C$23, $C$12, 100%, $E$12)</f>
        <v>3.4352</v>
      </c>
      <c r="C135" s="65">
        <f>3.4352 * CHOOSE(CONTROL!$C$23, $C$12, 100%, $E$12)</f>
        <v>3.4352</v>
      </c>
      <c r="D135" s="65">
        <f>3.4392 * CHOOSE(CONTROL!$C$23, $C$12, 100%, $E$12)</f>
        <v>3.4392</v>
      </c>
      <c r="E135" s="66">
        <f>4.0781 * CHOOSE(CONTROL!$C$23, $C$12, 100%, $E$12)</f>
        <v>4.0781000000000001</v>
      </c>
      <c r="F135" s="66">
        <f>4.0781 * CHOOSE(CONTROL!$C$23, $C$12, 100%, $E$12)</f>
        <v>4.0781000000000001</v>
      </c>
      <c r="G135" s="66">
        <f>4.083 * CHOOSE(CONTROL!$C$23, $C$12, 100%, $E$12)</f>
        <v>4.0830000000000002</v>
      </c>
      <c r="H135" s="66">
        <f>7.558* CHOOSE(CONTROL!$C$23, $C$12, 100%, $E$12)</f>
        <v>7.5579999999999998</v>
      </c>
      <c r="I135" s="66">
        <f>7.563 * CHOOSE(CONTROL!$C$23, $C$12, 100%, $E$12)</f>
        <v>7.5629999999999997</v>
      </c>
      <c r="J135" s="66">
        <f>7.558 * CHOOSE(CONTROL!$C$23, $C$12, 100%, $E$12)</f>
        <v>7.5579999999999998</v>
      </c>
      <c r="K135" s="66">
        <f>7.563 * CHOOSE(CONTROL!$C$23, $C$12, 100%, $E$12)</f>
        <v>7.5629999999999997</v>
      </c>
      <c r="L135" s="66">
        <f>4.0781 * CHOOSE(CONTROL!$C$23, $C$12, 100%, $E$12)</f>
        <v>4.0781000000000001</v>
      </c>
      <c r="M135" s="66">
        <f>4.083 * CHOOSE(CONTROL!$C$23, $C$12, 100%, $E$12)</f>
        <v>4.0830000000000002</v>
      </c>
      <c r="N135" s="66">
        <f>4.0781 * CHOOSE(CONTROL!$C$23, $C$12, 100%, $E$12)</f>
        <v>4.0781000000000001</v>
      </c>
      <c r="O135" s="66">
        <f>4.083 * CHOOSE(CONTROL!$C$23, $C$12, 100%, $E$12)</f>
        <v>4.0830000000000002</v>
      </c>
      <c r="P135" s="4"/>
      <c r="Q135" s="4"/>
      <c r="R135" s="4"/>
    </row>
    <row r="136" spans="1:18" ht="15">
      <c r="A136" s="13">
        <v>45292</v>
      </c>
      <c r="B136" s="65">
        <f>3.4652 * CHOOSE(CONTROL!$C$23, $C$12, 100%, $E$12)</f>
        <v>3.4651999999999998</v>
      </c>
      <c r="C136" s="65">
        <f>3.4652 * CHOOSE(CONTROL!$C$23, $C$12, 100%, $E$12)</f>
        <v>3.4651999999999998</v>
      </c>
      <c r="D136" s="65">
        <f>3.4692 * CHOOSE(CONTROL!$C$23, $C$12, 100%, $E$12)</f>
        <v>3.4691999999999998</v>
      </c>
      <c r="E136" s="66">
        <f>4.1228 * CHOOSE(CONTROL!$C$23, $C$12, 100%, $E$12)</f>
        <v>4.1227999999999998</v>
      </c>
      <c r="F136" s="66">
        <f>4.1228 * CHOOSE(CONTROL!$C$23, $C$12, 100%, $E$12)</f>
        <v>4.1227999999999998</v>
      </c>
      <c r="G136" s="66">
        <f>4.1277 * CHOOSE(CONTROL!$C$23, $C$12, 100%, $E$12)</f>
        <v>4.1276999999999999</v>
      </c>
      <c r="H136" s="66">
        <f>7.5738* CHOOSE(CONTROL!$C$23, $C$12, 100%, $E$12)</f>
        <v>7.5738000000000003</v>
      </c>
      <c r="I136" s="66">
        <f>7.5787 * CHOOSE(CONTROL!$C$23, $C$12, 100%, $E$12)</f>
        <v>7.5787000000000004</v>
      </c>
      <c r="J136" s="66">
        <f>7.5738 * CHOOSE(CONTROL!$C$23, $C$12, 100%, $E$12)</f>
        <v>7.5738000000000003</v>
      </c>
      <c r="K136" s="66">
        <f>7.5787 * CHOOSE(CONTROL!$C$23, $C$12, 100%, $E$12)</f>
        <v>7.5787000000000004</v>
      </c>
      <c r="L136" s="66">
        <f>4.1228 * CHOOSE(CONTROL!$C$23, $C$12, 100%, $E$12)</f>
        <v>4.1227999999999998</v>
      </c>
      <c r="M136" s="66">
        <f>4.1277 * CHOOSE(CONTROL!$C$23, $C$12, 100%, $E$12)</f>
        <v>4.1276999999999999</v>
      </c>
      <c r="N136" s="66">
        <f>4.1228 * CHOOSE(CONTROL!$C$23, $C$12, 100%, $E$12)</f>
        <v>4.1227999999999998</v>
      </c>
      <c r="O136" s="66">
        <f>4.1277 * CHOOSE(CONTROL!$C$23, $C$12, 100%, $E$12)</f>
        <v>4.1276999999999999</v>
      </c>
      <c r="P136" s="4"/>
      <c r="Q136" s="4"/>
      <c r="R136" s="4"/>
    </row>
    <row r="137" spans="1:18" ht="15">
      <c r="A137" s="13">
        <v>45323</v>
      </c>
      <c r="B137" s="65">
        <f>3.4621 * CHOOSE(CONTROL!$C$23, $C$12, 100%, $E$12)</f>
        <v>3.4621</v>
      </c>
      <c r="C137" s="65">
        <f>3.4621 * CHOOSE(CONTROL!$C$23, $C$12, 100%, $E$12)</f>
        <v>3.4621</v>
      </c>
      <c r="D137" s="65">
        <f>3.4661 * CHOOSE(CONTROL!$C$23, $C$12, 100%, $E$12)</f>
        <v>3.4661</v>
      </c>
      <c r="E137" s="66">
        <f>4.0546 * CHOOSE(CONTROL!$C$23, $C$12, 100%, $E$12)</f>
        <v>4.0545999999999998</v>
      </c>
      <c r="F137" s="66">
        <f>4.0546 * CHOOSE(CONTROL!$C$23, $C$12, 100%, $E$12)</f>
        <v>4.0545999999999998</v>
      </c>
      <c r="G137" s="66">
        <f>4.0595 * CHOOSE(CONTROL!$C$23, $C$12, 100%, $E$12)</f>
        <v>4.0594999999999999</v>
      </c>
      <c r="H137" s="66">
        <f>7.5896* CHOOSE(CONTROL!$C$23, $C$12, 100%, $E$12)</f>
        <v>7.5895999999999999</v>
      </c>
      <c r="I137" s="66">
        <f>7.5945 * CHOOSE(CONTROL!$C$23, $C$12, 100%, $E$12)</f>
        <v>7.5945</v>
      </c>
      <c r="J137" s="66">
        <f>7.5896 * CHOOSE(CONTROL!$C$23, $C$12, 100%, $E$12)</f>
        <v>7.5895999999999999</v>
      </c>
      <c r="K137" s="66">
        <f>7.5945 * CHOOSE(CONTROL!$C$23, $C$12, 100%, $E$12)</f>
        <v>7.5945</v>
      </c>
      <c r="L137" s="66">
        <f>4.0546 * CHOOSE(CONTROL!$C$23, $C$12, 100%, $E$12)</f>
        <v>4.0545999999999998</v>
      </c>
      <c r="M137" s="66">
        <f>4.0595 * CHOOSE(CONTROL!$C$23, $C$12, 100%, $E$12)</f>
        <v>4.0594999999999999</v>
      </c>
      <c r="N137" s="66">
        <f>4.0546 * CHOOSE(CONTROL!$C$23, $C$12, 100%, $E$12)</f>
        <v>4.0545999999999998</v>
      </c>
      <c r="O137" s="66">
        <f>4.0595 * CHOOSE(CONTROL!$C$23, $C$12, 100%, $E$12)</f>
        <v>4.0594999999999999</v>
      </c>
      <c r="P137" s="4"/>
      <c r="Q137" s="4"/>
      <c r="R137" s="4"/>
    </row>
    <row r="138" spans="1:18" ht="15">
      <c r="A138" s="13">
        <v>45352</v>
      </c>
      <c r="B138" s="65">
        <f>3.4591 * CHOOSE(CONTROL!$C$23, $C$12, 100%, $E$12)</f>
        <v>3.4590999999999998</v>
      </c>
      <c r="C138" s="65">
        <f>3.4591 * CHOOSE(CONTROL!$C$23, $C$12, 100%, $E$12)</f>
        <v>3.4590999999999998</v>
      </c>
      <c r="D138" s="65">
        <f>3.4631 * CHOOSE(CONTROL!$C$23, $C$12, 100%, $E$12)</f>
        <v>3.4630999999999998</v>
      </c>
      <c r="E138" s="66">
        <f>4.1046 * CHOOSE(CONTROL!$C$23, $C$12, 100%, $E$12)</f>
        <v>4.1045999999999996</v>
      </c>
      <c r="F138" s="66">
        <f>4.1046 * CHOOSE(CONTROL!$C$23, $C$12, 100%, $E$12)</f>
        <v>4.1045999999999996</v>
      </c>
      <c r="G138" s="66">
        <f>4.1095 * CHOOSE(CONTROL!$C$23, $C$12, 100%, $E$12)</f>
        <v>4.1094999999999997</v>
      </c>
      <c r="H138" s="66">
        <f>7.6054* CHOOSE(CONTROL!$C$23, $C$12, 100%, $E$12)</f>
        <v>7.6054000000000004</v>
      </c>
      <c r="I138" s="66">
        <f>7.6103 * CHOOSE(CONTROL!$C$23, $C$12, 100%, $E$12)</f>
        <v>7.6102999999999996</v>
      </c>
      <c r="J138" s="66">
        <f>7.6054 * CHOOSE(CONTROL!$C$23, $C$12, 100%, $E$12)</f>
        <v>7.6054000000000004</v>
      </c>
      <c r="K138" s="66">
        <f>7.6103 * CHOOSE(CONTROL!$C$23, $C$12, 100%, $E$12)</f>
        <v>7.6102999999999996</v>
      </c>
      <c r="L138" s="66">
        <f>4.1046 * CHOOSE(CONTROL!$C$23, $C$12, 100%, $E$12)</f>
        <v>4.1045999999999996</v>
      </c>
      <c r="M138" s="66">
        <f>4.1095 * CHOOSE(CONTROL!$C$23, $C$12, 100%, $E$12)</f>
        <v>4.1094999999999997</v>
      </c>
      <c r="N138" s="66">
        <f>4.1046 * CHOOSE(CONTROL!$C$23, $C$12, 100%, $E$12)</f>
        <v>4.1045999999999996</v>
      </c>
      <c r="O138" s="66">
        <f>4.1095 * CHOOSE(CONTROL!$C$23, $C$12, 100%, $E$12)</f>
        <v>4.1094999999999997</v>
      </c>
      <c r="P138" s="4"/>
      <c r="Q138" s="4"/>
      <c r="R138" s="4"/>
    </row>
    <row r="139" spans="1:18" ht="15">
      <c r="A139" s="13">
        <v>45383</v>
      </c>
      <c r="B139" s="65">
        <f>3.4562 * CHOOSE(CONTROL!$C$23, $C$12, 100%, $E$12)</f>
        <v>3.4561999999999999</v>
      </c>
      <c r="C139" s="65">
        <f>3.4562 * CHOOSE(CONTROL!$C$23, $C$12, 100%, $E$12)</f>
        <v>3.4561999999999999</v>
      </c>
      <c r="D139" s="65">
        <f>3.4602 * CHOOSE(CONTROL!$C$23, $C$12, 100%, $E$12)</f>
        <v>3.4601999999999999</v>
      </c>
      <c r="E139" s="66">
        <f>4.1563 * CHOOSE(CONTROL!$C$23, $C$12, 100%, $E$12)</f>
        <v>4.1562999999999999</v>
      </c>
      <c r="F139" s="66">
        <f>4.1563 * CHOOSE(CONTROL!$C$23, $C$12, 100%, $E$12)</f>
        <v>4.1562999999999999</v>
      </c>
      <c r="G139" s="66">
        <f>4.1612 * CHOOSE(CONTROL!$C$23, $C$12, 100%, $E$12)</f>
        <v>4.1612</v>
      </c>
      <c r="H139" s="66">
        <f>7.6212* CHOOSE(CONTROL!$C$23, $C$12, 100%, $E$12)</f>
        <v>7.6212</v>
      </c>
      <c r="I139" s="66">
        <f>7.6261 * CHOOSE(CONTROL!$C$23, $C$12, 100%, $E$12)</f>
        <v>7.6261000000000001</v>
      </c>
      <c r="J139" s="66">
        <f>7.6212 * CHOOSE(CONTROL!$C$23, $C$12, 100%, $E$12)</f>
        <v>7.6212</v>
      </c>
      <c r="K139" s="66">
        <f>7.6261 * CHOOSE(CONTROL!$C$23, $C$12, 100%, $E$12)</f>
        <v>7.6261000000000001</v>
      </c>
      <c r="L139" s="66">
        <f>4.1563 * CHOOSE(CONTROL!$C$23, $C$12, 100%, $E$12)</f>
        <v>4.1562999999999999</v>
      </c>
      <c r="M139" s="66">
        <f>4.1612 * CHOOSE(CONTROL!$C$23, $C$12, 100%, $E$12)</f>
        <v>4.1612</v>
      </c>
      <c r="N139" s="66">
        <f>4.1563 * CHOOSE(CONTROL!$C$23, $C$12, 100%, $E$12)</f>
        <v>4.1562999999999999</v>
      </c>
      <c r="O139" s="66">
        <f>4.1612 * CHOOSE(CONTROL!$C$23, $C$12, 100%, $E$12)</f>
        <v>4.1612</v>
      </c>
      <c r="P139" s="4"/>
      <c r="Q139" s="4"/>
      <c r="R139" s="4"/>
    </row>
    <row r="140" spans="1:18" ht="15">
      <c r="A140" s="13">
        <v>45413</v>
      </c>
      <c r="B140" s="65">
        <f>3.4562 * CHOOSE(CONTROL!$C$23, $C$12, 100%, $E$12)</f>
        <v>3.4561999999999999</v>
      </c>
      <c r="C140" s="65">
        <f>3.4562 * CHOOSE(CONTROL!$C$23, $C$12, 100%, $E$12)</f>
        <v>3.4561999999999999</v>
      </c>
      <c r="D140" s="65">
        <f>3.4618 * CHOOSE(CONTROL!$C$23, $C$12, 100%, $E$12)</f>
        <v>3.4618000000000002</v>
      </c>
      <c r="E140" s="66">
        <f>4.1772 * CHOOSE(CONTROL!$C$23, $C$12, 100%, $E$12)</f>
        <v>4.1772</v>
      </c>
      <c r="F140" s="66">
        <f>4.1772 * CHOOSE(CONTROL!$C$23, $C$12, 100%, $E$12)</f>
        <v>4.1772</v>
      </c>
      <c r="G140" s="66">
        <f>4.1841 * CHOOSE(CONTROL!$C$23, $C$12, 100%, $E$12)</f>
        <v>4.1840999999999999</v>
      </c>
      <c r="H140" s="66">
        <f>7.6371* CHOOSE(CONTROL!$C$23, $C$12, 100%, $E$12)</f>
        <v>7.6371000000000002</v>
      </c>
      <c r="I140" s="66">
        <f>7.644 * CHOOSE(CONTROL!$C$23, $C$12, 100%, $E$12)</f>
        <v>7.6440000000000001</v>
      </c>
      <c r="J140" s="66">
        <f>7.6371 * CHOOSE(CONTROL!$C$23, $C$12, 100%, $E$12)</f>
        <v>7.6371000000000002</v>
      </c>
      <c r="K140" s="66">
        <f>7.644 * CHOOSE(CONTROL!$C$23, $C$12, 100%, $E$12)</f>
        <v>7.6440000000000001</v>
      </c>
      <c r="L140" s="66">
        <f>4.1772 * CHOOSE(CONTROL!$C$23, $C$12, 100%, $E$12)</f>
        <v>4.1772</v>
      </c>
      <c r="M140" s="66">
        <f>4.1841 * CHOOSE(CONTROL!$C$23, $C$12, 100%, $E$12)</f>
        <v>4.1840999999999999</v>
      </c>
      <c r="N140" s="66">
        <f>4.1772 * CHOOSE(CONTROL!$C$23, $C$12, 100%, $E$12)</f>
        <v>4.1772</v>
      </c>
      <c r="O140" s="66">
        <f>4.1841 * CHOOSE(CONTROL!$C$23, $C$12, 100%, $E$12)</f>
        <v>4.1840999999999999</v>
      </c>
      <c r="P140" s="4"/>
      <c r="Q140" s="4"/>
      <c r="R140" s="4"/>
    </row>
    <row r="141" spans="1:18" ht="15">
      <c r="A141" s="13">
        <v>45444</v>
      </c>
      <c r="B141" s="65">
        <f>3.4623 * CHOOSE(CONTROL!$C$23, $C$12, 100%, $E$12)</f>
        <v>3.4622999999999999</v>
      </c>
      <c r="C141" s="65">
        <f>3.4623 * CHOOSE(CONTROL!$C$23, $C$12, 100%, $E$12)</f>
        <v>3.4622999999999999</v>
      </c>
      <c r="D141" s="65">
        <f>3.4679 * CHOOSE(CONTROL!$C$23, $C$12, 100%, $E$12)</f>
        <v>3.4679000000000002</v>
      </c>
      <c r="E141" s="66">
        <f>4.1605 * CHOOSE(CONTROL!$C$23, $C$12, 100%, $E$12)</f>
        <v>4.1604999999999999</v>
      </c>
      <c r="F141" s="66">
        <f>4.1605 * CHOOSE(CONTROL!$C$23, $C$12, 100%, $E$12)</f>
        <v>4.1604999999999999</v>
      </c>
      <c r="G141" s="66">
        <f>4.1674 * CHOOSE(CONTROL!$C$23, $C$12, 100%, $E$12)</f>
        <v>4.1673999999999998</v>
      </c>
      <c r="H141" s="66">
        <f>7.653* CHOOSE(CONTROL!$C$23, $C$12, 100%, $E$12)</f>
        <v>7.6529999999999996</v>
      </c>
      <c r="I141" s="66">
        <f>7.6599 * CHOOSE(CONTROL!$C$23, $C$12, 100%, $E$12)</f>
        <v>7.6599000000000004</v>
      </c>
      <c r="J141" s="66">
        <f>7.653 * CHOOSE(CONTROL!$C$23, $C$12, 100%, $E$12)</f>
        <v>7.6529999999999996</v>
      </c>
      <c r="K141" s="66">
        <f>7.6599 * CHOOSE(CONTROL!$C$23, $C$12, 100%, $E$12)</f>
        <v>7.6599000000000004</v>
      </c>
      <c r="L141" s="66">
        <f>4.1605 * CHOOSE(CONTROL!$C$23, $C$12, 100%, $E$12)</f>
        <v>4.1604999999999999</v>
      </c>
      <c r="M141" s="66">
        <f>4.1674 * CHOOSE(CONTROL!$C$23, $C$12, 100%, $E$12)</f>
        <v>4.1673999999999998</v>
      </c>
      <c r="N141" s="66">
        <f>4.1605 * CHOOSE(CONTROL!$C$23, $C$12, 100%, $E$12)</f>
        <v>4.1604999999999999</v>
      </c>
      <c r="O141" s="66">
        <f>4.1674 * CHOOSE(CONTROL!$C$23, $C$12, 100%, $E$12)</f>
        <v>4.1673999999999998</v>
      </c>
      <c r="P141" s="4"/>
      <c r="Q141" s="4"/>
      <c r="R141" s="4"/>
    </row>
    <row r="142" spans="1:18" ht="15">
      <c r="A142" s="13">
        <v>45474</v>
      </c>
      <c r="B142" s="65">
        <f>3.5185 * CHOOSE(CONTROL!$C$23, $C$12, 100%, $E$12)</f>
        <v>3.5185</v>
      </c>
      <c r="C142" s="65">
        <f>3.5185 * CHOOSE(CONTROL!$C$23, $C$12, 100%, $E$12)</f>
        <v>3.5185</v>
      </c>
      <c r="D142" s="65">
        <f>3.5241 * CHOOSE(CONTROL!$C$23, $C$12, 100%, $E$12)</f>
        <v>3.5240999999999998</v>
      </c>
      <c r="E142" s="66">
        <f>4.2301 * CHOOSE(CONTROL!$C$23, $C$12, 100%, $E$12)</f>
        <v>4.2301000000000002</v>
      </c>
      <c r="F142" s="66">
        <f>4.2301 * CHOOSE(CONTROL!$C$23, $C$12, 100%, $E$12)</f>
        <v>4.2301000000000002</v>
      </c>
      <c r="G142" s="66">
        <f>4.237 * CHOOSE(CONTROL!$C$23, $C$12, 100%, $E$12)</f>
        <v>4.2370000000000001</v>
      </c>
      <c r="H142" s="66">
        <f>7.6689* CHOOSE(CONTROL!$C$23, $C$12, 100%, $E$12)</f>
        <v>7.6688999999999998</v>
      </c>
      <c r="I142" s="66">
        <f>7.6758 * CHOOSE(CONTROL!$C$23, $C$12, 100%, $E$12)</f>
        <v>7.6757999999999997</v>
      </c>
      <c r="J142" s="66">
        <f>7.6689 * CHOOSE(CONTROL!$C$23, $C$12, 100%, $E$12)</f>
        <v>7.6688999999999998</v>
      </c>
      <c r="K142" s="66">
        <f>7.6758 * CHOOSE(CONTROL!$C$23, $C$12, 100%, $E$12)</f>
        <v>7.6757999999999997</v>
      </c>
      <c r="L142" s="66">
        <f>4.2301 * CHOOSE(CONTROL!$C$23, $C$12, 100%, $E$12)</f>
        <v>4.2301000000000002</v>
      </c>
      <c r="M142" s="66">
        <f>4.237 * CHOOSE(CONTROL!$C$23, $C$12, 100%, $E$12)</f>
        <v>4.2370000000000001</v>
      </c>
      <c r="N142" s="66">
        <f>4.2301 * CHOOSE(CONTROL!$C$23, $C$12, 100%, $E$12)</f>
        <v>4.2301000000000002</v>
      </c>
      <c r="O142" s="66">
        <f>4.237 * CHOOSE(CONTROL!$C$23, $C$12, 100%, $E$12)</f>
        <v>4.2370000000000001</v>
      </c>
      <c r="P142" s="4"/>
      <c r="Q142" s="4"/>
      <c r="R142" s="4"/>
    </row>
    <row r="143" spans="1:18" ht="15">
      <c r="A143" s="13">
        <v>45505</v>
      </c>
      <c r="B143" s="65">
        <f>3.5251 * CHOOSE(CONTROL!$C$23, $C$12, 100%, $E$12)</f>
        <v>3.5251000000000001</v>
      </c>
      <c r="C143" s="65">
        <f>3.5251 * CHOOSE(CONTROL!$C$23, $C$12, 100%, $E$12)</f>
        <v>3.5251000000000001</v>
      </c>
      <c r="D143" s="65">
        <f>3.5308 * CHOOSE(CONTROL!$C$23, $C$12, 100%, $E$12)</f>
        <v>3.5308000000000002</v>
      </c>
      <c r="E143" s="66">
        <f>4.1718 * CHOOSE(CONTROL!$C$23, $C$12, 100%, $E$12)</f>
        <v>4.1718000000000002</v>
      </c>
      <c r="F143" s="66">
        <f>4.1718 * CHOOSE(CONTROL!$C$23, $C$12, 100%, $E$12)</f>
        <v>4.1718000000000002</v>
      </c>
      <c r="G143" s="66">
        <f>4.1787 * CHOOSE(CONTROL!$C$23, $C$12, 100%, $E$12)</f>
        <v>4.1787000000000001</v>
      </c>
      <c r="H143" s="66">
        <f>7.6849* CHOOSE(CONTROL!$C$23, $C$12, 100%, $E$12)</f>
        <v>7.6848999999999998</v>
      </c>
      <c r="I143" s="66">
        <f>7.6918 * CHOOSE(CONTROL!$C$23, $C$12, 100%, $E$12)</f>
        <v>7.6917999999999997</v>
      </c>
      <c r="J143" s="66">
        <f>7.6849 * CHOOSE(CONTROL!$C$23, $C$12, 100%, $E$12)</f>
        <v>7.6848999999999998</v>
      </c>
      <c r="K143" s="66">
        <f>7.6918 * CHOOSE(CONTROL!$C$23, $C$12, 100%, $E$12)</f>
        <v>7.6917999999999997</v>
      </c>
      <c r="L143" s="66">
        <f>4.1718 * CHOOSE(CONTROL!$C$23, $C$12, 100%, $E$12)</f>
        <v>4.1718000000000002</v>
      </c>
      <c r="M143" s="66">
        <f>4.1787 * CHOOSE(CONTROL!$C$23, $C$12, 100%, $E$12)</f>
        <v>4.1787000000000001</v>
      </c>
      <c r="N143" s="66">
        <f>4.1718 * CHOOSE(CONTROL!$C$23, $C$12, 100%, $E$12)</f>
        <v>4.1718000000000002</v>
      </c>
      <c r="O143" s="66">
        <f>4.1787 * CHOOSE(CONTROL!$C$23, $C$12, 100%, $E$12)</f>
        <v>4.1787000000000001</v>
      </c>
      <c r="P143" s="4"/>
      <c r="Q143" s="4"/>
      <c r="R143" s="4"/>
    </row>
    <row r="144" spans="1:18" ht="15">
      <c r="A144" s="13">
        <v>45536</v>
      </c>
      <c r="B144" s="65">
        <f>3.5221 * CHOOSE(CONTROL!$C$23, $C$12, 100%, $E$12)</f>
        <v>3.5221</v>
      </c>
      <c r="C144" s="65">
        <f>3.5221 * CHOOSE(CONTROL!$C$23, $C$12, 100%, $E$12)</f>
        <v>3.5221</v>
      </c>
      <c r="D144" s="65">
        <f>3.5277 * CHOOSE(CONTROL!$C$23, $C$12, 100%, $E$12)</f>
        <v>3.5276999999999998</v>
      </c>
      <c r="E144" s="66">
        <f>4.1627 * CHOOSE(CONTROL!$C$23, $C$12, 100%, $E$12)</f>
        <v>4.1627000000000001</v>
      </c>
      <c r="F144" s="66">
        <f>4.1627 * CHOOSE(CONTROL!$C$23, $C$12, 100%, $E$12)</f>
        <v>4.1627000000000001</v>
      </c>
      <c r="G144" s="66">
        <f>4.1696 * CHOOSE(CONTROL!$C$23, $C$12, 100%, $E$12)</f>
        <v>4.1696</v>
      </c>
      <c r="H144" s="66">
        <f>7.7009* CHOOSE(CONTROL!$C$23, $C$12, 100%, $E$12)</f>
        <v>7.7008999999999999</v>
      </c>
      <c r="I144" s="66">
        <f>7.7078 * CHOOSE(CONTROL!$C$23, $C$12, 100%, $E$12)</f>
        <v>7.7077999999999998</v>
      </c>
      <c r="J144" s="66">
        <f>7.7009 * CHOOSE(CONTROL!$C$23, $C$12, 100%, $E$12)</f>
        <v>7.7008999999999999</v>
      </c>
      <c r="K144" s="66">
        <f>7.7078 * CHOOSE(CONTROL!$C$23, $C$12, 100%, $E$12)</f>
        <v>7.7077999999999998</v>
      </c>
      <c r="L144" s="66">
        <f>4.1627 * CHOOSE(CONTROL!$C$23, $C$12, 100%, $E$12)</f>
        <v>4.1627000000000001</v>
      </c>
      <c r="M144" s="66">
        <f>4.1696 * CHOOSE(CONTROL!$C$23, $C$12, 100%, $E$12)</f>
        <v>4.1696</v>
      </c>
      <c r="N144" s="66">
        <f>4.1627 * CHOOSE(CONTROL!$C$23, $C$12, 100%, $E$12)</f>
        <v>4.1627000000000001</v>
      </c>
      <c r="O144" s="66">
        <f>4.1696 * CHOOSE(CONTROL!$C$23, $C$12, 100%, $E$12)</f>
        <v>4.1696</v>
      </c>
      <c r="P144" s="4"/>
      <c r="Q144" s="4"/>
      <c r="R144" s="4"/>
    </row>
    <row r="145" spans="1:18" ht="15">
      <c r="A145" s="13">
        <v>45566</v>
      </c>
      <c r="B145" s="65">
        <f>3.5152 * CHOOSE(CONTROL!$C$23, $C$12, 100%, $E$12)</f>
        <v>3.5152000000000001</v>
      </c>
      <c r="C145" s="65">
        <f>3.5152 * CHOOSE(CONTROL!$C$23, $C$12, 100%, $E$12)</f>
        <v>3.5152000000000001</v>
      </c>
      <c r="D145" s="65">
        <f>3.5192 * CHOOSE(CONTROL!$C$23, $C$12, 100%, $E$12)</f>
        <v>3.5192000000000001</v>
      </c>
      <c r="E145" s="66">
        <f>4.1773 * CHOOSE(CONTROL!$C$23, $C$12, 100%, $E$12)</f>
        <v>4.1772999999999998</v>
      </c>
      <c r="F145" s="66">
        <f>4.1773 * CHOOSE(CONTROL!$C$23, $C$12, 100%, $E$12)</f>
        <v>4.1772999999999998</v>
      </c>
      <c r="G145" s="66">
        <f>4.1822 * CHOOSE(CONTROL!$C$23, $C$12, 100%, $E$12)</f>
        <v>4.1821999999999999</v>
      </c>
      <c r="H145" s="66">
        <f>7.717* CHOOSE(CONTROL!$C$23, $C$12, 100%, $E$12)</f>
        <v>7.7169999999999996</v>
      </c>
      <c r="I145" s="66">
        <f>7.7219 * CHOOSE(CONTROL!$C$23, $C$12, 100%, $E$12)</f>
        <v>7.7218999999999998</v>
      </c>
      <c r="J145" s="66">
        <f>7.717 * CHOOSE(CONTROL!$C$23, $C$12, 100%, $E$12)</f>
        <v>7.7169999999999996</v>
      </c>
      <c r="K145" s="66">
        <f>7.7219 * CHOOSE(CONTROL!$C$23, $C$12, 100%, $E$12)</f>
        <v>7.7218999999999998</v>
      </c>
      <c r="L145" s="66">
        <f>4.1773 * CHOOSE(CONTROL!$C$23, $C$12, 100%, $E$12)</f>
        <v>4.1772999999999998</v>
      </c>
      <c r="M145" s="66">
        <f>4.1822 * CHOOSE(CONTROL!$C$23, $C$12, 100%, $E$12)</f>
        <v>4.1821999999999999</v>
      </c>
      <c r="N145" s="66">
        <f>4.1773 * CHOOSE(CONTROL!$C$23, $C$12, 100%, $E$12)</f>
        <v>4.1772999999999998</v>
      </c>
      <c r="O145" s="66">
        <f>4.1822 * CHOOSE(CONTROL!$C$23, $C$12, 100%, $E$12)</f>
        <v>4.1821999999999999</v>
      </c>
      <c r="P145" s="4"/>
      <c r="Q145" s="4"/>
      <c r="R145" s="4"/>
    </row>
    <row r="146" spans="1:18" ht="15">
      <c r="A146" s="13">
        <v>45597</v>
      </c>
      <c r="B146" s="65">
        <f>3.5183 * CHOOSE(CONTROL!$C$23, $C$12, 100%, $E$12)</f>
        <v>3.5183</v>
      </c>
      <c r="C146" s="65">
        <f>3.5183 * CHOOSE(CONTROL!$C$23, $C$12, 100%, $E$12)</f>
        <v>3.5183</v>
      </c>
      <c r="D146" s="65">
        <f>3.5223 * CHOOSE(CONTROL!$C$23, $C$12, 100%, $E$12)</f>
        <v>3.5223</v>
      </c>
      <c r="E146" s="66">
        <f>4.1934 * CHOOSE(CONTROL!$C$23, $C$12, 100%, $E$12)</f>
        <v>4.1933999999999996</v>
      </c>
      <c r="F146" s="66">
        <f>4.1934 * CHOOSE(CONTROL!$C$23, $C$12, 100%, $E$12)</f>
        <v>4.1933999999999996</v>
      </c>
      <c r="G146" s="66">
        <f>4.1983 * CHOOSE(CONTROL!$C$23, $C$12, 100%, $E$12)</f>
        <v>4.1982999999999997</v>
      </c>
      <c r="H146" s="66">
        <f>7.7331* CHOOSE(CONTROL!$C$23, $C$12, 100%, $E$12)</f>
        <v>7.7331000000000003</v>
      </c>
      <c r="I146" s="66">
        <f>7.738 * CHOOSE(CONTROL!$C$23, $C$12, 100%, $E$12)</f>
        <v>7.7380000000000004</v>
      </c>
      <c r="J146" s="66">
        <f>7.7331 * CHOOSE(CONTROL!$C$23, $C$12, 100%, $E$12)</f>
        <v>7.7331000000000003</v>
      </c>
      <c r="K146" s="66">
        <f>7.738 * CHOOSE(CONTROL!$C$23, $C$12, 100%, $E$12)</f>
        <v>7.7380000000000004</v>
      </c>
      <c r="L146" s="66">
        <f>4.1934 * CHOOSE(CONTROL!$C$23, $C$12, 100%, $E$12)</f>
        <v>4.1933999999999996</v>
      </c>
      <c r="M146" s="66">
        <f>4.1983 * CHOOSE(CONTROL!$C$23, $C$12, 100%, $E$12)</f>
        <v>4.1982999999999997</v>
      </c>
      <c r="N146" s="66">
        <f>4.1934 * CHOOSE(CONTROL!$C$23, $C$12, 100%, $E$12)</f>
        <v>4.1933999999999996</v>
      </c>
      <c r="O146" s="66">
        <f>4.1983 * CHOOSE(CONTROL!$C$23, $C$12, 100%, $E$12)</f>
        <v>4.1982999999999997</v>
      </c>
      <c r="P146" s="4"/>
      <c r="Q146" s="4"/>
      <c r="R146" s="4"/>
    </row>
    <row r="147" spans="1:18" ht="15">
      <c r="A147" s="13">
        <v>45627</v>
      </c>
      <c r="B147" s="65">
        <f>3.5183 * CHOOSE(CONTROL!$C$23, $C$12, 100%, $E$12)</f>
        <v>3.5183</v>
      </c>
      <c r="C147" s="65">
        <f>3.5183 * CHOOSE(CONTROL!$C$23, $C$12, 100%, $E$12)</f>
        <v>3.5183</v>
      </c>
      <c r="D147" s="65">
        <f>3.5223 * CHOOSE(CONTROL!$C$23, $C$12, 100%, $E$12)</f>
        <v>3.5223</v>
      </c>
      <c r="E147" s="66">
        <f>4.1584 * CHOOSE(CONTROL!$C$23, $C$12, 100%, $E$12)</f>
        <v>4.1584000000000003</v>
      </c>
      <c r="F147" s="66">
        <f>4.1584 * CHOOSE(CONTROL!$C$23, $C$12, 100%, $E$12)</f>
        <v>4.1584000000000003</v>
      </c>
      <c r="G147" s="66">
        <f>4.1633 * CHOOSE(CONTROL!$C$23, $C$12, 100%, $E$12)</f>
        <v>4.1632999999999996</v>
      </c>
      <c r="H147" s="66">
        <f>7.7492* CHOOSE(CONTROL!$C$23, $C$12, 100%, $E$12)</f>
        <v>7.7492000000000001</v>
      </c>
      <c r="I147" s="66">
        <f>7.7541 * CHOOSE(CONTROL!$C$23, $C$12, 100%, $E$12)</f>
        <v>7.7541000000000002</v>
      </c>
      <c r="J147" s="66">
        <f>7.7492 * CHOOSE(CONTROL!$C$23, $C$12, 100%, $E$12)</f>
        <v>7.7492000000000001</v>
      </c>
      <c r="K147" s="66">
        <f>7.7541 * CHOOSE(CONTROL!$C$23, $C$12, 100%, $E$12)</f>
        <v>7.7541000000000002</v>
      </c>
      <c r="L147" s="66">
        <f>4.1584 * CHOOSE(CONTROL!$C$23, $C$12, 100%, $E$12)</f>
        <v>4.1584000000000003</v>
      </c>
      <c r="M147" s="66">
        <f>4.1633 * CHOOSE(CONTROL!$C$23, $C$12, 100%, $E$12)</f>
        <v>4.1632999999999996</v>
      </c>
      <c r="N147" s="66">
        <f>4.1584 * CHOOSE(CONTROL!$C$23, $C$12, 100%, $E$12)</f>
        <v>4.1584000000000003</v>
      </c>
      <c r="O147" s="66">
        <f>4.1633 * CHOOSE(CONTROL!$C$23, $C$12, 100%, $E$12)</f>
        <v>4.1632999999999996</v>
      </c>
      <c r="P147" s="4"/>
      <c r="Q147" s="4"/>
      <c r="R147" s="4"/>
    </row>
    <row r="148" spans="1:18" ht="15">
      <c r="A148" s="13">
        <v>45658</v>
      </c>
      <c r="B148" s="65">
        <f>3.5476 * CHOOSE(CONTROL!$C$23, $C$12, 100%, $E$12)</f>
        <v>3.5476000000000001</v>
      </c>
      <c r="C148" s="65">
        <f>3.5476 * CHOOSE(CONTROL!$C$23, $C$12, 100%, $E$12)</f>
        <v>3.5476000000000001</v>
      </c>
      <c r="D148" s="65">
        <f>3.5515 * CHOOSE(CONTROL!$C$23, $C$12, 100%, $E$12)</f>
        <v>3.5514999999999999</v>
      </c>
      <c r="E148" s="66">
        <f>4.2052 * CHOOSE(CONTROL!$C$23, $C$12, 100%, $E$12)</f>
        <v>4.2051999999999996</v>
      </c>
      <c r="F148" s="66">
        <f>4.2052 * CHOOSE(CONTROL!$C$23, $C$12, 100%, $E$12)</f>
        <v>4.2051999999999996</v>
      </c>
      <c r="G148" s="66">
        <f>4.2102 * CHOOSE(CONTROL!$C$23, $C$12, 100%, $E$12)</f>
        <v>4.2102000000000004</v>
      </c>
      <c r="H148" s="66">
        <f>7.7653* CHOOSE(CONTROL!$C$23, $C$12, 100%, $E$12)</f>
        <v>7.7652999999999999</v>
      </c>
      <c r="I148" s="66">
        <f>7.7702 * CHOOSE(CONTROL!$C$23, $C$12, 100%, $E$12)</f>
        <v>7.7702</v>
      </c>
      <c r="J148" s="66">
        <f>7.7653 * CHOOSE(CONTROL!$C$23, $C$12, 100%, $E$12)</f>
        <v>7.7652999999999999</v>
      </c>
      <c r="K148" s="66">
        <f>7.7702 * CHOOSE(CONTROL!$C$23, $C$12, 100%, $E$12)</f>
        <v>7.7702</v>
      </c>
      <c r="L148" s="66">
        <f>4.2052 * CHOOSE(CONTROL!$C$23, $C$12, 100%, $E$12)</f>
        <v>4.2051999999999996</v>
      </c>
      <c r="M148" s="66">
        <f>4.2102 * CHOOSE(CONTROL!$C$23, $C$12, 100%, $E$12)</f>
        <v>4.2102000000000004</v>
      </c>
      <c r="N148" s="66">
        <f>4.2052 * CHOOSE(CONTROL!$C$23, $C$12, 100%, $E$12)</f>
        <v>4.2051999999999996</v>
      </c>
      <c r="O148" s="66">
        <f>4.2102 * CHOOSE(CONTROL!$C$23, $C$12, 100%, $E$12)</f>
        <v>4.2102000000000004</v>
      </c>
      <c r="P148" s="4"/>
      <c r="Q148" s="4"/>
      <c r="R148" s="4"/>
    </row>
    <row r="149" spans="1:18" ht="15">
      <c r="A149" s="13">
        <v>45689</v>
      </c>
      <c r="B149" s="65">
        <f>3.5445 * CHOOSE(CONTROL!$C$23, $C$12, 100%, $E$12)</f>
        <v>3.5445000000000002</v>
      </c>
      <c r="C149" s="65">
        <f>3.5445 * CHOOSE(CONTROL!$C$23, $C$12, 100%, $E$12)</f>
        <v>3.5445000000000002</v>
      </c>
      <c r="D149" s="65">
        <f>3.5485 * CHOOSE(CONTROL!$C$23, $C$12, 100%, $E$12)</f>
        <v>3.5485000000000002</v>
      </c>
      <c r="E149" s="66">
        <f>4.1366 * CHOOSE(CONTROL!$C$23, $C$12, 100%, $E$12)</f>
        <v>4.1365999999999996</v>
      </c>
      <c r="F149" s="66">
        <f>4.1366 * CHOOSE(CONTROL!$C$23, $C$12, 100%, $E$12)</f>
        <v>4.1365999999999996</v>
      </c>
      <c r="G149" s="66">
        <f>4.1415 * CHOOSE(CONTROL!$C$23, $C$12, 100%, $E$12)</f>
        <v>4.1414999999999997</v>
      </c>
      <c r="H149" s="66">
        <f>7.7815* CHOOSE(CONTROL!$C$23, $C$12, 100%, $E$12)</f>
        <v>7.7815000000000003</v>
      </c>
      <c r="I149" s="66">
        <f>7.7864 * CHOOSE(CONTROL!$C$23, $C$12, 100%, $E$12)</f>
        <v>7.7864000000000004</v>
      </c>
      <c r="J149" s="66">
        <f>7.7815 * CHOOSE(CONTROL!$C$23, $C$12, 100%, $E$12)</f>
        <v>7.7815000000000003</v>
      </c>
      <c r="K149" s="66">
        <f>7.7864 * CHOOSE(CONTROL!$C$23, $C$12, 100%, $E$12)</f>
        <v>7.7864000000000004</v>
      </c>
      <c r="L149" s="66">
        <f>4.1366 * CHOOSE(CONTROL!$C$23, $C$12, 100%, $E$12)</f>
        <v>4.1365999999999996</v>
      </c>
      <c r="M149" s="66">
        <f>4.1415 * CHOOSE(CONTROL!$C$23, $C$12, 100%, $E$12)</f>
        <v>4.1414999999999997</v>
      </c>
      <c r="N149" s="66">
        <f>4.1366 * CHOOSE(CONTROL!$C$23, $C$12, 100%, $E$12)</f>
        <v>4.1365999999999996</v>
      </c>
      <c r="O149" s="66">
        <f>4.1415 * CHOOSE(CONTROL!$C$23, $C$12, 100%, $E$12)</f>
        <v>4.1414999999999997</v>
      </c>
      <c r="P149" s="4"/>
      <c r="Q149" s="4"/>
      <c r="R149" s="4"/>
    </row>
    <row r="150" spans="1:18" ht="15">
      <c r="A150" s="13">
        <v>45717</v>
      </c>
      <c r="B150" s="65">
        <f>3.5415 * CHOOSE(CONTROL!$C$23, $C$12, 100%, $E$12)</f>
        <v>3.5415000000000001</v>
      </c>
      <c r="C150" s="65">
        <f>3.5415 * CHOOSE(CONTROL!$C$23, $C$12, 100%, $E$12)</f>
        <v>3.5415000000000001</v>
      </c>
      <c r="D150" s="65">
        <f>3.5455 * CHOOSE(CONTROL!$C$23, $C$12, 100%, $E$12)</f>
        <v>3.5455000000000001</v>
      </c>
      <c r="E150" s="66">
        <f>4.1869 * CHOOSE(CONTROL!$C$23, $C$12, 100%, $E$12)</f>
        <v>4.1868999999999996</v>
      </c>
      <c r="F150" s="66">
        <f>4.1869 * CHOOSE(CONTROL!$C$23, $C$12, 100%, $E$12)</f>
        <v>4.1868999999999996</v>
      </c>
      <c r="G150" s="66">
        <f>4.1918 * CHOOSE(CONTROL!$C$23, $C$12, 100%, $E$12)</f>
        <v>4.1917999999999997</v>
      </c>
      <c r="H150" s="66">
        <f>7.7977* CHOOSE(CONTROL!$C$23, $C$12, 100%, $E$12)</f>
        <v>7.7976999999999999</v>
      </c>
      <c r="I150" s="66">
        <f>7.8026 * CHOOSE(CONTROL!$C$23, $C$12, 100%, $E$12)</f>
        <v>7.8026</v>
      </c>
      <c r="J150" s="66">
        <f>7.7977 * CHOOSE(CONTROL!$C$23, $C$12, 100%, $E$12)</f>
        <v>7.7976999999999999</v>
      </c>
      <c r="K150" s="66">
        <f>7.8026 * CHOOSE(CONTROL!$C$23, $C$12, 100%, $E$12)</f>
        <v>7.8026</v>
      </c>
      <c r="L150" s="66">
        <f>4.1869 * CHOOSE(CONTROL!$C$23, $C$12, 100%, $E$12)</f>
        <v>4.1868999999999996</v>
      </c>
      <c r="M150" s="66">
        <f>4.1918 * CHOOSE(CONTROL!$C$23, $C$12, 100%, $E$12)</f>
        <v>4.1917999999999997</v>
      </c>
      <c r="N150" s="66">
        <f>4.1869 * CHOOSE(CONTROL!$C$23, $C$12, 100%, $E$12)</f>
        <v>4.1868999999999996</v>
      </c>
      <c r="O150" s="66">
        <f>4.1918 * CHOOSE(CONTROL!$C$23, $C$12, 100%, $E$12)</f>
        <v>4.1917999999999997</v>
      </c>
      <c r="P150" s="4"/>
      <c r="Q150" s="4"/>
      <c r="R150" s="4"/>
    </row>
    <row r="151" spans="1:18" ht="15">
      <c r="A151" s="13">
        <v>45748</v>
      </c>
      <c r="B151" s="65">
        <f>3.5386 * CHOOSE(CONTROL!$C$23, $C$12, 100%, $E$12)</f>
        <v>3.5386000000000002</v>
      </c>
      <c r="C151" s="65">
        <f>3.5386 * CHOOSE(CONTROL!$C$23, $C$12, 100%, $E$12)</f>
        <v>3.5386000000000002</v>
      </c>
      <c r="D151" s="65">
        <f>3.5426 * CHOOSE(CONTROL!$C$23, $C$12, 100%, $E$12)</f>
        <v>3.5426000000000002</v>
      </c>
      <c r="E151" s="66">
        <f>4.239 * CHOOSE(CONTROL!$C$23, $C$12, 100%, $E$12)</f>
        <v>4.2389999999999999</v>
      </c>
      <c r="F151" s="66">
        <f>4.239 * CHOOSE(CONTROL!$C$23, $C$12, 100%, $E$12)</f>
        <v>4.2389999999999999</v>
      </c>
      <c r="G151" s="66">
        <f>4.244 * CHOOSE(CONTROL!$C$23, $C$12, 100%, $E$12)</f>
        <v>4.2439999999999998</v>
      </c>
      <c r="H151" s="66">
        <f>7.8139* CHOOSE(CONTROL!$C$23, $C$12, 100%, $E$12)</f>
        <v>7.8139000000000003</v>
      </c>
      <c r="I151" s="66">
        <f>7.8189 * CHOOSE(CONTROL!$C$23, $C$12, 100%, $E$12)</f>
        <v>7.8189000000000002</v>
      </c>
      <c r="J151" s="66">
        <f>7.8139 * CHOOSE(CONTROL!$C$23, $C$12, 100%, $E$12)</f>
        <v>7.8139000000000003</v>
      </c>
      <c r="K151" s="66">
        <f>7.8189 * CHOOSE(CONTROL!$C$23, $C$12, 100%, $E$12)</f>
        <v>7.8189000000000002</v>
      </c>
      <c r="L151" s="66">
        <f>4.239 * CHOOSE(CONTROL!$C$23, $C$12, 100%, $E$12)</f>
        <v>4.2389999999999999</v>
      </c>
      <c r="M151" s="66">
        <f>4.244 * CHOOSE(CONTROL!$C$23, $C$12, 100%, $E$12)</f>
        <v>4.2439999999999998</v>
      </c>
      <c r="N151" s="66">
        <f>4.239 * CHOOSE(CONTROL!$C$23, $C$12, 100%, $E$12)</f>
        <v>4.2389999999999999</v>
      </c>
      <c r="O151" s="66">
        <f>4.244 * CHOOSE(CONTROL!$C$23, $C$12, 100%, $E$12)</f>
        <v>4.2439999999999998</v>
      </c>
      <c r="P151" s="4"/>
      <c r="Q151" s="4"/>
      <c r="R151" s="4"/>
    </row>
    <row r="152" spans="1:18" ht="15">
      <c r="A152" s="13">
        <v>45778</v>
      </c>
      <c r="B152" s="65">
        <f>3.5386 * CHOOSE(CONTROL!$C$23, $C$12, 100%, $E$12)</f>
        <v>3.5386000000000002</v>
      </c>
      <c r="C152" s="65">
        <f>3.5386 * CHOOSE(CONTROL!$C$23, $C$12, 100%, $E$12)</f>
        <v>3.5386000000000002</v>
      </c>
      <c r="D152" s="65">
        <f>3.5443 * CHOOSE(CONTROL!$C$23, $C$12, 100%, $E$12)</f>
        <v>3.5442999999999998</v>
      </c>
      <c r="E152" s="66">
        <f>4.2602 * CHOOSE(CONTROL!$C$23, $C$12, 100%, $E$12)</f>
        <v>4.2602000000000002</v>
      </c>
      <c r="F152" s="66">
        <f>4.2602 * CHOOSE(CONTROL!$C$23, $C$12, 100%, $E$12)</f>
        <v>4.2602000000000002</v>
      </c>
      <c r="G152" s="66">
        <f>4.2671 * CHOOSE(CONTROL!$C$23, $C$12, 100%, $E$12)</f>
        <v>4.2671000000000001</v>
      </c>
      <c r="H152" s="66">
        <f>7.8302* CHOOSE(CONTROL!$C$23, $C$12, 100%, $E$12)</f>
        <v>7.8301999999999996</v>
      </c>
      <c r="I152" s="66">
        <f>7.8371 * CHOOSE(CONTROL!$C$23, $C$12, 100%, $E$12)</f>
        <v>7.8371000000000004</v>
      </c>
      <c r="J152" s="66">
        <f>7.8302 * CHOOSE(CONTROL!$C$23, $C$12, 100%, $E$12)</f>
        <v>7.8301999999999996</v>
      </c>
      <c r="K152" s="66">
        <f>7.8371 * CHOOSE(CONTROL!$C$23, $C$12, 100%, $E$12)</f>
        <v>7.8371000000000004</v>
      </c>
      <c r="L152" s="66">
        <f>4.2602 * CHOOSE(CONTROL!$C$23, $C$12, 100%, $E$12)</f>
        <v>4.2602000000000002</v>
      </c>
      <c r="M152" s="66">
        <f>4.2671 * CHOOSE(CONTROL!$C$23, $C$12, 100%, $E$12)</f>
        <v>4.2671000000000001</v>
      </c>
      <c r="N152" s="66">
        <f>4.2602 * CHOOSE(CONTROL!$C$23, $C$12, 100%, $E$12)</f>
        <v>4.2602000000000002</v>
      </c>
      <c r="O152" s="66">
        <f>4.2671 * CHOOSE(CONTROL!$C$23, $C$12, 100%, $E$12)</f>
        <v>4.2671000000000001</v>
      </c>
      <c r="P152" s="4"/>
      <c r="Q152" s="4"/>
      <c r="R152" s="4"/>
    </row>
    <row r="153" spans="1:18" ht="15">
      <c r="A153" s="13">
        <v>45809</v>
      </c>
      <c r="B153" s="65">
        <f>3.5447 * CHOOSE(CONTROL!$C$23, $C$12, 100%, $E$12)</f>
        <v>3.5447000000000002</v>
      </c>
      <c r="C153" s="65">
        <f>3.5447 * CHOOSE(CONTROL!$C$23, $C$12, 100%, $E$12)</f>
        <v>3.5447000000000002</v>
      </c>
      <c r="D153" s="65">
        <f>3.5504 * CHOOSE(CONTROL!$C$23, $C$12, 100%, $E$12)</f>
        <v>3.5503999999999998</v>
      </c>
      <c r="E153" s="66">
        <f>4.2433 * CHOOSE(CONTROL!$C$23, $C$12, 100%, $E$12)</f>
        <v>4.2432999999999996</v>
      </c>
      <c r="F153" s="66">
        <f>4.2433 * CHOOSE(CONTROL!$C$23, $C$12, 100%, $E$12)</f>
        <v>4.2432999999999996</v>
      </c>
      <c r="G153" s="66">
        <f>4.2502 * CHOOSE(CONTROL!$C$23, $C$12, 100%, $E$12)</f>
        <v>4.2502000000000004</v>
      </c>
      <c r="H153" s="66">
        <f>7.8465* CHOOSE(CONTROL!$C$23, $C$12, 100%, $E$12)</f>
        <v>7.8464999999999998</v>
      </c>
      <c r="I153" s="66">
        <f>7.8534 * CHOOSE(CONTROL!$C$23, $C$12, 100%, $E$12)</f>
        <v>7.8533999999999997</v>
      </c>
      <c r="J153" s="66">
        <f>7.8465 * CHOOSE(CONTROL!$C$23, $C$12, 100%, $E$12)</f>
        <v>7.8464999999999998</v>
      </c>
      <c r="K153" s="66">
        <f>7.8534 * CHOOSE(CONTROL!$C$23, $C$12, 100%, $E$12)</f>
        <v>7.8533999999999997</v>
      </c>
      <c r="L153" s="66">
        <f>4.2433 * CHOOSE(CONTROL!$C$23, $C$12, 100%, $E$12)</f>
        <v>4.2432999999999996</v>
      </c>
      <c r="M153" s="66">
        <f>4.2502 * CHOOSE(CONTROL!$C$23, $C$12, 100%, $E$12)</f>
        <v>4.2502000000000004</v>
      </c>
      <c r="N153" s="66">
        <f>4.2433 * CHOOSE(CONTROL!$C$23, $C$12, 100%, $E$12)</f>
        <v>4.2432999999999996</v>
      </c>
      <c r="O153" s="66">
        <f>4.2502 * CHOOSE(CONTROL!$C$23, $C$12, 100%, $E$12)</f>
        <v>4.2502000000000004</v>
      </c>
      <c r="P153" s="4"/>
      <c r="Q153" s="4"/>
      <c r="R153" s="4"/>
    </row>
    <row r="154" spans="1:18" ht="15">
      <c r="A154" s="13">
        <v>45839</v>
      </c>
      <c r="B154" s="65">
        <f>3.5989 * CHOOSE(CONTROL!$C$23, $C$12, 100%, $E$12)</f>
        <v>3.5989</v>
      </c>
      <c r="C154" s="65">
        <f>3.5989 * CHOOSE(CONTROL!$C$23, $C$12, 100%, $E$12)</f>
        <v>3.5989</v>
      </c>
      <c r="D154" s="65">
        <f>3.6045 * CHOOSE(CONTROL!$C$23, $C$12, 100%, $E$12)</f>
        <v>3.6044999999999998</v>
      </c>
      <c r="E154" s="66">
        <f>4.3194 * CHOOSE(CONTROL!$C$23, $C$12, 100%, $E$12)</f>
        <v>4.3193999999999999</v>
      </c>
      <c r="F154" s="66">
        <f>4.3194 * CHOOSE(CONTROL!$C$23, $C$12, 100%, $E$12)</f>
        <v>4.3193999999999999</v>
      </c>
      <c r="G154" s="66">
        <f>4.3263 * CHOOSE(CONTROL!$C$23, $C$12, 100%, $E$12)</f>
        <v>4.3262999999999998</v>
      </c>
      <c r="H154" s="66">
        <f>7.8629* CHOOSE(CONTROL!$C$23, $C$12, 100%, $E$12)</f>
        <v>7.8628999999999998</v>
      </c>
      <c r="I154" s="66">
        <f>7.8698 * CHOOSE(CONTROL!$C$23, $C$12, 100%, $E$12)</f>
        <v>7.8697999999999997</v>
      </c>
      <c r="J154" s="66">
        <f>7.8629 * CHOOSE(CONTROL!$C$23, $C$12, 100%, $E$12)</f>
        <v>7.8628999999999998</v>
      </c>
      <c r="K154" s="66">
        <f>7.8698 * CHOOSE(CONTROL!$C$23, $C$12, 100%, $E$12)</f>
        <v>7.8697999999999997</v>
      </c>
      <c r="L154" s="66">
        <f>4.3194 * CHOOSE(CONTROL!$C$23, $C$12, 100%, $E$12)</f>
        <v>4.3193999999999999</v>
      </c>
      <c r="M154" s="66">
        <f>4.3263 * CHOOSE(CONTROL!$C$23, $C$12, 100%, $E$12)</f>
        <v>4.3262999999999998</v>
      </c>
      <c r="N154" s="66">
        <f>4.3194 * CHOOSE(CONTROL!$C$23, $C$12, 100%, $E$12)</f>
        <v>4.3193999999999999</v>
      </c>
      <c r="O154" s="66">
        <f>4.3263 * CHOOSE(CONTROL!$C$23, $C$12, 100%, $E$12)</f>
        <v>4.3262999999999998</v>
      </c>
      <c r="P154" s="4"/>
      <c r="Q154" s="4"/>
      <c r="R154" s="4"/>
    </row>
    <row r="155" spans="1:18" ht="15">
      <c r="A155" s="13">
        <v>45870</v>
      </c>
      <c r="B155" s="65">
        <f>3.6055 * CHOOSE(CONTROL!$C$23, $C$12, 100%, $E$12)</f>
        <v>3.6055000000000001</v>
      </c>
      <c r="C155" s="65">
        <f>3.6055 * CHOOSE(CONTROL!$C$23, $C$12, 100%, $E$12)</f>
        <v>3.6055000000000001</v>
      </c>
      <c r="D155" s="65">
        <f>3.6112 * CHOOSE(CONTROL!$C$23, $C$12, 100%, $E$12)</f>
        <v>3.6112000000000002</v>
      </c>
      <c r="E155" s="66">
        <f>4.2607 * CHOOSE(CONTROL!$C$23, $C$12, 100%, $E$12)</f>
        <v>4.2606999999999999</v>
      </c>
      <c r="F155" s="66">
        <f>4.2607 * CHOOSE(CONTROL!$C$23, $C$12, 100%, $E$12)</f>
        <v>4.2606999999999999</v>
      </c>
      <c r="G155" s="66">
        <f>4.2676 * CHOOSE(CONTROL!$C$23, $C$12, 100%, $E$12)</f>
        <v>4.2675999999999998</v>
      </c>
      <c r="H155" s="66">
        <f>7.8793* CHOOSE(CONTROL!$C$23, $C$12, 100%, $E$12)</f>
        <v>7.8792999999999997</v>
      </c>
      <c r="I155" s="66">
        <f>7.8862 * CHOOSE(CONTROL!$C$23, $C$12, 100%, $E$12)</f>
        <v>7.8861999999999997</v>
      </c>
      <c r="J155" s="66">
        <f>7.8793 * CHOOSE(CONTROL!$C$23, $C$12, 100%, $E$12)</f>
        <v>7.8792999999999997</v>
      </c>
      <c r="K155" s="66">
        <f>7.8862 * CHOOSE(CONTROL!$C$23, $C$12, 100%, $E$12)</f>
        <v>7.8861999999999997</v>
      </c>
      <c r="L155" s="66">
        <f>4.2607 * CHOOSE(CONTROL!$C$23, $C$12, 100%, $E$12)</f>
        <v>4.2606999999999999</v>
      </c>
      <c r="M155" s="66">
        <f>4.2676 * CHOOSE(CONTROL!$C$23, $C$12, 100%, $E$12)</f>
        <v>4.2675999999999998</v>
      </c>
      <c r="N155" s="66">
        <f>4.2607 * CHOOSE(CONTROL!$C$23, $C$12, 100%, $E$12)</f>
        <v>4.2606999999999999</v>
      </c>
      <c r="O155" s="66">
        <f>4.2676 * CHOOSE(CONTROL!$C$23, $C$12, 100%, $E$12)</f>
        <v>4.2675999999999998</v>
      </c>
      <c r="P155" s="4"/>
      <c r="Q155" s="4"/>
      <c r="R155" s="4"/>
    </row>
    <row r="156" spans="1:18" ht="15">
      <c r="A156" s="13">
        <v>45901</v>
      </c>
      <c r="B156" s="65">
        <f>3.6025 * CHOOSE(CONTROL!$C$23, $C$12, 100%, $E$12)</f>
        <v>3.6025</v>
      </c>
      <c r="C156" s="65">
        <f>3.6025 * CHOOSE(CONTROL!$C$23, $C$12, 100%, $E$12)</f>
        <v>3.6025</v>
      </c>
      <c r="D156" s="65">
        <f>3.6081 * CHOOSE(CONTROL!$C$23, $C$12, 100%, $E$12)</f>
        <v>3.6080999999999999</v>
      </c>
      <c r="E156" s="66">
        <f>4.2515 * CHOOSE(CONTROL!$C$23, $C$12, 100%, $E$12)</f>
        <v>4.2515000000000001</v>
      </c>
      <c r="F156" s="66">
        <f>4.2515 * CHOOSE(CONTROL!$C$23, $C$12, 100%, $E$12)</f>
        <v>4.2515000000000001</v>
      </c>
      <c r="G156" s="66">
        <f>4.2584 * CHOOSE(CONTROL!$C$23, $C$12, 100%, $E$12)</f>
        <v>4.2584</v>
      </c>
      <c r="H156" s="66">
        <f>7.8957* CHOOSE(CONTROL!$C$23, $C$12, 100%, $E$12)</f>
        <v>7.8956999999999997</v>
      </c>
      <c r="I156" s="66">
        <f>7.9026 * CHOOSE(CONTROL!$C$23, $C$12, 100%, $E$12)</f>
        <v>7.9025999999999996</v>
      </c>
      <c r="J156" s="66">
        <f>7.8957 * CHOOSE(CONTROL!$C$23, $C$12, 100%, $E$12)</f>
        <v>7.8956999999999997</v>
      </c>
      <c r="K156" s="66">
        <f>7.9026 * CHOOSE(CONTROL!$C$23, $C$12, 100%, $E$12)</f>
        <v>7.9025999999999996</v>
      </c>
      <c r="L156" s="66">
        <f>4.2515 * CHOOSE(CONTROL!$C$23, $C$12, 100%, $E$12)</f>
        <v>4.2515000000000001</v>
      </c>
      <c r="M156" s="66">
        <f>4.2584 * CHOOSE(CONTROL!$C$23, $C$12, 100%, $E$12)</f>
        <v>4.2584</v>
      </c>
      <c r="N156" s="66">
        <f>4.2515 * CHOOSE(CONTROL!$C$23, $C$12, 100%, $E$12)</f>
        <v>4.2515000000000001</v>
      </c>
      <c r="O156" s="66">
        <f>4.2584 * CHOOSE(CONTROL!$C$23, $C$12, 100%, $E$12)</f>
        <v>4.2584</v>
      </c>
      <c r="P156" s="4"/>
      <c r="Q156" s="4"/>
      <c r="R156" s="4"/>
    </row>
    <row r="157" spans="1:18" ht="15">
      <c r="A157" s="13">
        <v>45931</v>
      </c>
      <c r="B157" s="65">
        <f>3.596 * CHOOSE(CONTROL!$C$23, $C$12, 100%, $E$12)</f>
        <v>3.5960000000000001</v>
      </c>
      <c r="C157" s="65">
        <f>3.596 * CHOOSE(CONTROL!$C$23, $C$12, 100%, $E$12)</f>
        <v>3.5960000000000001</v>
      </c>
      <c r="D157" s="65">
        <f>3.5999 * CHOOSE(CONTROL!$C$23, $C$12, 100%, $E$12)</f>
        <v>3.5998999999999999</v>
      </c>
      <c r="E157" s="66">
        <f>4.2663 * CHOOSE(CONTROL!$C$23, $C$12, 100%, $E$12)</f>
        <v>4.2663000000000002</v>
      </c>
      <c r="F157" s="66">
        <f>4.2663 * CHOOSE(CONTROL!$C$23, $C$12, 100%, $E$12)</f>
        <v>4.2663000000000002</v>
      </c>
      <c r="G157" s="66">
        <f>4.2712 * CHOOSE(CONTROL!$C$23, $C$12, 100%, $E$12)</f>
        <v>4.2712000000000003</v>
      </c>
      <c r="H157" s="66">
        <f>7.9121* CHOOSE(CONTROL!$C$23, $C$12, 100%, $E$12)</f>
        <v>7.9120999999999997</v>
      </c>
      <c r="I157" s="66">
        <f>7.917 * CHOOSE(CONTROL!$C$23, $C$12, 100%, $E$12)</f>
        <v>7.9169999999999998</v>
      </c>
      <c r="J157" s="66">
        <f>7.9121 * CHOOSE(CONTROL!$C$23, $C$12, 100%, $E$12)</f>
        <v>7.9120999999999997</v>
      </c>
      <c r="K157" s="66">
        <f>7.917 * CHOOSE(CONTROL!$C$23, $C$12, 100%, $E$12)</f>
        <v>7.9169999999999998</v>
      </c>
      <c r="L157" s="66">
        <f>4.2663 * CHOOSE(CONTROL!$C$23, $C$12, 100%, $E$12)</f>
        <v>4.2663000000000002</v>
      </c>
      <c r="M157" s="66">
        <f>4.2712 * CHOOSE(CONTROL!$C$23, $C$12, 100%, $E$12)</f>
        <v>4.2712000000000003</v>
      </c>
      <c r="N157" s="66">
        <f>4.2663 * CHOOSE(CONTROL!$C$23, $C$12, 100%, $E$12)</f>
        <v>4.2663000000000002</v>
      </c>
      <c r="O157" s="66">
        <f>4.2712 * CHOOSE(CONTROL!$C$23, $C$12, 100%, $E$12)</f>
        <v>4.2712000000000003</v>
      </c>
      <c r="P157" s="4"/>
      <c r="Q157" s="4"/>
      <c r="R157" s="4"/>
    </row>
    <row r="158" spans="1:18" ht="15">
      <c r="A158" s="13">
        <v>45962</v>
      </c>
      <c r="B158" s="65">
        <f>3.599 * CHOOSE(CONTROL!$C$23, $C$12, 100%, $E$12)</f>
        <v>3.5990000000000002</v>
      </c>
      <c r="C158" s="65">
        <f>3.599 * CHOOSE(CONTROL!$C$23, $C$12, 100%, $E$12)</f>
        <v>3.5990000000000002</v>
      </c>
      <c r="D158" s="65">
        <f>3.603 * CHOOSE(CONTROL!$C$23, $C$12, 100%, $E$12)</f>
        <v>3.6030000000000002</v>
      </c>
      <c r="E158" s="66">
        <f>4.2825 * CHOOSE(CONTROL!$C$23, $C$12, 100%, $E$12)</f>
        <v>4.2824999999999998</v>
      </c>
      <c r="F158" s="66">
        <f>4.2825 * CHOOSE(CONTROL!$C$23, $C$12, 100%, $E$12)</f>
        <v>4.2824999999999998</v>
      </c>
      <c r="G158" s="66">
        <f>4.2874 * CHOOSE(CONTROL!$C$23, $C$12, 100%, $E$12)</f>
        <v>4.2873999999999999</v>
      </c>
      <c r="H158" s="66">
        <f>7.9286* CHOOSE(CONTROL!$C$23, $C$12, 100%, $E$12)</f>
        <v>7.9286000000000003</v>
      </c>
      <c r="I158" s="66">
        <f>7.9335 * CHOOSE(CONTROL!$C$23, $C$12, 100%, $E$12)</f>
        <v>7.9335000000000004</v>
      </c>
      <c r="J158" s="66">
        <f>7.9286 * CHOOSE(CONTROL!$C$23, $C$12, 100%, $E$12)</f>
        <v>7.9286000000000003</v>
      </c>
      <c r="K158" s="66">
        <f>7.9335 * CHOOSE(CONTROL!$C$23, $C$12, 100%, $E$12)</f>
        <v>7.9335000000000004</v>
      </c>
      <c r="L158" s="66">
        <f>4.2825 * CHOOSE(CONTROL!$C$23, $C$12, 100%, $E$12)</f>
        <v>4.2824999999999998</v>
      </c>
      <c r="M158" s="66">
        <f>4.2874 * CHOOSE(CONTROL!$C$23, $C$12, 100%, $E$12)</f>
        <v>4.2873999999999999</v>
      </c>
      <c r="N158" s="66">
        <f>4.2825 * CHOOSE(CONTROL!$C$23, $C$12, 100%, $E$12)</f>
        <v>4.2824999999999998</v>
      </c>
      <c r="O158" s="66">
        <f>4.2874 * CHOOSE(CONTROL!$C$23, $C$12, 100%, $E$12)</f>
        <v>4.2873999999999999</v>
      </c>
    </row>
    <row r="159" spans="1:18" ht="15">
      <c r="A159" s="13">
        <v>45992</v>
      </c>
      <c r="B159" s="65">
        <f>3.599 * CHOOSE(CONTROL!$C$23, $C$12, 100%, $E$12)</f>
        <v>3.5990000000000002</v>
      </c>
      <c r="C159" s="65">
        <f>3.599 * CHOOSE(CONTROL!$C$23, $C$12, 100%, $E$12)</f>
        <v>3.5990000000000002</v>
      </c>
      <c r="D159" s="65">
        <f>3.603 * CHOOSE(CONTROL!$C$23, $C$12, 100%, $E$12)</f>
        <v>3.6030000000000002</v>
      </c>
      <c r="E159" s="66">
        <f>4.2473 * CHOOSE(CONTROL!$C$23, $C$12, 100%, $E$12)</f>
        <v>4.2473000000000001</v>
      </c>
      <c r="F159" s="66">
        <f>4.2473 * CHOOSE(CONTROL!$C$23, $C$12, 100%, $E$12)</f>
        <v>4.2473000000000001</v>
      </c>
      <c r="G159" s="66">
        <f>4.2522 * CHOOSE(CONTROL!$C$23, $C$12, 100%, $E$12)</f>
        <v>4.2522000000000002</v>
      </c>
      <c r="H159" s="66">
        <f>7.9451* CHOOSE(CONTROL!$C$23, $C$12, 100%, $E$12)</f>
        <v>7.9451000000000001</v>
      </c>
      <c r="I159" s="66">
        <f>7.9501 * CHOOSE(CONTROL!$C$23, $C$12, 100%, $E$12)</f>
        <v>7.9500999999999999</v>
      </c>
      <c r="J159" s="66">
        <f>7.9451 * CHOOSE(CONTROL!$C$23, $C$12, 100%, $E$12)</f>
        <v>7.9451000000000001</v>
      </c>
      <c r="K159" s="66">
        <f>7.9501 * CHOOSE(CONTROL!$C$23, $C$12, 100%, $E$12)</f>
        <v>7.9500999999999999</v>
      </c>
      <c r="L159" s="66">
        <f>4.2473 * CHOOSE(CONTROL!$C$23, $C$12, 100%, $E$12)</f>
        <v>4.2473000000000001</v>
      </c>
      <c r="M159" s="66">
        <f>4.2522 * CHOOSE(CONTROL!$C$23, $C$12, 100%, $E$12)</f>
        <v>4.2522000000000002</v>
      </c>
      <c r="N159" s="66">
        <f>4.2473 * CHOOSE(CONTROL!$C$23, $C$12, 100%, $E$12)</f>
        <v>4.2473000000000001</v>
      </c>
      <c r="O159" s="66">
        <f>4.2522 * CHOOSE(CONTROL!$C$23, $C$12, 100%, $E$12)</f>
        <v>4.2522000000000002</v>
      </c>
    </row>
    <row r="160" spans="1:18" ht="15">
      <c r="A160" s="13">
        <v>46023</v>
      </c>
      <c r="B160" s="65">
        <f>3.6288 * CHOOSE(CONTROL!$C$23, $C$12, 100%, $E$12)</f>
        <v>3.6288</v>
      </c>
      <c r="C160" s="65">
        <f>3.6288 * CHOOSE(CONTROL!$C$23, $C$12, 100%, $E$12)</f>
        <v>3.6288</v>
      </c>
      <c r="D160" s="65">
        <f>3.6328 * CHOOSE(CONTROL!$C$23, $C$12, 100%, $E$12)</f>
        <v>3.6328</v>
      </c>
      <c r="E160" s="66">
        <f>4.3063 * CHOOSE(CONTROL!$C$23, $C$12, 100%, $E$12)</f>
        <v>4.3063000000000002</v>
      </c>
      <c r="F160" s="66">
        <f>4.3063 * CHOOSE(CONTROL!$C$23, $C$12, 100%, $E$12)</f>
        <v>4.3063000000000002</v>
      </c>
      <c r="G160" s="66">
        <f>4.3112 * CHOOSE(CONTROL!$C$23, $C$12, 100%, $E$12)</f>
        <v>4.3112000000000004</v>
      </c>
      <c r="H160" s="66">
        <f>7.9617* CHOOSE(CONTROL!$C$23, $C$12, 100%, $E$12)</f>
        <v>7.9617000000000004</v>
      </c>
      <c r="I160" s="66">
        <f>7.9666 * CHOOSE(CONTROL!$C$23, $C$12, 100%, $E$12)</f>
        <v>7.9665999999999997</v>
      </c>
      <c r="J160" s="66">
        <f>7.9617 * CHOOSE(CONTROL!$C$23, $C$12, 100%, $E$12)</f>
        <v>7.9617000000000004</v>
      </c>
      <c r="K160" s="66">
        <f>7.9666 * CHOOSE(CONTROL!$C$23, $C$12, 100%, $E$12)</f>
        <v>7.9665999999999997</v>
      </c>
      <c r="L160" s="66">
        <f>4.3063 * CHOOSE(CONTROL!$C$23, $C$12, 100%, $E$12)</f>
        <v>4.3063000000000002</v>
      </c>
      <c r="M160" s="66">
        <f>4.3112 * CHOOSE(CONTROL!$C$23, $C$12, 100%, $E$12)</f>
        <v>4.3112000000000004</v>
      </c>
      <c r="N160" s="66">
        <f>4.3063 * CHOOSE(CONTROL!$C$23, $C$12, 100%, $E$12)</f>
        <v>4.3063000000000002</v>
      </c>
      <c r="O160" s="66">
        <f>4.3112 * CHOOSE(CONTROL!$C$23, $C$12, 100%, $E$12)</f>
        <v>4.3112000000000004</v>
      </c>
    </row>
    <row r="161" spans="1:15" ht="15">
      <c r="A161" s="13">
        <v>46054</v>
      </c>
      <c r="B161" s="65">
        <f>3.6257 * CHOOSE(CONTROL!$C$23, $C$12, 100%, $E$12)</f>
        <v>3.6257000000000001</v>
      </c>
      <c r="C161" s="65">
        <f>3.6257 * CHOOSE(CONTROL!$C$23, $C$12, 100%, $E$12)</f>
        <v>3.6257000000000001</v>
      </c>
      <c r="D161" s="65">
        <f>3.6297 * CHOOSE(CONTROL!$C$23, $C$12, 100%, $E$12)</f>
        <v>3.6297000000000001</v>
      </c>
      <c r="E161" s="66">
        <f>4.236 * CHOOSE(CONTROL!$C$23, $C$12, 100%, $E$12)</f>
        <v>4.2359999999999998</v>
      </c>
      <c r="F161" s="66">
        <f>4.236 * CHOOSE(CONTROL!$C$23, $C$12, 100%, $E$12)</f>
        <v>4.2359999999999998</v>
      </c>
      <c r="G161" s="66">
        <f>4.2409 * CHOOSE(CONTROL!$C$23, $C$12, 100%, $E$12)</f>
        <v>4.2408999999999999</v>
      </c>
      <c r="H161" s="66">
        <f>7.9783* CHOOSE(CONTROL!$C$23, $C$12, 100%, $E$12)</f>
        <v>7.9782999999999999</v>
      </c>
      <c r="I161" s="66">
        <f>7.9832 * CHOOSE(CONTROL!$C$23, $C$12, 100%, $E$12)</f>
        <v>7.9832000000000001</v>
      </c>
      <c r="J161" s="66">
        <f>7.9783 * CHOOSE(CONTROL!$C$23, $C$12, 100%, $E$12)</f>
        <v>7.9782999999999999</v>
      </c>
      <c r="K161" s="66">
        <f>7.9832 * CHOOSE(CONTROL!$C$23, $C$12, 100%, $E$12)</f>
        <v>7.9832000000000001</v>
      </c>
      <c r="L161" s="66">
        <f>4.236 * CHOOSE(CONTROL!$C$23, $C$12, 100%, $E$12)</f>
        <v>4.2359999999999998</v>
      </c>
      <c r="M161" s="66">
        <f>4.2409 * CHOOSE(CONTROL!$C$23, $C$12, 100%, $E$12)</f>
        <v>4.2408999999999999</v>
      </c>
      <c r="N161" s="66">
        <f>4.236 * CHOOSE(CONTROL!$C$23, $C$12, 100%, $E$12)</f>
        <v>4.2359999999999998</v>
      </c>
      <c r="O161" s="66">
        <f>4.2409 * CHOOSE(CONTROL!$C$23, $C$12, 100%, $E$12)</f>
        <v>4.2408999999999999</v>
      </c>
    </row>
    <row r="162" spans="1:15" ht="15">
      <c r="A162" s="13">
        <v>46082</v>
      </c>
      <c r="B162" s="65">
        <f>3.6227 * CHOOSE(CONTROL!$C$23, $C$12, 100%, $E$12)</f>
        <v>3.6227</v>
      </c>
      <c r="C162" s="65">
        <f>3.6227 * CHOOSE(CONTROL!$C$23, $C$12, 100%, $E$12)</f>
        <v>3.6227</v>
      </c>
      <c r="D162" s="65">
        <f>3.6267 * CHOOSE(CONTROL!$C$23, $C$12, 100%, $E$12)</f>
        <v>3.6267</v>
      </c>
      <c r="E162" s="66">
        <f>4.2876 * CHOOSE(CONTROL!$C$23, $C$12, 100%, $E$12)</f>
        <v>4.2876000000000003</v>
      </c>
      <c r="F162" s="66">
        <f>4.2876 * CHOOSE(CONTROL!$C$23, $C$12, 100%, $E$12)</f>
        <v>4.2876000000000003</v>
      </c>
      <c r="G162" s="66">
        <f>4.2926 * CHOOSE(CONTROL!$C$23, $C$12, 100%, $E$12)</f>
        <v>4.2926000000000002</v>
      </c>
      <c r="H162" s="66">
        <f>7.9949* CHOOSE(CONTROL!$C$23, $C$12, 100%, $E$12)</f>
        <v>7.9949000000000003</v>
      </c>
      <c r="I162" s="66">
        <f>7.9998 * CHOOSE(CONTROL!$C$23, $C$12, 100%, $E$12)</f>
        <v>7.9997999999999996</v>
      </c>
      <c r="J162" s="66">
        <f>7.9949 * CHOOSE(CONTROL!$C$23, $C$12, 100%, $E$12)</f>
        <v>7.9949000000000003</v>
      </c>
      <c r="K162" s="66">
        <f>7.9998 * CHOOSE(CONTROL!$C$23, $C$12, 100%, $E$12)</f>
        <v>7.9997999999999996</v>
      </c>
      <c r="L162" s="66">
        <f>4.2876 * CHOOSE(CONTROL!$C$23, $C$12, 100%, $E$12)</f>
        <v>4.2876000000000003</v>
      </c>
      <c r="M162" s="66">
        <f>4.2926 * CHOOSE(CONTROL!$C$23, $C$12, 100%, $E$12)</f>
        <v>4.2926000000000002</v>
      </c>
      <c r="N162" s="66">
        <f>4.2876 * CHOOSE(CONTROL!$C$23, $C$12, 100%, $E$12)</f>
        <v>4.2876000000000003</v>
      </c>
      <c r="O162" s="66">
        <f>4.2926 * CHOOSE(CONTROL!$C$23, $C$12, 100%, $E$12)</f>
        <v>4.2926000000000002</v>
      </c>
    </row>
    <row r="163" spans="1:15" ht="15">
      <c r="A163" s="13">
        <v>46113</v>
      </c>
      <c r="B163" s="65">
        <f>3.62 * CHOOSE(CONTROL!$C$23, $C$12, 100%, $E$12)</f>
        <v>3.62</v>
      </c>
      <c r="C163" s="65">
        <f>3.62 * CHOOSE(CONTROL!$C$23, $C$12, 100%, $E$12)</f>
        <v>3.62</v>
      </c>
      <c r="D163" s="65">
        <f>3.624 * CHOOSE(CONTROL!$C$23, $C$12, 100%, $E$12)</f>
        <v>3.6240000000000001</v>
      </c>
      <c r="E163" s="66">
        <f>4.3412 * CHOOSE(CONTROL!$C$23, $C$12, 100%, $E$12)</f>
        <v>4.3411999999999997</v>
      </c>
      <c r="F163" s="66">
        <f>4.3412 * CHOOSE(CONTROL!$C$23, $C$12, 100%, $E$12)</f>
        <v>4.3411999999999997</v>
      </c>
      <c r="G163" s="66">
        <f>4.3461 * CHOOSE(CONTROL!$C$23, $C$12, 100%, $E$12)</f>
        <v>4.3460999999999999</v>
      </c>
      <c r="H163" s="66">
        <f>8.0115* CHOOSE(CONTROL!$C$23, $C$12, 100%, $E$12)</f>
        <v>8.0114999999999998</v>
      </c>
      <c r="I163" s="66">
        <f>8.0165 * CHOOSE(CONTROL!$C$23, $C$12, 100%, $E$12)</f>
        <v>8.0165000000000006</v>
      </c>
      <c r="J163" s="66">
        <f>8.0115 * CHOOSE(CONTROL!$C$23, $C$12, 100%, $E$12)</f>
        <v>8.0114999999999998</v>
      </c>
      <c r="K163" s="66">
        <f>8.0165 * CHOOSE(CONTROL!$C$23, $C$12, 100%, $E$12)</f>
        <v>8.0165000000000006</v>
      </c>
      <c r="L163" s="66">
        <f>4.3412 * CHOOSE(CONTROL!$C$23, $C$12, 100%, $E$12)</f>
        <v>4.3411999999999997</v>
      </c>
      <c r="M163" s="66">
        <f>4.3461 * CHOOSE(CONTROL!$C$23, $C$12, 100%, $E$12)</f>
        <v>4.3460999999999999</v>
      </c>
      <c r="N163" s="66">
        <f>4.3412 * CHOOSE(CONTROL!$C$23, $C$12, 100%, $E$12)</f>
        <v>4.3411999999999997</v>
      </c>
      <c r="O163" s="66">
        <f>4.3461 * CHOOSE(CONTROL!$C$23, $C$12, 100%, $E$12)</f>
        <v>4.3460999999999999</v>
      </c>
    </row>
    <row r="164" spans="1:15" ht="15">
      <c r="A164" s="13">
        <v>46143</v>
      </c>
      <c r="B164" s="65">
        <f>3.62 * CHOOSE(CONTROL!$C$23, $C$12, 100%, $E$12)</f>
        <v>3.62</v>
      </c>
      <c r="C164" s="65">
        <f>3.62 * CHOOSE(CONTROL!$C$23, $C$12, 100%, $E$12)</f>
        <v>3.62</v>
      </c>
      <c r="D164" s="65">
        <f>3.6256 * CHOOSE(CONTROL!$C$23, $C$12, 100%, $E$12)</f>
        <v>3.6255999999999999</v>
      </c>
      <c r="E164" s="66">
        <f>4.3628 * CHOOSE(CONTROL!$C$23, $C$12, 100%, $E$12)</f>
        <v>4.3628</v>
      </c>
      <c r="F164" s="66">
        <f>4.3628 * CHOOSE(CONTROL!$C$23, $C$12, 100%, $E$12)</f>
        <v>4.3628</v>
      </c>
      <c r="G164" s="66">
        <f>4.3697 * CHOOSE(CONTROL!$C$23, $C$12, 100%, $E$12)</f>
        <v>4.3696999999999999</v>
      </c>
      <c r="H164" s="66">
        <f>8.0282* CHOOSE(CONTROL!$C$23, $C$12, 100%, $E$12)</f>
        <v>8.0282</v>
      </c>
      <c r="I164" s="66">
        <f>8.0351 * CHOOSE(CONTROL!$C$23, $C$12, 100%, $E$12)</f>
        <v>8.0350999999999999</v>
      </c>
      <c r="J164" s="66">
        <f>8.0282 * CHOOSE(CONTROL!$C$23, $C$12, 100%, $E$12)</f>
        <v>8.0282</v>
      </c>
      <c r="K164" s="66">
        <f>8.0351 * CHOOSE(CONTROL!$C$23, $C$12, 100%, $E$12)</f>
        <v>8.0350999999999999</v>
      </c>
      <c r="L164" s="66">
        <f>4.3628 * CHOOSE(CONTROL!$C$23, $C$12, 100%, $E$12)</f>
        <v>4.3628</v>
      </c>
      <c r="M164" s="66">
        <f>4.3697 * CHOOSE(CONTROL!$C$23, $C$12, 100%, $E$12)</f>
        <v>4.3696999999999999</v>
      </c>
      <c r="N164" s="66">
        <f>4.3628 * CHOOSE(CONTROL!$C$23, $C$12, 100%, $E$12)</f>
        <v>4.3628</v>
      </c>
      <c r="O164" s="66">
        <f>4.3697 * CHOOSE(CONTROL!$C$23, $C$12, 100%, $E$12)</f>
        <v>4.3696999999999999</v>
      </c>
    </row>
    <row r="165" spans="1:15" ht="15">
      <c r="A165" s="13">
        <v>46174</v>
      </c>
      <c r="B165" s="65">
        <f>3.626 * CHOOSE(CONTROL!$C$23, $C$12, 100%, $E$12)</f>
        <v>3.6259999999999999</v>
      </c>
      <c r="C165" s="65">
        <f>3.626 * CHOOSE(CONTROL!$C$23, $C$12, 100%, $E$12)</f>
        <v>3.6259999999999999</v>
      </c>
      <c r="D165" s="65">
        <f>3.6317 * CHOOSE(CONTROL!$C$23, $C$12, 100%, $E$12)</f>
        <v>3.6316999999999999</v>
      </c>
      <c r="E165" s="66">
        <f>4.3454 * CHOOSE(CONTROL!$C$23, $C$12, 100%, $E$12)</f>
        <v>4.3453999999999997</v>
      </c>
      <c r="F165" s="66">
        <f>4.3454 * CHOOSE(CONTROL!$C$23, $C$12, 100%, $E$12)</f>
        <v>4.3453999999999997</v>
      </c>
      <c r="G165" s="66">
        <f>4.3523 * CHOOSE(CONTROL!$C$23, $C$12, 100%, $E$12)</f>
        <v>4.3522999999999996</v>
      </c>
      <c r="H165" s="66">
        <f>8.045* CHOOSE(CONTROL!$C$23, $C$12, 100%, $E$12)</f>
        <v>8.0449999999999999</v>
      </c>
      <c r="I165" s="66">
        <f>8.0519 * CHOOSE(CONTROL!$C$23, $C$12, 100%, $E$12)</f>
        <v>8.0518999999999998</v>
      </c>
      <c r="J165" s="66">
        <f>8.045 * CHOOSE(CONTROL!$C$23, $C$12, 100%, $E$12)</f>
        <v>8.0449999999999999</v>
      </c>
      <c r="K165" s="66">
        <f>8.0519 * CHOOSE(CONTROL!$C$23, $C$12, 100%, $E$12)</f>
        <v>8.0518999999999998</v>
      </c>
      <c r="L165" s="66">
        <f>4.3454 * CHOOSE(CONTROL!$C$23, $C$12, 100%, $E$12)</f>
        <v>4.3453999999999997</v>
      </c>
      <c r="M165" s="66">
        <f>4.3523 * CHOOSE(CONTROL!$C$23, $C$12, 100%, $E$12)</f>
        <v>4.3522999999999996</v>
      </c>
      <c r="N165" s="66">
        <f>4.3454 * CHOOSE(CONTROL!$C$23, $C$12, 100%, $E$12)</f>
        <v>4.3453999999999997</v>
      </c>
      <c r="O165" s="66">
        <f>4.3523 * CHOOSE(CONTROL!$C$23, $C$12, 100%, $E$12)</f>
        <v>4.3522999999999996</v>
      </c>
    </row>
    <row r="166" spans="1:15" ht="15">
      <c r="A166" s="13">
        <v>46204</v>
      </c>
      <c r="B166" s="65">
        <f>3.6807 * CHOOSE(CONTROL!$C$23, $C$12, 100%, $E$12)</f>
        <v>3.6806999999999999</v>
      </c>
      <c r="C166" s="65">
        <f>3.6807 * CHOOSE(CONTROL!$C$23, $C$12, 100%, $E$12)</f>
        <v>3.6806999999999999</v>
      </c>
      <c r="D166" s="65">
        <f>3.6863 * CHOOSE(CONTROL!$C$23, $C$12, 100%, $E$12)</f>
        <v>3.6863000000000001</v>
      </c>
      <c r="E166" s="66">
        <f>4.4213 * CHOOSE(CONTROL!$C$23, $C$12, 100%, $E$12)</f>
        <v>4.4212999999999996</v>
      </c>
      <c r="F166" s="66">
        <f>4.4213 * CHOOSE(CONTROL!$C$23, $C$12, 100%, $E$12)</f>
        <v>4.4212999999999996</v>
      </c>
      <c r="G166" s="66">
        <f>4.4282 * CHOOSE(CONTROL!$C$23, $C$12, 100%, $E$12)</f>
        <v>4.4282000000000004</v>
      </c>
      <c r="H166" s="66">
        <f>8.0617* CHOOSE(CONTROL!$C$23, $C$12, 100%, $E$12)</f>
        <v>8.0617000000000001</v>
      </c>
      <c r="I166" s="66">
        <f>8.0686 * CHOOSE(CONTROL!$C$23, $C$12, 100%, $E$12)</f>
        <v>8.0686</v>
      </c>
      <c r="J166" s="66">
        <f>8.0617 * CHOOSE(CONTROL!$C$23, $C$12, 100%, $E$12)</f>
        <v>8.0617000000000001</v>
      </c>
      <c r="K166" s="66">
        <f>8.0686 * CHOOSE(CONTROL!$C$23, $C$12, 100%, $E$12)</f>
        <v>8.0686</v>
      </c>
      <c r="L166" s="66">
        <f>4.4213 * CHOOSE(CONTROL!$C$23, $C$12, 100%, $E$12)</f>
        <v>4.4212999999999996</v>
      </c>
      <c r="M166" s="66">
        <f>4.4282 * CHOOSE(CONTROL!$C$23, $C$12, 100%, $E$12)</f>
        <v>4.4282000000000004</v>
      </c>
      <c r="N166" s="66">
        <f>4.4213 * CHOOSE(CONTROL!$C$23, $C$12, 100%, $E$12)</f>
        <v>4.4212999999999996</v>
      </c>
      <c r="O166" s="66">
        <f>4.4282 * CHOOSE(CONTROL!$C$23, $C$12, 100%, $E$12)</f>
        <v>4.4282000000000004</v>
      </c>
    </row>
    <row r="167" spans="1:15" ht="15">
      <c r="A167" s="13">
        <v>46235</v>
      </c>
      <c r="B167" s="65">
        <f>3.6874 * CHOOSE(CONTROL!$C$23, $C$12, 100%, $E$12)</f>
        <v>3.6873999999999998</v>
      </c>
      <c r="C167" s="65">
        <f>3.6874 * CHOOSE(CONTROL!$C$23, $C$12, 100%, $E$12)</f>
        <v>3.6873999999999998</v>
      </c>
      <c r="D167" s="65">
        <f>3.693 * CHOOSE(CONTROL!$C$23, $C$12, 100%, $E$12)</f>
        <v>3.6930000000000001</v>
      </c>
      <c r="E167" s="66">
        <f>4.3609 * CHOOSE(CONTROL!$C$23, $C$12, 100%, $E$12)</f>
        <v>4.3609</v>
      </c>
      <c r="F167" s="66">
        <f>4.3609 * CHOOSE(CONTROL!$C$23, $C$12, 100%, $E$12)</f>
        <v>4.3609</v>
      </c>
      <c r="G167" s="66">
        <f>4.3678 * CHOOSE(CONTROL!$C$23, $C$12, 100%, $E$12)</f>
        <v>4.3677999999999999</v>
      </c>
      <c r="H167" s="66">
        <f>8.0785* CHOOSE(CONTROL!$C$23, $C$12, 100%, $E$12)</f>
        <v>8.0785</v>
      </c>
      <c r="I167" s="66">
        <f>8.0854 * CHOOSE(CONTROL!$C$23, $C$12, 100%, $E$12)</f>
        <v>8.0853999999999999</v>
      </c>
      <c r="J167" s="66">
        <f>8.0785 * CHOOSE(CONTROL!$C$23, $C$12, 100%, $E$12)</f>
        <v>8.0785</v>
      </c>
      <c r="K167" s="66">
        <f>8.0854 * CHOOSE(CONTROL!$C$23, $C$12, 100%, $E$12)</f>
        <v>8.0853999999999999</v>
      </c>
      <c r="L167" s="66">
        <f>4.3609 * CHOOSE(CONTROL!$C$23, $C$12, 100%, $E$12)</f>
        <v>4.3609</v>
      </c>
      <c r="M167" s="66">
        <f>4.3678 * CHOOSE(CONTROL!$C$23, $C$12, 100%, $E$12)</f>
        <v>4.3677999999999999</v>
      </c>
      <c r="N167" s="66">
        <f>4.3609 * CHOOSE(CONTROL!$C$23, $C$12, 100%, $E$12)</f>
        <v>4.3609</v>
      </c>
      <c r="O167" s="66">
        <f>4.3678 * CHOOSE(CONTROL!$C$23, $C$12, 100%, $E$12)</f>
        <v>4.3677999999999999</v>
      </c>
    </row>
    <row r="168" spans="1:15" ht="15">
      <c r="A168" s="13">
        <v>46266</v>
      </c>
      <c r="B168" s="65">
        <f>3.6843 * CHOOSE(CONTROL!$C$23, $C$12, 100%, $E$12)</f>
        <v>3.6842999999999999</v>
      </c>
      <c r="C168" s="65">
        <f>3.6843 * CHOOSE(CONTROL!$C$23, $C$12, 100%, $E$12)</f>
        <v>3.6842999999999999</v>
      </c>
      <c r="D168" s="65">
        <f>3.69 * CHOOSE(CONTROL!$C$23, $C$12, 100%, $E$12)</f>
        <v>3.69</v>
      </c>
      <c r="E168" s="66">
        <f>4.3516 * CHOOSE(CONTROL!$C$23, $C$12, 100%, $E$12)</f>
        <v>4.3516000000000004</v>
      </c>
      <c r="F168" s="66">
        <f>4.3516 * CHOOSE(CONTROL!$C$23, $C$12, 100%, $E$12)</f>
        <v>4.3516000000000004</v>
      </c>
      <c r="G168" s="66">
        <f>4.3585 * CHOOSE(CONTROL!$C$23, $C$12, 100%, $E$12)</f>
        <v>4.3585000000000003</v>
      </c>
      <c r="H168" s="66">
        <f>8.0953* CHOOSE(CONTROL!$C$23, $C$12, 100%, $E$12)</f>
        <v>8.0952999999999999</v>
      </c>
      <c r="I168" s="66">
        <f>8.1022 * CHOOSE(CONTROL!$C$23, $C$12, 100%, $E$12)</f>
        <v>8.1021999999999998</v>
      </c>
      <c r="J168" s="66">
        <f>8.0953 * CHOOSE(CONTROL!$C$23, $C$12, 100%, $E$12)</f>
        <v>8.0952999999999999</v>
      </c>
      <c r="K168" s="66">
        <f>8.1022 * CHOOSE(CONTROL!$C$23, $C$12, 100%, $E$12)</f>
        <v>8.1021999999999998</v>
      </c>
      <c r="L168" s="66">
        <f>4.3516 * CHOOSE(CONTROL!$C$23, $C$12, 100%, $E$12)</f>
        <v>4.3516000000000004</v>
      </c>
      <c r="M168" s="66">
        <f>4.3585 * CHOOSE(CONTROL!$C$23, $C$12, 100%, $E$12)</f>
        <v>4.3585000000000003</v>
      </c>
      <c r="N168" s="66">
        <f>4.3516 * CHOOSE(CONTROL!$C$23, $C$12, 100%, $E$12)</f>
        <v>4.3516000000000004</v>
      </c>
      <c r="O168" s="66">
        <f>4.3585 * CHOOSE(CONTROL!$C$23, $C$12, 100%, $E$12)</f>
        <v>4.3585000000000003</v>
      </c>
    </row>
    <row r="169" spans="1:15" ht="15">
      <c r="A169" s="13">
        <v>46296</v>
      </c>
      <c r="B169" s="65">
        <f>3.6781 * CHOOSE(CONTROL!$C$23, $C$12, 100%, $E$12)</f>
        <v>3.6781000000000001</v>
      </c>
      <c r="C169" s="65">
        <f>3.6781 * CHOOSE(CONTROL!$C$23, $C$12, 100%, $E$12)</f>
        <v>3.6781000000000001</v>
      </c>
      <c r="D169" s="65">
        <f>3.6821 * CHOOSE(CONTROL!$C$23, $C$12, 100%, $E$12)</f>
        <v>3.6821000000000002</v>
      </c>
      <c r="E169" s="66">
        <f>4.3671 * CHOOSE(CONTROL!$C$23, $C$12, 100%, $E$12)</f>
        <v>4.3670999999999998</v>
      </c>
      <c r="F169" s="66">
        <f>4.3671 * CHOOSE(CONTROL!$C$23, $C$12, 100%, $E$12)</f>
        <v>4.3670999999999998</v>
      </c>
      <c r="G169" s="66">
        <f>4.372 * CHOOSE(CONTROL!$C$23, $C$12, 100%, $E$12)</f>
        <v>4.3719999999999999</v>
      </c>
      <c r="H169" s="66">
        <f>8.1122* CHOOSE(CONTROL!$C$23, $C$12, 100%, $E$12)</f>
        <v>8.1121999999999996</v>
      </c>
      <c r="I169" s="66">
        <f>8.1171 * CHOOSE(CONTROL!$C$23, $C$12, 100%, $E$12)</f>
        <v>8.1171000000000006</v>
      </c>
      <c r="J169" s="66">
        <f>8.1122 * CHOOSE(CONTROL!$C$23, $C$12, 100%, $E$12)</f>
        <v>8.1121999999999996</v>
      </c>
      <c r="K169" s="66">
        <f>8.1171 * CHOOSE(CONTROL!$C$23, $C$12, 100%, $E$12)</f>
        <v>8.1171000000000006</v>
      </c>
      <c r="L169" s="66">
        <f>4.3671 * CHOOSE(CONTROL!$C$23, $C$12, 100%, $E$12)</f>
        <v>4.3670999999999998</v>
      </c>
      <c r="M169" s="66">
        <f>4.372 * CHOOSE(CONTROL!$C$23, $C$12, 100%, $E$12)</f>
        <v>4.3719999999999999</v>
      </c>
      <c r="N169" s="66">
        <f>4.3671 * CHOOSE(CONTROL!$C$23, $C$12, 100%, $E$12)</f>
        <v>4.3670999999999998</v>
      </c>
      <c r="O169" s="66">
        <f>4.372 * CHOOSE(CONTROL!$C$23, $C$12, 100%, $E$12)</f>
        <v>4.3719999999999999</v>
      </c>
    </row>
    <row r="170" spans="1:15" ht="15">
      <c r="A170" s="13">
        <v>46327</v>
      </c>
      <c r="B170" s="65">
        <f>3.6811 * CHOOSE(CONTROL!$C$23, $C$12, 100%, $E$12)</f>
        <v>3.6810999999999998</v>
      </c>
      <c r="C170" s="65">
        <f>3.6811 * CHOOSE(CONTROL!$C$23, $C$12, 100%, $E$12)</f>
        <v>3.6810999999999998</v>
      </c>
      <c r="D170" s="65">
        <f>3.6851 * CHOOSE(CONTROL!$C$23, $C$12, 100%, $E$12)</f>
        <v>3.6850999999999998</v>
      </c>
      <c r="E170" s="66">
        <f>4.3836 * CHOOSE(CONTROL!$C$23, $C$12, 100%, $E$12)</f>
        <v>4.3836000000000004</v>
      </c>
      <c r="F170" s="66">
        <f>4.3836 * CHOOSE(CONTROL!$C$23, $C$12, 100%, $E$12)</f>
        <v>4.3836000000000004</v>
      </c>
      <c r="G170" s="66">
        <f>4.3886 * CHOOSE(CONTROL!$C$23, $C$12, 100%, $E$12)</f>
        <v>4.3886000000000003</v>
      </c>
      <c r="H170" s="66">
        <f>8.1291* CHOOSE(CONTROL!$C$23, $C$12, 100%, $E$12)</f>
        <v>8.1290999999999993</v>
      </c>
      <c r="I170" s="66">
        <f>8.134 * CHOOSE(CONTROL!$C$23, $C$12, 100%, $E$12)</f>
        <v>8.1340000000000003</v>
      </c>
      <c r="J170" s="66">
        <f>8.1291 * CHOOSE(CONTROL!$C$23, $C$12, 100%, $E$12)</f>
        <v>8.1290999999999993</v>
      </c>
      <c r="K170" s="66">
        <f>8.134 * CHOOSE(CONTROL!$C$23, $C$12, 100%, $E$12)</f>
        <v>8.1340000000000003</v>
      </c>
      <c r="L170" s="66">
        <f>4.3836 * CHOOSE(CONTROL!$C$23, $C$12, 100%, $E$12)</f>
        <v>4.3836000000000004</v>
      </c>
      <c r="M170" s="66">
        <f>4.3886 * CHOOSE(CONTROL!$C$23, $C$12, 100%, $E$12)</f>
        <v>4.3886000000000003</v>
      </c>
      <c r="N170" s="66">
        <f>4.3836 * CHOOSE(CONTROL!$C$23, $C$12, 100%, $E$12)</f>
        <v>4.3836000000000004</v>
      </c>
      <c r="O170" s="66">
        <f>4.3886 * CHOOSE(CONTROL!$C$23, $C$12, 100%, $E$12)</f>
        <v>4.3886000000000003</v>
      </c>
    </row>
    <row r="171" spans="1:15" ht="15">
      <c r="A171" s="13">
        <v>46357</v>
      </c>
      <c r="B171" s="65">
        <f>3.6811 * CHOOSE(CONTROL!$C$23, $C$12, 100%, $E$12)</f>
        <v>3.6810999999999998</v>
      </c>
      <c r="C171" s="65">
        <f>3.6811 * CHOOSE(CONTROL!$C$23, $C$12, 100%, $E$12)</f>
        <v>3.6810999999999998</v>
      </c>
      <c r="D171" s="65">
        <f>3.6851 * CHOOSE(CONTROL!$C$23, $C$12, 100%, $E$12)</f>
        <v>3.6850999999999998</v>
      </c>
      <c r="E171" s="66">
        <f>4.3475 * CHOOSE(CONTROL!$C$23, $C$12, 100%, $E$12)</f>
        <v>4.3475000000000001</v>
      </c>
      <c r="F171" s="66">
        <f>4.3475 * CHOOSE(CONTROL!$C$23, $C$12, 100%, $E$12)</f>
        <v>4.3475000000000001</v>
      </c>
      <c r="G171" s="66">
        <f>4.3524 * CHOOSE(CONTROL!$C$23, $C$12, 100%, $E$12)</f>
        <v>4.3524000000000003</v>
      </c>
      <c r="H171" s="66">
        <f>8.146* CHOOSE(CONTROL!$C$23, $C$12, 100%, $E$12)</f>
        <v>8.1460000000000008</v>
      </c>
      <c r="I171" s="66">
        <f>8.151 * CHOOSE(CONTROL!$C$23, $C$12, 100%, $E$12)</f>
        <v>8.1509999999999998</v>
      </c>
      <c r="J171" s="66">
        <f>8.146 * CHOOSE(CONTROL!$C$23, $C$12, 100%, $E$12)</f>
        <v>8.1460000000000008</v>
      </c>
      <c r="K171" s="66">
        <f>8.151 * CHOOSE(CONTROL!$C$23, $C$12, 100%, $E$12)</f>
        <v>8.1509999999999998</v>
      </c>
      <c r="L171" s="66">
        <f>4.3475 * CHOOSE(CONTROL!$C$23, $C$12, 100%, $E$12)</f>
        <v>4.3475000000000001</v>
      </c>
      <c r="M171" s="66">
        <f>4.3524 * CHOOSE(CONTROL!$C$23, $C$12, 100%, $E$12)</f>
        <v>4.3524000000000003</v>
      </c>
      <c r="N171" s="66">
        <f>4.3475 * CHOOSE(CONTROL!$C$23, $C$12, 100%, $E$12)</f>
        <v>4.3475000000000001</v>
      </c>
      <c r="O171" s="66">
        <f>4.3524 * CHOOSE(CONTROL!$C$23, $C$12, 100%, $E$12)</f>
        <v>4.3524000000000003</v>
      </c>
    </row>
    <row r="172" spans="1:15" ht="15">
      <c r="A172" s="13">
        <v>46388</v>
      </c>
      <c r="B172" s="65">
        <f>3.7098 * CHOOSE(CONTROL!$C$23, $C$12, 100%, $E$12)</f>
        <v>3.7098</v>
      </c>
      <c r="C172" s="65">
        <f>3.7098 * CHOOSE(CONTROL!$C$23, $C$12, 100%, $E$12)</f>
        <v>3.7098</v>
      </c>
      <c r="D172" s="65">
        <f>3.7138 * CHOOSE(CONTROL!$C$23, $C$12, 100%, $E$12)</f>
        <v>3.7138</v>
      </c>
      <c r="E172" s="66">
        <f>4.4079 * CHOOSE(CONTROL!$C$23, $C$12, 100%, $E$12)</f>
        <v>4.4078999999999997</v>
      </c>
      <c r="F172" s="66">
        <f>4.4079 * CHOOSE(CONTROL!$C$23, $C$12, 100%, $E$12)</f>
        <v>4.4078999999999997</v>
      </c>
      <c r="G172" s="66">
        <f>4.4129 * CHOOSE(CONTROL!$C$23, $C$12, 100%, $E$12)</f>
        <v>4.4128999999999996</v>
      </c>
      <c r="H172" s="66">
        <f>8.163* CHOOSE(CONTROL!$C$23, $C$12, 100%, $E$12)</f>
        <v>8.1630000000000003</v>
      </c>
      <c r="I172" s="66">
        <f>8.1679 * CHOOSE(CONTROL!$C$23, $C$12, 100%, $E$12)</f>
        <v>8.1678999999999995</v>
      </c>
      <c r="J172" s="66">
        <f>8.163 * CHOOSE(CONTROL!$C$23, $C$12, 100%, $E$12)</f>
        <v>8.1630000000000003</v>
      </c>
      <c r="K172" s="66">
        <f>8.1679 * CHOOSE(CONTROL!$C$23, $C$12, 100%, $E$12)</f>
        <v>8.1678999999999995</v>
      </c>
      <c r="L172" s="66">
        <f>4.4079 * CHOOSE(CONTROL!$C$23, $C$12, 100%, $E$12)</f>
        <v>4.4078999999999997</v>
      </c>
      <c r="M172" s="66">
        <f>4.4129 * CHOOSE(CONTROL!$C$23, $C$12, 100%, $E$12)</f>
        <v>4.4128999999999996</v>
      </c>
      <c r="N172" s="66">
        <f>4.4079 * CHOOSE(CONTROL!$C$23, $C$12, 100%, $E$12)</f>
        <v>4.4078999999999997</v>
      </c>
      <c r="O172" s="66">
        <f>4.4129 * CHOOSE(CONTROL!$C$23, $C$12, 100%, $E$12)</f>
        <v>4.4128999999999996</v>
      </c>
    </row>
    <row r="173" spans="1:15" ht="15">
      <c r="A173" s="13">
        <v>46419</v>
      </c>
      <c r="B173" s="65">
        <f>3.7067 * CHOOSE(CONTROL!$C$23, $C$12, 100%, $E$12)</f>
        <v>3.7067000000000001</v>
      </c>
      <c r="C173" s="65">
        <f>3.7067 * CHOOSE(CONTROL!$C$23, $C$12, 100%, $E$12)</f>
        <v>3.7067000000000001</v>
      </c>
      <c r="D173" s="65">
        <f>3.7107 * CHOOSE(CONTROL!$C$23, $C$12, 100%, $E$12)</f>
        <v>3.7107000000000001</v>
      </c>
      <c r="E173" s="66">
        <f>4.3359 * CHOOSE(CONTROL!$C$23, $C$12, 100%, $E$12)</f>
        <v>4.3358999999999996</v>
      </c>
      <c r="F173" s="66">
        <f>4.3359 * CHOOSE(CONTROL!$C$23, $C$12, 100%, $E$12)</f>
        <v>4.3358999999999996</v>
      </c>
      <c r="G173" s="66">
        <f>4.3408 * CHOOSE(CONTROL!$C$23, $C$12, 100%, $E$12)</f>
        <v>4.3407999999999998</v>
      </c>
      <c r="H173" s="66">
        <f>8.18* CHOOSE(CONTROL!$C$23, $C$12, 100%, $E$12)</f>
        <v>8.18</v>
      </c>
      <c r="I173" s="66">
        <f>8.1849 * CHOOSE(CONTROL!$C$23, $C$12, 100%, $E$12)</f>
        <v>8.1849000000000007</v>
      </c>
      <c r="J173" s="66">
        <f>8.18 * CHOOSE(CONTROL!$C$23, $C$12, 100%, $E$12)</f>
        <v>8.18</v>
      </c>
      <c r="K173" s="66">
        <f>8.1849 * CHOOSE(CONTROL!$C$23, $C$12, 100%, $E$12)</f>
        <v>8.1849000000000007</v>
      </c>
      <c r="L173" s="66">
        <f>4.3359 * CHOOSE(CONTROL!$C$23, $C$12, 100%, $E$12)</f>
        <v>4.3358999999999996</v>
      </c>
      <c r="M173" s="66">
        <f>4.3408 * CHOOSE(CONTROL!$C$23, $C$12, 100%, $E$12)</f>
        <v>4.3407999999999998</v>
      </c>
      <c r="N173" s="66">
        <f>4.3359 * CHOOSE(CONTROL!$C$23, $C$12, 100%, $E$12)</f>
        <v>4.3358999999999996</v>
      </c>
      <c r="O173" s="66">
        <f>4.3408 * CHOOSE(CONTROL!$C$23, $C$12, 100%, $E$12)</f>
        <v>4.3407999999999998</v>
      </c>
    </row>
    <row r="174" spans="1:15" ht="15">
      <c r="A174" s="13">
        <v>46447</v>
      </c>
      <c r="B174" s="65">
        <f>3.7037 * CHOOSE(CONTROL!$C$23, $C$12, 100%, $E$12)</f>
        <v>3.7037</v>
      </c>
      <c r="C174" s="65">
        <f>3.7037 * CHOOSE(CONTROL!$C$23, $C$12, 100%, $E$12)</f>
        <v>3.7037</v>
      </c>
      <c r="D174" s="65">
        <f>3.7077 * CHOOSE(CONTROL!$C$23, $C$12, 100%, $E$12)</f>
        <v>3.7077</v>
      </c>
      <c r="E174" s="66">
        <f>4.3889 * CHOOSE(CONTROL!$C$23, $C$12, 100%, $E$12)</f>
        <v>4.3888999999999996</v>
      </c>
      <c r="F174" s="66">
        <f>4.3889 * CHOOSE(CONTROL!$C$23, $C$12, 100%, $E$12)</f>
        <v>4.3888999999999996</v>
      </c>
      <c r="G174" s="66">
        <f>4.3938 * CHOOSE(CONTROL!$C$23, $C$12, 100%, $E$12)</f>
        <v>4.3937999999999997</v>
      </c>
      <c r="H174" s="66">
        <f>8.1971* CHOOSE(CONTROL!$C$23, $C$12, 100%, $E$12)</f>
        <v>8.1971000000000007</v>
      </c>
      <c r="I174" s="66">
        <f>8.202 * CHOOSE(CONTROL!$C$23, $C$12, 100%, $E$12)</f>
        <v>8.202</v>
      </c>
      <c r="J174" s="66">
        <f>8.1971 * CHOOSE(CONTROL!$C$23, $C$12, 100%, $E$12)</f>
        <v>8.1971000000000007</v>
      </c>
      <c r="K174" s="66">
        <f>8.202 * CHOOSE(CONTROL!$C$23, $C$12, 100%, $E$12)</f>
        <v>8.202</v>
      </c>
      <c r="L174" s="66">
        <f>4.3889 * CHOOSE(CONTROL!$C$23, $C$12, 100%, $E$12)</f>
        <v>4.3888999999999996</v>
      </c>
      <c r="M174" s="66">
        <f>4.3938 * CHOOSE(CONTROL!$C$23, $C$12, 100%, $E$12)</f>
        <v>4.3937999999999997</v>
      </c>
      <c r="N174" s="66">
        <f>4.3889 * CHOOSE(CONTROL!$C$23, $C$12, 100%, $E$12)</f>
        <v>4.3888999999999996</v>
      </c>
      <c r="O174" s="66">
        <f>4.3938 * CHOOSE(CONTROL!$C$23, $C$12, 100%, $E$12)</f>
        <v>4.3937999999999997</v>
      </c>
    </row>
    <row r="175" spans="1:15" ht="15">
      <c r="A175" s="13">
        <v>46478</v>
      </c>
      <c r="B175" s="65">
        <f>3.701 * CHOOSE(CONTROL!$C$23, $C$12, 100%, $E$12)</f>
        <v>3.7010000000000001</v>
      </c>
      <c r="C175" s="65">
        <f>3.701 * CHOOSE(CONTROL!$C$23, $C$12, 100%, $E$12)</f>
        <v>3.7010000000000001</v>
      </c>
      <c r="D175" s="65">
        <f>3.705 * CHOOSE(CONTROL!$C$23, $C$12, 100%, $E$12)</f>
        <v>3.7050000000000001</v>
      </c>
      <c r="E175" s="66">
        <f>4.4439 * CHOOSE(CONTROL!$C$23, $C$12, 100%, $E$12)</f>
        <v>4.4439000000000002</v>
      </c>
      <c r="F175" s="66">
        <f>4.4439 * CHOOSE(CONTROL!$C$23, $C$12, 100%, $E$12)</f>
        <v>4.4439000000000002</v>
      </c>
      <c r="G175" s="66">
        <f>4.4488 * CHOOSE(CONTROL!$C$23, $C$12, 100%, $E$12)</f>
        <v>4.4488000000000003</v>
      </c>
      <c r="H175" s="66">
        <f>8.2141* CHOOSE(CONTROL!$C$23, $C$12, 100%, $E$12)</f>
        <v>8.2141000000000002</v>
      </c>
      <c r="I175" s="66">
        <f>8.2191 * CHOOSE(CONTROL!$C$23, $C$12, 100%, $E$12)</f>
        <v>8.2190999999999992</v>
      </c>
      <c r="J175" s="66">
        <f>8.2141 * CHOOSE(CONTROL!$C$23, $C$12, 100%, $E$12)</f>
        <v>8.2141000000000002</v>
      </c>
      <c r="K175" s="66">
        <f>8.2191 * CHOOSE(CONTROL!$C$23, $C$12, 100%, $E$12)</f>
        <v>8.2190999999999992</v>
      </c>
      <c r="L175" s="66">
        <f>4.4439 * CHOOSE(CONTROL!$C$23, $C$12, 100%, $E$12)</f>
        <v>4.4439000000000002</v>
      </c>
      <c r="M175" s="66">
        <f>4.4488 * CHOOSE(CONTROL!$C$23, $C$12, 100%, $E$12)</f>
        <v>4.4488000000000003</v>
      </c>
      <c r="N175" s="66">
        <f>4.4439 * CHOOSE(CONTROL!$C$23, $C$12, 100%, $E$12)</f>
        <v>4.4439000000000002</v>
      </c>
      <c r="O175" s="66">
        <f>4.4488 * CHOOSE(CONTROL!$C$23, $C$12, 100%, $E$12)</f>
        <v>4.4488000000000003</v>
      </c>
    </row>
    <row r="176" spans="1:15" ht="15">
      <c r="A176" s="13">
        <v>46508</v>
      </c>
      <c r="B176" s="65">
        <f>3.701 * CHOOSE(CONTROL!$C$23, $C$12, 100%, $E$12)</f>
        <v>3.7010000000000001</v>
      </c>
      <c r="C176" s="65">
        <f>3.701 * CHOOSE(CONTROL!$C$23, $C$12, 100%, $E$12)</f>
        <v>3.7010000000000001</v>
      </c>
      <c r="D176" s="65">
        <f>3.7067 * CHOOSE(CONTROL!$C$23, $C$12, 100%, $E$12)</f>
        <v>3.7067000000000001</v>
      </c>
      <c r="E176" s="66">
        <f>4.4661 * CHOOSE(CONTROL!$C$23, $C$12, 100%, $E$12)</f>
        <v>4.4661</v>
      </c>
      <c r="F176" s="66">
        <f>4.4661 * CHOOSE(CONTROL!$C$23, $C$12, 100%, $E$12)</f>
        <v>4.4661</v>
      </c>
      <c r="G176" s="66">
        <f>4.473 * CHOOSE(CONTROL!$C$23, $C$12, 100%, $E$12)</f>
        <v>4.4729999999999999</v>
      </c>
      <c r="H176" s="66">
        <f>8.2313* CHOOSE(CONTROL!$C$23, $C$12, 100%, $E$12)</f>
        <v>8.2312999999999992</v>
      </c>
      <c r="I176" s="66">
        <f>8.2381 * CHOOSE(CONTROL!$C$23, $C$12, 100%, $E$12)</f>
        <v>8.2380999999999993</v>
      </c>
      <c r="J176" s="66">
        <f>8.2313 * CHOOSE(CONTROL!$C$23, $C$12, 100%, $E$12)</f>
        <v>8.2312999999999992</v>
      </c>
      <c r="K176" s="66">
        <f>8.2381 * CHOOSE(CONTROL!$C$23, $C$12, 100%, $E$12)</f>
        <v>8.2380999999999993</v>
      </c>
      <c r="L176" s="66">
        <f>4.4661 * CHOOSE(CONTROL!$C$23, $C$12, 100%, $E$12)</f>
        <v>4.4661</v>
      </c>
      <c r="M176" s="66">
        <f>4.473 * CHOOSE(CONTROL!$C$23, $C$12, 100%, $E$12)</f>
        <v>4.4729999999999999</v>
      </c>
      <c r="N176" s="66">
        <f>4.4661 * CHOOSE(CONTROL!$C$23, $C$12, 100%, $E$12)</f>
        <v>4.4661</v>
      </c>
      <c r="O176" s="66">
        <f>4.473 * CHOOSE(CONTROL!$C$23, $C$12, 100%, $E$12)</f>
        <v>4.4729999999999999</v>
      </c>
    </row>
    <row r="177" spans="1:15" ht="15">
      <c r="A177" s="13">
        <v>46539</v>
      </c>
      <c r="B177" s="65">
        <f>3.7071 * CHOOSE(CONTROL!$C$23, $C$12, 100%, $E$12)</f>
        <v>3.7071000000000001</v>
      </c>
      <c r="C177" s="65">
        <f>3.7071 * CHOOSE(CONTROL!$C$23, $C$12, 100%, $E$12)</f>
        <v>3.7071000000000001</v>
      </c>
      <c r="D177" s="65">
        <f>3.7127 * CHOOSE(CONTROL!$C$23, $C$12, 100%, $E$12)</f>
        <v>3.7126999999999999</v>
      </c>
      <c r="E177" s="66">
        <f>4.4481 * CHOOSE(CONTROL!$C$23, $C$12, 100%, $E$12)</f>
        <v>4.4481000000000002</v>
      </c>
      <c r="F177" s="66">
        <f>4.4481 * CHOOSE(CONTROL!$C$23, $C$12, 100%, $E$12)</f>
        <v>4.4481000000000002</v>
      </c>
      <c r="G177" s="66">
        <f>4.455 * CHOOSE(CONTROL!$C$23, $C$12, 100%, $E$12)</f>
        <v>4.4550000000000001</v>
      </c>
      <c r="H177" s="66">
        <f>8.2484* CHOOSE(CONTROL!$C$23, $C$12, 100%, $E$12)</f>
        <v>8.2484000000000002</v>
      </c>
      <c r="I177" s="66">
        <f>8.2553 * CHOOSE(CONTROL!$C$23, $C$12, 100%, $E$12)</f>
        <v>8.2553000000000001</v>
      </c>
      <c r="J177" s="66">
        <f>8.2484 * CHOOSE(CONTROL!$C$23, $C$12, 100%, $E$12)</f>
        <v>8.2484000000000002</v>
      </c>
      <c r="K177" s="66">
        <f>8.2553 * CHOOSE(CONTROL!$C$23, $C$12, 100%, $E$12)</f>
        <v>8.2553000000000001</v>
      </c>
      <c r="L177" s="66">
        <f>4.4481 * CHOOSE(CONTROL!$C$23, $C$12, 100%, $E$12)</f>
        <v>4.4481000000000002</v>
      </c>
      <c r="M177" s="66">
        <f>4.455 * CHOOSE(CONTROL!$C$23, $C$12, 100%, $E$12)</f>
        <v>4.4550000000000001</v>
      </c>
      <c r="N177" s="66">
        <f>4.4481 * CHOOSE(CONTROL!$C$23, $C$12, 100%, $E$12)</f>
        <v>4.4481000000000002</v>
      </c>
      <c r="O177" s="66">
        <f>4.455 * CHOOSE(CONTROL!$C$23, $C$12, 100%, $E$12)</f>
        <v>4.4550000000000001</v>
      </c>
    </row>
    <row r="178" spans="1:15" ht="15">
      <c r="A178" s="13">
        <v>46569</v>
      </c>
      <c r="B178" s="65">
        <f>3.7587 * CHOOSE(CONTROL!$C$23, $C$12, 100%, $E$12)</f>
        <v>3.7587000000000002</v>
      </c>
      <c r="C178" s="65">
        <f>3.7587 * CHOOSE(CONTROL!$C$23, $C$12, 100%, $E$12)</f>
        <v>3.7587000000000002</v>
      </c>
      <c r="D178" s="65">
        <f>3.7643 * CHOOSE(CONTROL!$C$23, $C$12, 100%, $E$12)</f>
        <v>3.7643</v>
      </c>
      <c r="E178" s="66">
        <f>4.5253 * CHOOSE(CONTROL!$C$23, $C$12, 100%, $E$12)</f>
        <v>4.5252999999999997</v>
      </c>
      <c r="F178" s="66">
        <f>4.5253 * CHOOSE(CONTROL!$C$23, $C$12, 100%, $E$12)</f>
        <v>4.5252999999999997</v>
      </c>
      <c r="G178" s="66">
        <f>4.5322 * CHOOSE(CONTROL!$C$23, $C$12, 100%, $E$12)</f>
        <v>4.5321999999999996</v>
      </c>
      <c r="H178" s="66">
        <f>8.2656* CHOOSE(CONTROL!$C$23, $C$12, 100%, $E$12)</f>
        <v>8.2655999999999992</v>
      </c>
      <c r="I178" s="66">
        <f>8.2725 * CHOOSE(CONTROL!$C$23, $C$12, 100%, $E$12)</f>
        <v>8.2725000000000009</v>
      </c>
      <c r="J178" s="66">
        <f>8.2656 * CHOOSE(CONTROL!$C$23, $C$12, 100%, $E$12)</f>
        <v>8.2655999999999992</v>
      </c>
      <c r="K178" s="66">
        <f>8.2725 * CHOOSE(CONTROL!$C$23, $C$12, 100%, $E$12)</f>
        <v>8.2725000000000009</v>
      </c>
      <c r="L178" s="66">
        <f>4.5253 * CHOOSE(CONTROL!$C$23, $C$12, 100%, $E$12)</f>
        <v>4.5252999999999997</v>
      </c>
      <c r="M178" s="66">
        <f>4.5322 * CHOOSE(CONTROL!$C$23, $C$12, 100%, $E$12)</f>
        <v>4.5321999999999996</v>
      </c>
      <c r="N178" s="66">
        <f>4.5253 * CHOOSE(CONTROL!$C$23, $C$12, 100%, $E$12)</f>
        <v>4.5252999999999997</v>
      </c>
      <c r="O178" s="66">
        <f>4.5322 * CHOOSE(CONTROL!$C$23, $C$12, 100%, $E$12)</f>
        <v>4.5321999999999996</v>
      </c>
    </row>
    <row r="179" spans="1:15" ht="15">
      <c r="A179" s="13">
        <v>46600</v>
      </c>
      <c r="B179" s="65">
        <f>3.7654 * CHOOSE(CONTROL!$C$23, $C$12, 100%, $E$12)</f>
        <v>3.7654000000000001</v>
      </c>
      <c r="C179" s="65">
        <f>3.7654 * CHOOSE(CONTROL!$C$23, $C$12, 100%, $E$12)</f>
        <v>3.7654000000000001</v>
      </c>
      <c r="D179" s="65">
        <f>3.771 * CHOOSE(CONTROL!$C$23, $C$12, 100%, $E$12)</f>
        <v>3.7709999999999999</v>
      </c>
      <c r="E179" s="66">
        <f>4.4633 * CHOOSE(CONTROL!$C$23, $C$12, 100%, $E$12)</f>
        <v>4.4633000000000003</v>
      </c>
      <c r="F179" s="66">
        <f>4.4633 * CHOOSE(CONTROL!$C$23, $C$12, 100%, $E$12)</f>
        <v>4.4633000000000003</v>
      </c>
      <c r="G179" s="66">
        <f>4.4702 * CHOOSE(CONTROL!$C$23, $C$12, 100%, $E$12)</f>
        <v>4.4702000000000002</v>
      </c>
      <c r="H179" s="66">
        <f>8.2828* CHOOSE(CONTROL!$C$23, $C$12, 100%, $E$12)</f>
        <v>8.2827999999999999</v>
      </c>
      <c r="I179" s="66">
        <f>8.2897 * CHOOSE(CONTROL!$C$23, $C$12, 100%, $E$12)</f>
        <v>8.2896999999999998</v>
      </c>
      <c r="J179" s="66">
        <f>8.2828 * CHOOSE(CONTROL!$C$23, $C$12, 100%, $E$12)</f>
        <v>8.2827999999999999</v>
      </c>
      <c r="K179" s="66">
        <f>8.2897 * CHOOSE(CONTROL!$C$23, $C$12, 100%, $E$12)</f>
        <v>8.2896999999999998</v>
      </c>
      <c r="L179" s="66">
        <f>4.4633 * CHOOSE(CONTROL!$C$23, $C$12, 100%, $E$12)</f>
        <v>4.4633000000000003</v>
      </c>
      <c r="M179" s="66">
        <f>4.4702 * CHOOSE(CONTROL!$C$23, $C$12, 100%, $E$12)</f>
        <v>4.4702000000000002</v>
      </c>
      <c r="N179" s="66">
        <f>4.4633 * CHOOSE(CONTROL!$C$23, $C$12, 100%, $E$12)</f>
        <v>4.4633000000000003</v>
      </c>
      <c r="O179" s="66">
        <f>4.4702 * CHOOSE(CONTROL!$C$23, $C$12, 100%, $E$12)</f>
        <v>4.4702000000000002</v>
      </c>
    </row>
    <row r="180" spans="1:15" ht="15">
      <c r="A180" s="13">
        <v>46631</v>
      </c>
      <c r="B180" s="65">
        <f>3.7623 * CHOOSE(CONTROL!$C$23, $C$12, 100%, $E$12)</f>
        <v>3.7623000000000002</v>
      </c>
      <c r="C180" s="65">
        <f>3.7623 * CHOOSE(CONTROL!$C$23, $C$12, 100%, $E$12)</f>
        <v>3.7623000000000002</v>
      </c>
      <c r="D180" s="65">
        <f>3.7679 * CHOOSE(CONTROL!$C$23, $C$12, 100%, $E$12)</f>
        <v>3.7679</v>
      </c>
      <c r="E180" s="66">
        <f>4.4538 * CHOOSE(CONTROL!$C$23, $C$12, 100%, $E$12)</f>
        <v>4.4538000000000002</v>
      </c>
      <c r="F180" s="66">
        <f>4.4538 * CHOOSE(CONTROL!$C$23, $C$12, 100%, $E$12)</f>
        <v>4.4538000000000002</v>
      </c>
      <c r="G180" s="66">
        <f>4.4607 * CHOOSE(CONTROL!$C$23, $C$12, 100%, $E$12)</f>
        <v>4.4607000000000001</v>
      </c>
      <c r="H180" s="66">
        <f>8.3001* CHOOSE(CONTROL!$C$23, $C$12, 100%, $E$12)</f>
        <v>8.3001000000000005</v>
      </c>
      <c r="I180" s="66">
        <f>8.307 * CHOOSE(CONTROL!$C$23, $C$12, 100%, $E$12)</f>
        <v>8.3070000000000004</v>
      </c>
      <c r="J180" s="66">
        <f>8.3001 * CHOOSE(CONTROL!$C$23, $C$12, 100%, $E$12)</f>
        <v>8.3001000000000005</v>
      </c>
      <c r="K180" s="66">
        <f>8.307 * CHOOSE(CONTROL!$C$23, $C$12, 100%, $E$12)</f>
        <v>8.3070000000000004</v>
      </c>
      <c r="L180" s="66">
        <f>4.4538 * CHOOSE(CONTROL!$C$23, $C$12, 100%, $E$12)</f>
        <v>4.4538000000000002</v>
      </c>
      <c r="M180" s="66">
        <f>4.4607 * CHOOSE(CONTROL!$C$23, $C$12, 100%, $E$12)</f>
        <v>4.4607000000000001</v>
      </c>
      <c r="N180" s="66">
        <f>4.4538 * CHOOSE(CONTROL!$C$23, $C$12, 100%, $E$12)</f>
        <v>4.4538000000000002</v>
      </c>
      <c r="O180" s="66">
        <f>4.4607 * CHOOSE(CONTROL!$C$23, $C$12, 100%, $E$12)</f>
        <v>4.4607000000000001</v>
      </c>
    </row>
    <row r="181" spans="1:15" ht="15">
      <c r="A181" s="13">
        <v>46661</v>
      </c>
      <c r="B181" s="65">
        <f>3.7564 * CHOOSE(CONTROL!$C$23, $C$12, 100%, $E$12)</f>
        <v>3.7564000000000002</v>
      </c>
      <c r="C181" s="65">
        <f>3.7564 * CHOOSE(CONTROL!$C$23, $C$12, 100%, $E$12)</f>
        <v>3.7564000000000002</v>
      </c>
      <c r="D181" s="65">
        <f>3.7604 * CHOOSE(CONTROL!$C$23, $C$12, 100%, $E$12)</f>
        <v>3.7604000000000002</v>
      </c>
      <c r="E181" s="66">
        <f>4.47 * CHOOSE(CONTROL!$C$23, $C$12, 100%, $E$12)</f>
        <v>4.47</v>
      </c>
      <c r="F181" s="66">
        <f>4.47 * CHOOSE(CONTROL!$C$23, $C$12, 100%, $E$12)</f>
        <v>4.47</v>
      </c>
      <c r="G181" s="66">
        <f>4.4749 * CHOOSE(CONTROL!$C$23, $C$12, 100%, $E$12)</f>
        <v>4.4748999999999999</v>
      </c>
      <c r="H181" s="66">
        <f>8.3174* CHOOSE(CONTROL!$C$23, $C$12, 100%, $E$12)</f>
        <v>8.3173999999999992</v>
      </c>
      <c r="I181" s="66">
        <f>8.3223 * CHOOSE(CONTROL!$C$23, $C$12, 100%, $E$12)</f>
        <v>8.3223000000000003</v>
      </c>
      <c r="J181" s="66">
        <f>8.3174 * CHOOSE(CONTROL!$C$23, $C$12, 100%, $E$12)</f>
        <v>8.3173999999999992</v>
      </c>
      <c r="K181" s="66">
        <f>8.3223 * CHOOSE(CONTROL!$C$23, $C$12, 100%, $E$12)</f>
        <v>8.3223000000000003</v>
      </c>
      <c r="L181" s="66">
        <f>4.47 * CHOOSE(CONTROL!$C$23, $C$12, 100%, $E$12)</f>
        <v>4.47</v>
      </c>
      <c r="M181" s="66">
        <f>4.4749 * CHOOSE(CONTROL!$C$23, $C$12, 100%, $E$12)</f>
        <v>4.4748999999999999</v>
      </c>
      <c r="N181" s="66">
        <f>4.47 * CHOOSE(CONTROL!$C$23, $C$12, 100%, $E$12)</f>
        <v>4.47</v>
      </c>
      <c r="O181" s="66">
        <f>4.4749 * CHOOSE(CONTROL!$C$23, $C$12, 100%, $E$12)</f>
        <v>4.4748999999999999</v>
      </c>
    </row>
    <row r="182" spans="1:15" ht="15">
      <c r="A182" s="13">
        <v>46692</v>
      </c>
      <c r="B182" s="65">
        <f>3.7595 * CHOOSE(CONTROL!$C$23, $C$12, 100%, $E$12)</f>
        <v>3.7595000000000001</v>
      </c>
      <c r="C182" s="65">
        <f>3.7595 * CHOOSE(CONTROL!$C$23, $C$12, 100%, $E$12)</f>
        <v>3.7595000000000001</v>
      </c>
      <c r="D182" s="65">
        <f>3.7634 * CHOOSE(CONTROL!$C$23, $C$12, 100%, $E$12)</f>
        <v>3.7633999999999999</v>
      </c>
      <c r="E182" s="66">
        <f>4.4869 * CHOOSE(CONTROL!$C$23, $C$12, 100%, $E$12)</f>
        <v>4.4869000000000003</v>
      </c>
      <c r="F182" s="66">
        <f>4.4869 * CHOOSE(CONTROL!$C$23, $C$12, 100%, $E$12)</f>
        <v>4.4869000000000003</v>
      </c>
      <c r="G182" s="66">
        <f>4.4918 * CHOOSE(CONTROL!$C$23, $C$12, 100%, $E$12)</f>
        <v>4.4917999999999996</v>
      </c>
      <c r="H182" s="66">
        <f>8.3347* CHOOSE(CONTROL!$C$23, $C$12, 100%, $E$12)</f>
        <v>8.3346999999999998</v>
      </c>
      <c r="I182" s="66">
        <f>8.3396 * CHOOSE(CONTROL!$C$23, $C$12, 100%, $E$12)</f>
        <v>8.3396000000000008</v>
      </c>
      <c r="J182" s="66">
        <f>8.3347 * CHOOSE(CONTROL!$C$23, $C$12, 100%, $E$12)</f>
        <v>8.3346999999999998</v>
      </c>
      <c r="K182" s="66">
        <f>8.3396 * CHOOSE(CONTROL!$C$23, $C$12, 100%, $E$12)</f>
        <v>8.3396000000000008</v>
      </c>
      <c r="L182" s="66">
        <f>4.4869 * CHOOSE(CONTROL!$C$23, $C$12, 100%, $E$12)</f>
        <v>4.4869000000000003</v>
      </c>
      <c r="M182" s="66">
        <f>4.4918 * CHOOSE(CONTROL!$C$23, $C$12, 100%, $E$12)</f>
        <v>4.4917999999999996</v>
      </c>
      <c r="N182" s="66">
        <f>4.4869 * CHOOSE(CONTROL!$C$23, $C$12, 100%, $E$12)</f>
        <v>4.4869000000000003</v>
      </c>
      <c r="O182" s="66">
        <f>4.4918 * CHOOSE(CONTROL!$C$23, $C$12, 100%, $E$12)</f>
        <v>4.4917999999999996</v>
      </c>
    </row>
    <row r="183" spans="1:15" ht="15">
      <c r="A183" s="13">
        <v>46722</v>
      </c>
      <c r="B183" s="65">
        <f>3.7595 * CHOOSE(CONTROL!$C$23, $C$12, 100%, $E$12)</f>
        <v>3.7595000000000001</v>
      </c>
      <c r="C183" s="65">
        <f>3.7595 * CHOOSE(CONTROL!$C$23, $C$12, 100%, $E$12)</f>
        <v>3.7595000000000001</v>
      </c>
      <c r="D183" s="65">
        <f>3.7634 * CHOOSE(CONTROL!$C$23, $C$12, 100%, $E$12)</f>
        <v>3.7633999999999999</v>
      </c>
      <c r="E183" s="66">
        <f>4.4499 * CHOOSE(CONTROL!$C$23, $C$12, 100%, $E$12)</f>
        <v>4.4499000000000004</v>
      </c>
      <c r="F183" s="66">
        <f>4.4499 * CHOOSE(CONTROL!$C$23, $C$12, 100%, $E$12)</f>
        <v>4.4499000000000004</v>
      </c>
      <c r="G183" s="66">
        <f>4.4548 * CHOOSE(CONTROL!$C$23, $C$12, 100%, $E$12)</f>
        <v>4.4547999999999996</v>
      </c>
      <c r="H183" s="66">
        <f>8.3521* CHOOSE(CONTROL!$C$23, $C$12, 100%, $E$12)</f>
        <v>8.3521000000000001</v>
      </c>
      <c r="I183" s="66">
        <f>8.357 * CHOOSE(CONTROL!$C$23, $C$12, 100%, $E$12)</f>
        <v>8.3569999999999993</v>
      </c>
      <c r="J183" s="66">
        <f>8.3521 * CHOOSE(CONTROL!$C$23, $C$12, 100%, $E$12)</f>
        <v>8.3521000000000001</v>
      </c>
      <c r="K183" s="66">
        <f>8.357 * CHOOSE(CONTROL!$C$23, $C$12, 100%, $E$12)</f>
        <v>8.3569999999999993</v>
      </c>
      <c r="L183" s="66">
        <f>4.4499 * CHOOSE(CONTROL!$C$23, $C$12, 100%, $E$12)</f>
        <v>4.4499000000000004</v>
      </c>
      <c r="M183" s="66">
        <f>4.4548 * CHOOSE(CONTROL!$C$23, $C$12, 100%, $E$12)</f>
        <v>4.4547999999999996</v>
      </c>
      <c r="N183" s="66">
        <f>4.4499 * CHOOSE(CONTROL!$C$23, $C$12, 100%, $E$12)</f>
        <v>4.4499000000000004</v>
      </c>
      <c r="O183" s="66">
        <f>4.4548 * CHOOSE(CONTROL!$C$23, $C$12, 100%, $E$12)</f>
        <v>4.4547999999999996</v>
      </c>
    </row>
    <row r="184" spans="1:15" ht="15">
      <c r="A184" s="13">
        <v>46753</v>
      </c>
      <c r="B184" s="65">
        <f>3.7926 * CHOOSE(CONTROL!$C$23, $C$12, 100%, $E$12)</f>
        <v>3.7926000000000002</v>
      </c>
      <c r="C184" s="65">
        <f>3.7926 * CHOOSE(CONTROL!$C$23, $C$12, 100%, $E$12)</f>
        <v>3.7926000000000002</v>
      </c>
      <c r="D184" s="65">
        <f>3.7966 * CHOOSE(CONTROL!$C$23, $C$12, 100%, $E$12)</f>
        <v>3.7966000000000002</v>
      </c>
      <c r="E184" s="66">
        <f>4.5119 * CHOOSE(CONTROL!$C$23, $C$12, 100%, $E$12)</f>
        <v>4.5118999999999998</v>
      </c>
      <c r="F184" s="66">
        <f>4.5119 * CHOOSE(CONTROL!$C$23, $C$12, 100%, $E$12)</f>
        <v>4.5118999999999998</v>
      </c>
      <c r="G184" s="66">
        <f>4.5168 * CHOOSE(CONTROL!$C$23, $C$12, 100%, $E$12)</f>
        <v>4.5167999999999999</v>
      </c>
      <c r="H184" s="66">
        <f>8.3695* CHOOSE(CONTROL!$C$23, $C$12, 100%, $E$12)</f>
        <v>8.3695000000000004</v>
      </c>
      <c r="I184" s="66">
        <f>8.3744 * CHOOSE(CONTROL!$C$23, $C$12, 100%, $E$12)</f>
        <v>8.3743999999999996</v>
      </c>
      <c r="J184" s="66">
        <f>8.3695 * CHOOSE(CONTROL!$C$23, $C$12, 100%, $E$12)</f>
        <v>8.3695000000000004</v>
      </c>
      <c r="K184" s="66">
        <f>8.3744 * CHOOSE(CONTROL!$C$23, $C$12, 100%, $E$12)</f>
        <v>8.3743999999999996</v>
      </c>
      <c r="L184" s="66">
        <f>4.5119 * CHOOSE(CONTROL!$C$23, $C$12, 100%, $E$12)</f>
        <v>4.5118999999999998</v>
      </c>
      <c r="M184" s="66">
        <f>4.5168 * CHOOSE(CONTROL!$C$23, $C$12, 100%, $E$12)</f>
        <v>4.5167999999999999</v>
      </c>
      <c r="N184" s="66">
        <f>4.5119 * CHOOSE(CONTROL!$C$23, $C$12, 100%, $E$12)</f>
        <v>4.5118999999999998</v>
      </c>
      <c r="O184" s="66">
        <f>4.5168 * CHOOSE(CONTROL!$C$23, $C$12, 100%, $E$12)</f>
        <v>4.5167999999999999</v>
      </c>
    </row>
    <row r="185" spans="1:15" ht="15">
      <c r="A185" s="13">
        <v>46784</v>
      </c>
      <c r="B185" s="65">
        <f>3.7896 * CHOOSE(CONTROL!$C$23, $C$12, 100%, $E$12)</f>
        <v>3.7896000000000001</v>
      </c>
      <c r="C185" s="65">
        <f>3.7896 * CHOOSE(CONTROL!$C$23, $C$12, 100%, $E$12)</f>
        <v>3.7896000000000001</v>
      </c>
      <c r="D185" s="65">
        <f>3.7936 * CHOOSE(CONTROL!$C$23, $C$12, 100%, $E$12)</f>
        <v>3.7936000000000001</v>
      </c>
      <c r="E185" s="66">
        <f>4.438 * CHOOSE(CONTROL!$C$23, $C$12, 100%, $E$12)</f>
        <v>4.4379999999999997</v>
      </c>
      <c r="F185" s="66">
        <f>4.438 * CHOOSE(CONTROL!$C$23, $C$12, 100%, $E$12)</f>
        <v>4.4379999999999997</v>
      </c>
      <c r="G185" s="66">
        <f>4.4429 * CHOOSE(CONTROL!$C$23, $C$12, 100%, $E$12)</f>
        <v>4.4428999999999998</v>
      </c>
      <c r="H185" s="66">
        <f>8.3869* CHOOSE(CONTROL!$C$23, $C$12, 100%, $E$12)</f>
        <v>8.3869000000000007</v>
      </c>
      <c r="I185" s="66">
        <f>8.3918 * CHOOSE(CONTROL!$C$23, $C$12, 100%, $E$12)</f>
        <v>8.3917999999999999</v>
      </c>
      <c r="J185" s="66">
        <f>8.3869 * CHOOSE(CONTROL!$C$23, $C$12, 100%, $E$12)</f>
        <v>8.3869000000000007</v>
      </c>
      <c r="K185" s="66">
        <f>8.3918 * CHOOSE(CONTROL!$C$23, $C$12, 100%, $E$12)</f>
        <v>8.3917999999999999</v>
      </c>
      <c r="L185" s="66">
        <f>4.438 * CHOOSE(CONTROL!$C$23, $C$12, 100%, $E$12)</f>
        <v>4.4379999999999997</v>
      </c>
      <c r="M185" s="66">
        <f>4.4429 * CHOOSE(CONTROL!$C$23, $C$12, 100%, $E$12)</f>
        <v>4.4428999999999998</v>
      </c>
      <c r="N185" s="66">
        <f>4.438 * CHOOSE(CONTROL!$C$23, $C$12, 100%, $E$12)</f>
        <v>4.4379999999999997</v>
      </c>
      <c r="O185" s="66">
        <f>4.4429 * CHOOSE(CONTROL!$C$23, $C$12, 100%, $E$12)</f>
        <v>4.4428999999999998</v>
      </c>
    </row>
    <row r="186" spans="1:15" ht="15">
      <c r="A186" s="13">
        <v>46813</v>
      </c>
      <c r="B186" s="65">
        <f>3.7865 * CHOOSE(CONTROL!$C$23, $C$12, 100%, $E$12)</f>
        <v>3.7865000000000002</v>
      </c>
      <c r="C186" s="65">
        <f>3.7865 * CHOOSE(CONTROL!$C$23, $C$12, 100%, $E$12)</f>
        <v>3.7865000000000002</v>
      </c>
      <c r="D186" s="65">
        <f>3.7905 * CHOOSE(CONTROL!$C$23, $C$12, 100%, $E$12)</f>
        <v>3.7905000000000002</v>
      </c>
      <c r="E186" s="66">
        <f>4.4925 * CHOOSE(CONTROL!$C$23, $C$12, 100%, $E$12)</f>
        <v>4.4924999999999997</v>
      </c>
      <c r="F186" s="66">
        <f>4.4925 * CHOOSE(CONTROL!$C$23, $C$12, 100%, $E$12)</f>
        <v>4.4924999999999997</v>
      </c>
      <c r="G186" s="66">
        <f>4.4974 * CHOOSE(CONTROL!$C$23, $C$12, 100%, $E$12)</f>
        <v>4.4973999999999998</v>
      </c>
      <c r="H186" s="66">
        <f>8.4044* CHOOSE(CONTROL!$C$23, $C$12, 100%, $E$12)</f>
        <v>8.4044000000000008</v>
      </c>
      <c r="I186" s="66">
        <f>8.4093 * CHOOSE(CONTROL!$C$23, $C$12, 100%, $E$12)</f>
        <v>8.4093</v>
      </c>
      <c r="J186" s="66">
        <f>8.4044 * CHOOSE(CONTROL!$C$23, $C$12, 100%, $E$12)</f>
        <v>8.4044000000000008</v>
      </c>
      <c r="K186" s="66">
        <f>8.4093 * CHOOSE(CONTROL!$C$23, $C$12, 100%, $E$12)</f>
        <v>8.4093</v>
      </c>
      <c r="L186" s="66">
        <f>4.4925 * CHOOSE(CONTROL!$C$23, $C$12, 100%, $E$12)</f>
        <v>4.4924999999999997</v>
      </c>
      <c r="M186" s="66">
        <f>4.4974 * CHOOSE(CONTROL!$C$23, $C$12, 100%, $E$12)</f>
        <v>4.4973999999999998</v>
      </c>
      <c r="N186" s="66">
        <f>4.4925 * CHOOSE(CONTROL!$C$23, $C$12, 100%, $E$12)</f>
        <v>4.4924999999999997</v>
      </c>
      <c r="O186" s="66">
        <f>4.4974 * CHOOSE(CONTROL!$C$23, $C$12, 100%, $E$12)</f>
        <v>4.4973999999999998</v>
      </c>
    </row>
    <row r="187" spans="1:15" ht="15">
      <c r="A187" s="13">
        <v>46844</v>
      </c>
      <c r="B187" s="65">
        <f>3.7839 * CHOOSE(CONTROL!$C$23, $C$12, 100%, $E$12)</f>
        <v>3.7839</v>
      </c>
      <c r="C187" s="65">
        <f>3.7839 * CHOOSE(CONTROL!$C$23, $C$12, 100%, $E$12)</f>
        <v>3.7839</v>
      </c>
      <c r="D187" s="65">
        <f>3.7879 * CHOOSE(CONTROL!$C$23, $C$12, 100%, $E$12)</f>
        <v>3.7879</v>
      </c>
      <c r="E187" s="66">
        <f>4.549 * CHOOSE(CONTROL!$C$23, $C$12, 100%, $E$12)</f>
        <v>4.5490000000000004</v>
      </c>
      <c r="F187" s="66">
        <f>4.549 * CHOOSE(CONTROL!$C$23, $C$12, 100%, $E$12)</f>
        <v>4.5490000000000004</v>
      </c>
      <c r="G187" s="66">
        <f>4.5539 * CHOOSE(CONTROL!$C$23, $C$12, 100%, $E$12)</f>
        <v>4.5538999999999996</v>
      </c>
      <c r="H187" s="66">
        <f>8.4219* CHOOSE(CONTROL!$C$23, $C$12, 100%, $E$12)</f>
        <v>8.4219000000000008</v>
      </c>
      <c r="I187" s="66">
        <f>8.4268 * CHOOSE(CONTROL!$C$23, $C$12, 100%, $E$12)</f>
        <v>8.4268000000000001</v>
      </c>
      <c r="J187" s="66">
        <f>8.4219 * CHOOSE(CONTROL!$C$23, $C$12, 100%, $E$12)</f>
        <v>8.4219000000000008</v>
      </c>
      <c r="K187" s="66">
        <f>8.4268 * CHOOSE(CONTROL!$C$23, $C$12, 100%, $E$12)</f>
        <v>8.4268000000000001</v>
      </c>
      <c r="L187" s="66">
        <f>4.549 * CHOOSE(CONTROL!$C$23, $C$12, 100%, $E$12)</f>
        <v>4.5490000000000004</v>
      </c>
      <c r="M187" s="66">
        <f>4.5539 * CHOOSE(CONTROL!$C$23, $C$12, 100%, $E$12)</f>
        <v>4.5538999999999996</v>
      </c>
      <c r="N187" s="66">
        <f>4.549 * CHOOSE(CONTROL!$C$23, $C$12, 100%, $E$12)</f>
        <v>4.5490000000000004</v>
      </c>
      <c r="O187" s="66">
        <f>4.5539 * CHOOSE(CONTROL!$C$23, $C$12, 100%, $E$12)</f>
        <v>4.5538999999999996</v>
      </c>
    </row>
    <row r="188" spans="1:15" ht="15">
      <c r="A188" s="13">
        <v>46874</v>
      </c>
      <c r="B188" s="65">
        <f>3.7839 * CHOOSE(CONTROL!$C$23, $C$12, 100%, $E$12)</f>
        <v>3.7839</v>
      </c>
      <c r="C188" s="65">
        <f>3.7839 * CHOOSE(CONTROL!$C$23, $C$12, 100%, $E$12)</f>
        <v>3.7839</v>
      </c>
      <c r="D188" s="65">
        <f>3.7896 * CHOOSE(CONTROL!$C$23, $C$12, 100%, $E$12)</f>
        <v>3.7896000000000001</v>
      </c>
      <c r="E188" s="66">
        <f>4.5718 * CHOOSE(CONTROL!$C$23, $C$12, 100%, $E$12)</f>
        <v>4.5717999999999996</v>
      </c>
      <c r="F188" s="66">
        <f>4.5718 * CHOOSE(CONTROL!$C$23, $C$12, 100%, $E$12)</f>
        <v>4.5717999999999996</v>
      </c>
      <c r="G188" s="66">
        <f>4.5787 * CHOOSE(CONTROL!$C$23, $C$12, 100%, $E$12)</f>
        <v>4.5787000000000004</v>
      </c>
      <c r="H188" s="66">
        <f>8.4394* CHOOSE(CONTROL!$C$23, $C$12, 100%, $E$12)</f>
        <v>8.4393999999999991</v>
      </c>
      <c r="I188" s="66">
        <f>8.4463 * CHOOSE(CONTROL!$C$23, $C$12, 100%, $E$12)</f>
        <v>8.4463000000000008</v>
      </c>
      <c r="J188" s="66">
        <f>8.4394 * CHOOSE(CONTROL!$C$23, $C$12, 100%, $E$12)</f>
        <v>8.4393999999999991</v>
      </c>
      <c r="K188" s="66">
        <f>8.4463 * CHOOSE(CONTROL!$C$23, $C$12, 100%, $E$12)</f>
        <v>8.4463000000000008</v>
      </c>
      <c r="L188" s="66">
        <f>4.5718 * CHOOSE(CONTROL!$C$23, $C$12, 100%, $E$12)</f>
        <v>4.5717999999999996</v>
      </c>
      <c r="M188" s="66">
        <f>4.5787 * CHOOSE(CONTROL!$C$23, $C$12, 100%, $E$12)</f>
        <v>4.5787000000000004</v>
      </c>
      <c r="N188" s="66">
        <f>4.5718 * CHOOSE(CONTROL!$C$23, $C$12, 100%, $E$12)</f>
        <v>4.5717999999999996</v>
      </c>
      <c r="O188" s="66">
        <f>4.5787 * CHOOSE(CONTROL!$C$23, $C$12, 100%, $E$12)</f>
        <v>4.5787000000000004</v>
      </c>
    </row>
    <row r="189" spans="1:15" ht="15">
      <c r="A189" s="13">
        <v>46905</v>
      </c>
      <c r="B189" s="65">
        <f>3.79 * CHOOSE(CONTROL!$C$23, $C$12, 100%, $E$12)</f>
        <v>3.79</v>
      </c>
      <c r="C189" s="65">
        <f>3.79 * CHOOSE(CONTROL!$C$23, $C$12, 100%, $E$12)</f>
        <v>3.79</v>
      </c>
      <c r="D189" s="65">
        <f>3.7957 * CHOOSE(CONTROL!$C$23, $C$12, 100%, $E$12)</f>
        <v>3.7957000000000001</v>
      </c>
      <c r="E189" s="66">
        <f>4.5532 * CHOOSE(CONTROL!$C$23, $C$12, 100%, $E$12)</f>
        <v>4.5532000000000004</v>
      </c>
      <c r="F189" s="66">
        <f>4.5532 * CHOOSE(CONTROL!$C$23, $C$12, 100%, $E$12)</f>
        <v>4.5532000000000004</v>
      </c>
      <c r="G189" s="66">
        <f>4.5601 * CHOOSE(CONTROL!$C$23, $C$12, 100%, $E$12)</f>
        <v>4.5601000000000003</v>
      </c>
      <c r="H189" s="66">
        <f>8.457* CHOOSE(CONTROL!$C$23, $C$12, 100%, $E$12)</f>
        <v>8.4570000000000007</v>
      </c>
      <c r="I189" s="66">
        <f>8.4639 * CHOOSE(CONTROL!$C$23, $C$12, 100%, $E$12)</f>
        <v>8.4639000000000006</v>
      </c>
      <c r="J189" s="66">
        <f>8.457 * CHOOSE(CONTROL!$C$23, $C$12, 100%, $E$12)</f>
        <v>8.4570000000000007</v>
      </c>
      <c r="K189" s="66">
        <f>8.4639 * CHOOSE(CONTROL!$C$23, $C$12, 100%, $E$12)</f>
        <v>8.4639000000000006</v>
      </c>
      <c r="L189" s="66">
        <f>4.5532 * CHOOSE(CONTROL!$C$23, $C$12, 100%, $E$12)</f>
        <v>4.5532000000000004</v>
      </c>
      <c r="M189" s="66">
        <f>4.5601 * CHOOSE(CONTROL!$C$23, $C$12, 100%, $E$12)</f>
        <v>4.5601000000000003</v>
      </c>
      <c r="N189" s="66">
        <f>4.5532 * CHOOSE(CONTROL!$C$23, $C$12, 100%, $E$12)</f>
        <v>4.5532000000000004</v>
      </c>
      <c r="O189" s="66">
        <f>4.5601 * CHOOSE(CONTROL!$C$23, $C$12, 100%, $E$12)</f>
        <v>4.5601000000000003</v>
      </c>
    </row>
    <row r="190" spans="1:15" ht="15">
      <c r="A190" s="13">
        <v>46935</v>
      </c>
      <c r="B190" s="65">
        <f>3.8518 * CHOOSE(CONTROL!$C$23, $C$12, 100%, $E$12)</f>
        <v>3.8517999999999999</v>
      </c>
      <c r="C190" s="65">
        <f>3.8518 * CHOOSE(CONTROL!$C$23, $C$12, 100%, $E$12)</f>
        <v>3.8517999999999999</v>
      </c>
      <c r="D190" s="65">
        <f>3.8574 * CHOOSE(CONTROL!$C$23, $C$12, 100%, $E$12)</f>
        <v>3.8574000000000002</v>
      </c>
      <c r="E190" s="66">
        <f>4.6316 * CHOOSE(CONTROL!$C$23, $C$12, 100%, $E$12)</f>
        <v>4.6315999999999997</v>
      </c>
      <c r="F190" s="66">
        <f>4.6316 * CHOOSE(CONTROL!$C$23, $C$12, 100%, $E$12)</f>
        <v>4.6315999999999997</v>
      </c>
      <c r="G190" s="66">
        <f>4.6385 * CHOOSE(CONTROL!$C$23, $C$12, 100%, $E$12)</f>
        <v>4.6384999999999996</v>
      </c>
      <c r="H190" s="66">
        <f>8.4746* CHOOSE(CONTROL!$C$23, $C$12, 100%, $E$12)</f>
        <v>8.4746000000000006</v>
      </c>
      <c r="I190" s="66">
        <f>8.4815 * CHOOSE(CONTROL!$C$23, $C$12, 100%, $E$12)</f>
        <v>8.4815000000000005</v>
      </c>
      <c r="J190" s="66">
        <f>8.4746 * CHOOSE(CONTROL!$C$23, $C$12, 100%, $E$12)</f>
        <v>8.4746000000000006</v>
      </c>
      <c r="K190" s="66">
        <f>8.4815 * CHOOSE(CONTROL!$C$23, $C$12, 100%, $E$12)</f>
        <v>8.4815000000000005</v>
      </c>
      <c r="L190" s="66">
        <f>4.6316 * CHOOSE(CONTROL!$C$23, $C$12, 100%, $E$12)</f>
        <v>4.6315999999999997</v>
      </c>
      <c r="M190" s="66">
        <f>4.6385 * CHOOSE(CONTROL!$C$23, $C$12, 100%, $E$12)</f>
        <v>4.6384999999999996</v>
      </c>
      <c r="N190" s="66">
        <f>4.6316 * CHOOSE(CONTROL!$C$23, $C$12, 100%, $E$12)</f>
        <v>4.6315999999999997</v>
      </c>
      <c r="O190" s="66">
        <f>4.6385 * CHOOSE(CONTROL!$C$23, $C$12, 100%, $E$12)</f>
        <v>4.6384999999999996</v>
      </c>
    </row>
    <row r="191" spans="1:15" ht="15">
      <c r="A191" s="13">
        <v>46966</v>
      </c>
      <c r="B191" s="65">
        <f>3.8585 * CHOOSE(CONTROL!$C$23, $C$12, 100%, $E$12)</f>
        <v>3.8584999999999998</v>
      </c>
      <c r="C191" s="65">
        <f>3.8585 * CHOOSE(CONTROL!$C$23, $C$12, 100%, $E$12)</f>
        <v>3.8584999999999998</v>
      </c>
      <c r="D191" s="65">
        <f>3.8641 * CHOOSE(CONTROL!$C$23, $C$12, 100%, $E$12)</f>
        <v>3.8641000000000001</v>
      </c>
      <c r="E191" s="66">
        <f>4.5679 * CHOOSE(CONTROL!$C$23, $C$12, 100%, $E$12)</f>
        <v>4.5678999999999998</v>
      </c>
      <c r="F191" s="66">
        <f>4.5679 * CHOOSE(CONTROL!$C$23, $C$12, 100%, $E$12)</f>
        <v>4.5678999999999998</v>
      </c>
      <c r="G191" s="66">
        <f>4.5748 * CHOOSE(CONTROL!$C$23, $C$12, 100%, $E$12)</f>
        <v>4.5747999999999998</v>
      </c>
      <c r="H191" s="66">
        <f>8.4923* CHOOSE(CONTROL!$C$23, $C$12, 100%, $E$12)</f>
        <v>8.4923000000000002</v>
      </c>
      <c r="I191" s="66">
        <f>8.4992 * CHOOSE(CONTROL!$C$23, $C$12, 100%, $E$12)</f>
        <v>8.4992000000000001</v>
      </c>
      <c r="J191" s="66">
        <f>8.4923 * CHOOSE(CONTROL!$C$23, $C$12, 100%, $E$12)</f>
        <v>8.4923000000000002</v>
      </c>
      <c r="K191" s="66">
        <f>8.4992 * CHOOSE(CONTROL!$C$23, $C$12, 100%, $E$12)</f>
        <v>8.4992000000000001</v>
      </c>
      <c r="L191" s="66">
        <f>4.5679 * CHOOSE(CONTROL!$C$23, $C$12, 100%, $E$12)</f>
        <v>4.5678999999999998</v>
      </c>
      <c r="M191" s="66">
        <f>4.5748 * CHOOSE(CONTROL!$C$23, $C$12, 100%, $E$12)</f>
        <v>4.5747999999999998</v>
      </c>
      <c r="N191" s="66">
        <f>4.5679 * CHOOSE(CONTROL!$C$23, $C$12, 100%, $E$12)</f>
        <v>4.5678999999999998</v>
      </c>
      <c r="O191" s="66">
        <f>4.5748 * CHOOSE(CONTROL!$C$23, $C$12, 100%, $E$12)</f>
        <v>4.5747999999999998</v>
      </c>
    </row>
    <row r="192" spans="1:15" ht="15">
      <c r="A192" s="13">
        <v>46997</v>
      </c>
      <c r="B192" s="65">
        <f>3.8554 * CHOOSE(CONTROL!$C$23, $C$12, 100%, $E$12)</f>
        <v>3.8553999999999999</v>
      </c>
      <c r="C192" s="65">
        <f>3.8554 * CHOOSE(CONTROL!$C$23, $C$12, 100%, $E$12)</f>
        <v>3.8553999999999999</v>
      </c>
      <c r="D192" s="65">
        <f>3.861 * CHOOSE(CONTROL!$C$23, $C$12, 100%, $E$12)</f>
        <v>3.8610000000000002</v>
      </c>
      <c r="E192" s="66">
        <f>4.5582 * CHOOSE(CONTROL!$C$23, $C$12, 100%, $E$12)</f>
        <v>4.5582000000000003</v>
      </c>
      <c r="F192" s="66">
        <f>4.5582 * CHOOSE(CONTROL!$C$23, $C$12, 100%, $E$12)</f>
        <v>4.5582000000000003</v>
      </c>
      <c r="G192" s="66">
        <f>4.5651 * CHOOSE(CONTROL!$C$23, $C$12, 100%, $E$12)</f>
        <v>4.5651000000000002</v>
      </c>
      <c r="H192" s="66">
        <f>8.51* CHOOSE(CONTROL!$C$23, $C$12, 100%, $E$12)</f>
        <v>8.51</v>
      </c>
      <c r="I192" s="66">
        <f>8.5169 * CHOOSE(CONTROL!$C$23, $C$12, 100%, $E$12)</f>
        <v>8.5168999999999997</v>
      </c>
      <c r="J192" s="66">
        <f>8.51 * CHOOSE(CONTROL!$C$23, $C$12, 100%, $E$12)</f>
        <v>8.51</v>
      </c>
      <c r="K192" s="66">
        <f>8.5169 * CHOOSE(CONTROL!$C$23, $C$12, 100%, $E$12)</f>
        <v>8.5168999999999997</v>
      </c>
      <c r="L192" s="66">
        <f>4.5582 * CHOOSE(CONTROL!$C$23, $C$12, 100%, $E$12)</f>
        <v>4.5582000000000003</v>
      </c>
      <c r="M192" s="66">
        <f>4.5651 * CHOOSE(CONTROL!$C$23, $C$12, 100%, $E$12)</f>
        <v>4.5651000000000002</v>
      </c>
      <c r="N192" s="66">
        <f>4.5582 * CHOOSE(CONTROL!$C$23, $C$12, 100%, $E$12)</f>
        <v>4.5582000000000003</v>
      </c>
      <c r="O192" s="66">
        <f>4.5651 * CHOOSE(CONTROL!$C$23, $C$12, 100%, $E$12)</f>
        <v>4.5651000000000002</v>
      </c>
    </row>
    <row r="193" spans="1:15" ht="15">
      <c r="A193" s="13">
        <v>47027</v>
      </c>
      <c r="B193" s="65">
        <f>3.8498 * CHOOSE(CONTROL!$C$23, $C$12, 100%, $E$12)</f>
        <v>3.8498000000000001</v>
      </c>
      <c r="C193" s="65">
        <f>3.8498 * CHOOSE(CONTROL!$C$23, $C$12, 100%, $E$12)</f>
        <v>3.8498000000000001</v>
      </c>
      <c r="D193" s="65">
        <f>3.8538 * CHOOSE(CONTROL!$C$23, $C$12, 100%, $E$12)</f>
        <v>3.8538000000000001</v>
      </c>
      <c r="E193" s="66">
        <f>4.5751 * CHOOSE(CONTROL!$C$23, $C$12, 100%, $E$12)</f>
        <v>4.5750999999999999</v>
      </c>
      <c r="F193" s="66">
        <f>4.5751 * CHOOSE(CONTROL!$C$23, $C$12, 100%, $E$12)</f>
        <v>4.5750999999999999</v>
      </c>
      <c r="G193" s="66">
        <f>4.5801 * CHOOSE(CONTROL!$C$23, $C$12, 100%, $E$12)</f>
        <v>4.5800999999999998</v>
      </c>
      <c r="H193" s="66">
        <f>8.5277* CHOOSE(CONTROL!$C$23, $C$12, 100%, $E$12)</f>
        <v>8.5276999999999994</v>
      </c>
      <c r="I193" s="66">
        <f>8.5326 * CHOOSE(CONTROL!$C$23, $C$12, 100%, $E$12)</f>
        <v>8.5326000000000004</v>
      </c>
      <c r="J193" s="66">
        <f>8.5277 * CHOOSE(CONTROL!$C$23, $C$12, 100%, $E$12)</f>
        <v>8.5276999999999994</v>
      </c>
      <c r="K193" s="66">
        <f>8.5326 * CHOOSE(CONTROL!$C$23, $C$12, 100%, $E$12)</f>
        <v>8.5326000000000004</v>
      </c>
      <c r="L193" s="66">
        <f>4.5751 * CHOOSE(CONTROL!$C$23, $C$12, 100%, $E$12)</f>
        <v>4.5750999999999999</v>
      </c>
      <c r="M193" s="66">
        <f>4.5801 * CHOOSE(CONTROL!$C$23, $C$12, 100%, $E$12)</f>
        <v>4.5800999999999998</v>
      </c>
      <c r="N193" s="66">
        <f>4.5751 * CHOOSE(CONTROL!$C$23, $C$12, 100%, $E$12)</f>
        <v>4.5750999999999999</v>
      </c>
      <c r="O193" s="66">
        <f>4.5801 * CHOOSE(CONTROL!$C$23, $C$12, 100%, $E$12)</f>
        <v>4.5800999999999998</v>
      </c>
    </row>
    <row r="194" spans="1:15" ht="15">
      <c r="A194" s="13">
        <v>47058</v>
      </c>
      <c r="B194" s="65">
        <f>3.8529 * CHOOSE(CONTROL!$C$23, $C$12, 100%, $E$12)</f>
        <v>3.8529</v>
      </c>
      <c r="C194" s="65">
        <f>3.8529 * CHOOSE(CONTROL!$C$23, $C$12, 100%, $E$12)</f>
        <v>3.8529</v>
      </c>
      <c r="D194" s="65">
        <f>3.8569 * CHOOSE(CONTROL!$C$23, $C$12, 100%, $E$12)</f>
        <v>3.8569</v>
      </c>
      <c r="E194" s="66">
        <f>4.5924 * CHOOSE(CONTROL!$C$23, $C$12, 100%, $E$12)</f>
        <v>4.5923999999999996</v>
      </c>
      <c r="F194" s="66">
        <f>4.5924 * CHOOSE(CONTROL!$C$23, $C$12, 100%, $E$12)</f>
        <v>4.5923999999999996</v>
      </c>
      <c r="G194" s="66">
        <f>4.5974 * CHOOSE(CONTROL!$C$23, $C$12, 100%, $E$12)</f>
        <v>4.5974000000000004</v>
      </c>
      <c r="H194" s="66">
        <f>8.5455* CHOOSE(CONTROL!$C$23, $C$12, 100%, $E$12)</f>
        <v>8.5455000000000005</v>
      </c>
      <c r="I194" s="66">
        <f>8.5504 * CHOOSE(CONTROL!$C$23, $C$12, 100%, $E$12)</f>
        <v>8.5503999999999998</v>
      </c>
      <c r="J194" s="66">
        <f>8.5455 * CHOOSE(CONTROL!$C$23, $C$12, 100%, $E$12)</f>
        <v>8.5455000000000005</v>
      </c>
      <c r="K194" s="66">
        <f>8.5504 * CHOOSE(CONTROL!$C$23, $C$12, 100%, $E$12)</f>
        <v>8.5503999999999998</v>
      </c>
      <c r="L194" s="66">
        <f>4.5924 * CHOOSE(CONTROL!$C$23, $C$12, 100%, $E$12)</f>
        <v>4.5923999999999996</v>
      </c>
      <c r="M194" s="66">
        <f>4.5974 * CHOOSE(CONTROL!$C$23, $C$12, 100%, $E$12)</f>
        <v>4.5974000000000004</v>
      </c>
      <c r="N194" s="66">
        <f>4.5924 * CHOOSE(CONTROL!$C$23, $C$12, 100%, $E$12)</f>
        <v>4.5923999999999996</v>
      </c>
      <c r="O194" s="66">
        <f>4.5974 * CHOOSE(CONTROL!$C$23, $C$12, 100%, $E$12)</f>
        <v>4.5974000000000004</v>
      </c>
    </row>
    <row r="195" spans="1:15" ht="15">
      <c r="A195" s="13">
        <v>47088</v>
      </c>
      <c r="B195" s="65">
        <f>3.8529 * CHOOSE(CONTROL!$C$23, $C$12, 100%, $E$12)</f>
        <v>3.8529</v>
      </c>
      <c r="C195" s="65">
        <f>3.8529 * CHOOSE(CONTROL!$C$23, $C$12, 100%, $E$12)</f>
        <v>3.8529</v>
      </c>
      <c r="D195" s="65">
        <f>3.8569 * CHOOSE(CONTROL!$C$23, $C$12, 100%, $E$12)</f>
        <v>3.8569</v>
      </c>
      <c r="E195" s="66">
        <f>4.5545 * CHOOSE(CONTROL!$C$23, $C$12, 100%, $E$12)</f>
        <v>4.5545</v>
      </c>
      <c r="F195" s="66">
        <f>4.5545 * CHOOSE(CONTROL!$C$23, $C$12, 100%, $E$12)</f>
        <v>4.5545</v>
      </c>
      <c r="G195" s="66">
        <f>4.5594 * CHOOSE(CONTROL!$C$23, $C$12, 100%, $E$12)</f>
        <v>4.5594000000000001</v>
      </c>
      <c r="H195" s="66">
        <f>8.5633* CHOOSE(CONTROL!$C$23, $C$12, 100%, $E$12)</f>
        <v>8.5632999999999999</v>
      </c>
      <c r="I195" s="66">
        <f>8.5682 * CHOOSE(CONTROL!$C$23, $C$12, 100%, $E$12)</f>
        <v>8.5681999999999992</v>
      </c>
      <c r="J195" s="66">
        <f>8.5633 * CHOOSE(CONTROL!$C$23, $C$12, 100%, $E$12)</f>
        <v>8.5632999999999999</v>
      </c>
      <c r="K195" s="66">
        <f>8.5682 * CHOOSE(CONTROL!$C$23, $C$12, 100%, $E$12)</f>
        <v>8.5681999999999992</v>
      </c>
      <c r="L195" s="66">
        <f>4.5545 * CHOOSE(CONTROL!$C$23, $C$12, 100%, $E$12)</f>
        <v>4.5545</v>
      </c>
      <c r="M195" s="66">
        <f>4.5594 * CHOOSE(CONTROL!$C$23, $C$12, 100%, $E$12)</f>
        <v>4.5594000000000001</v>
      </c>
      <c r="N195" s="66">
        <f>4.5545 * CHOOSE(CONTROL!$C$23, $C$12, 100%, $E$12)</f>
        <v>4.5545</v>
      </c>
      <c r="O195" s="66">
        <f>4.5594 * CHOOSE(CONTROL!$C$23, $C$12, 100%, $E$12)</f>
        <v>4.5594000000000001</v>
      </c>
    </row>
    <row r="196" spans="1:15" ht="15">
      <c r="A196" s="13">
        <v>47119</v>
      </c>
      <c r="B196" s="65">
        <f>3.8828 * CHOOSE(CONTROL!$C$23, $C$12, 100%, $E$12)</f>
        <v>3.8828</v>
      </c>
      <c r="C196" s="65">
        <f>3.8828 * CHOOSE(CONTROL!$C$23, $C$12, 100%, $E$12)</f>
        <v>3.8828</v>
      </c>
      <c r="D196" s="65">
        <f>3.8868 * CHOOSE(CONTROL!$C$23, $C$12, 100%, $E$12)</f>
        <v>3.8868</v>
      </c>
      <c r="E196" s="66">
        <f>4.6181 * CHOOSE(CONTROL!$C$23, $C$12, 100%, $E$12)</f>
        <v>4.6181000000000001</v>
      </c>
      <c r="F196" s="66">
        <f>4.6181 * CHOOSE(CONTROL!$C$23, $C$12, 100%, $E$12)</f>
        <v>4.6181000000000001</v>
      </c>
      <c r="G196" s="66">
        <f>4.623 * CHOOSE(CONTROL!$C$23, $C$12, 100%, $E$12)</f>
        <v>4.6230000000000002</v>
      </c>
      <c r="H196" s="66">
        <f>8.5811* CHOOSE(CONTROL!$C$23, $C$12, 100%, $E$12)</f>
        <v>8.5810999999999993</v>
      </c>
      <c r="I196" s="66">
        <f>8.586 * CHOOSE(CONTROL!$C$23, $C$12, 100%, $E$12)</f>
        <v>8.5860000000000003</v>
      </c>
      <c r="J196" s="66">
        <f>8.5811 * CHOOSE(CONTROL!$C$23, $C$12, 100%, $E$12)</f>
        <v>8.5810999999999993</v>
      </c>
      <c r="K196" s="66">
        <f>8.586 * CHOOSE(CONTROL!$C$23, $C$12, 100%, $E$12)</f>
        <v>8.5860000000000003</v>
      </c>
      <c r="L196" s="66">
        <f>4.6181 * CHOOSE(CONTROL!$C$23, $C$12, 100%, $E$12)</f>
        <v>4.6181000000000001</v>
      </c>
      <c r="M196" s="66">
        <f>4.623 * CHOOSE(CONTROL!$C$23, $C$12, 100%, $E$12)</f>
        <v>4.6230000000000002</v>
      </c>
      <c r="N196" s="66">
        <f>4.6181 * CHOOSE(CONTROL!$C$23, $C$12, 100%, $E$12)</f>
        <v>4.6181000000000001</v>
      </c>
      <c r="O196" s="66">
        <f>4.623 * CHOOSE(CONTROL!$C$23, $C$12, 100%, $E$12)</f>
        <v>4.6230000000000002</v>
      </c>
    </row>
    <row r="197" spans="1:15" ht="15">
      <c r="A197" s="13">
        <v>47150</v>
      </c>
      <c r="B197" s="65">
        <f>3.8798 * CHOOSE(CONTROL!$C$23, $C$12, 100%, $E$12)</f>
        <v>3.8797999999999999</v>
      </c>
      <c r="C197" s="65">
        <f>3.8798 * CHOOSE(CONTROL!$C$23, $C$12, 100%, $E$12)</f>
        <v>3.8797999999999999</v>
      </c>
      <c r="D197" s="65">
        <f>3.8838 * CHOOSE(CONTROL!$C$23, $C$12, 100%, $E$12)</f>
        <v>3.8837999999999999</v>
      </c>
      <c r="E197" s="66">
        <f>4.5424 * CHOOSE(CONTROL!$C$23, $C$12, 100%, $E$12)</f>
        <v>4.5423999999999998</v>
      </c>
      <c r="F197" s="66">
        <f>4.5424 * CHOOSE(CONTROL!$C$23, $C$12, 100%, $E$12)</f>
        <v>4.5423999999999998</v>
      </c>
      <c r="G197" s="66">
        <f>4.5473 * CHOOSE(CONTROL!$C$23, $C$12, 100%, $E$12)</f>
        <v>4.5472999999999999</v>
      </c>
      <c r="H197" s="66">
        <f>8.599* CHOOSE(CONTROL!$C$23, $C$12, 100%, $E$12)</f>
        <v>8.5990000000000002</v>
      </c>
      <c r="I197" s="66">
        <f>8.6039 * CHOOSE(CONTROL!$C$23, $C$12, 100%, $E$12)</f>
        <v>8.6038999999999994</v>
      </c>
      <c r="J197" s="66">
        <f>8.599 * CHOOSE(CONTROL!$C$23, $C$12, 100%, $E$12)</f>
        <v>8.5990000000000002</v>
      </c>
      <c r="K197" s="66">
        <f>8.6039 * CHOOSE(CONTROL!$C$23, $C$12, 100%, $E$12)</f>
        <v>8.6038999999999994</v>
      </c>
      <c r="L197" s="66">
        <f>4.5424 * CHOOSE(CONTROL!$C$23, $C$12, 100%, $E$12)</f>
        <v>4.5423999999999998</v>
      </c>
      <c r="M197" s="66">
        <f>4.5473 * CHOOSE(CONTROL!$C$23, $C$12, 100%, $E$12)</f>
        <v>4.5472999999999999</v>
      </c>
      <c r="N197" s="66">
        <f>4.5424 * CHOOSE(CONTROL!$C$23, $C$12, 100%, $E$12)</f>
        <v>4.5423999999999998</v>
      </c>
      <c r="O197" s="66">
        <f>4.5473 * CHOOSE(CONTROL!$C$23, $C$12, 100%, $E$12)</f>
        <v>4.5472999999999999</v>
      </c>
    </row>
    <row r="198" spans="1:15" ht="15">
      <c r="A198" s="13">
        <v>47178</v>
      </c>
      <c r="B198" s="65">
        <f>3.8767 * CHOOSE(CONTROL!$C$23, $C$12, 100%, $E$12)</f>
        <v>3.8767</v>
      </c>
      <c r="C198" s="65">
        <f>3.8767 * CHOOSE(CONTROL!$C$23, $C$12, 100%, $E$12)</f>
        <v>3.8767</v>
      </c>
      <c r="D198" s="65">
        <f>3.8807 * CHOOSE(CONTROL!$C$23, $C$12, 100%, $E$12)</f>
        <v>3.8807</v>
      </c>
      <c r="E198" s="66">
        <f>4.5983 * CHOOSE(CONTROL!$C$23, $C$12, 100%, $E$12)</f>
        <v>4.5983000000000001</v>
      </c>
      <c r="F198" s="66">
        <f>4.5983 * CHOOSE(CONTROL!$C$23, $C$12, 100%, $E$12)</f>
        <v>4.5983000000000001</v>
      </c>
      <c r="G198" s="66">
        <f>4.6032 * CHOOSE(CONTROL!$C$23, $C$12, 100%, $E$12)</f>
        <v>4.6032000000000002</v>
      </c>
      <c r="H198" s="66">
        <f>8.6169* CHOOSE(CONTROL!$C$23, $C$12, 100%, $E$12)</f>
        <v>8.6168999999999993</v>
      </c>
      <c r="I198" s="66">
        <f>8.6218 * CHOOSE(CONTROL!$C$23, $C$12, 100%, $E$12)</f>
        <v>8.6218000000000004</v>
      </c>
      <c r="J198" s="66">
        <f>8.6169 * CHOOSE(CONTROL!$C$23, $C$12, 100%, $E$12)</f>
        <v>8.6168999999999993</v>
      </c>
      <c r="K198" s="66">
        <f>8.6218 * CHOOSE(CONTROL!$C$23, $C$12, 100%, $E$12)</f>
        <v>8.6218000000000004</v>
      </c>
      <c r="L198" s="66">
        <f>4.5983 * CHOOSE(CONTROL!$C$23, $C$12, 100%, $E$12)</f>
        <v>4.5983000000000001</v>
      </c>
      <c r="M198" s="66">
        <f>4.6032 * CHOOSE(CONTROL!$C$23, $C$12, 100%, $E$12)</f>
        <v>4.6032000000000002</v>
      </c>
      <c r="N198" s="66">
        <f>4.5983 * CHOOSE(CONTROL!$C$23, $C$12, 100%, $E$12)</f>
        <v>4.5983000000000001</v>
      </c>
      <c r="O198" s="66">
        <f>4.6032 * CHOOSE(CONTROL!$C$23, $C$12, 100%, $E$12)</f>
        <v>4.6032000000000002</v>
      </c>
    </row>
    <row r="199" spans="1:15" ht="15">
      <c r="A199" s="13">
        <v>47209</v>
      </c>
      <c r="B199" s="65">
        <f>3.8743 * CHOOSE(CONTROL!$C$23, $C$12, 100%, $E$12)</f>
        <v>3.8742999999999999</v>
      </c>
      <c r="C199" s="65">
        <f>3.8743 * CHOOSE(CONTROL!$C$23, $C$12, 100%, $E$12)</f>
        <v>3.8742999999999999</v>
      </c>
      <c r="D199" s="65">
        <f>3.8783 * CHOOSE(CONTROL!$C$23, $C$12, 100%, $E$12)</f>
        <v>3.8782999999999999</v>
      </c>
      <c r="E199" s="66">
        <f>4.6563 * CHOOSE(CONTROL!$C$23, $C$12, 100%, $E$12)</f>
        <v>4.6562999999999999</v>
      </c>
      <c r="F199" s="66">
        <f>4.6563 * CHOOSE(CONTROL!$C$23, $C$12, 100%, $E$12)</f>
        <v>4.6562999999999999</v>
      </c>
      <c r="G199" s="66">
        <f>4.6613 * CHOOSE(CONTROL!$C$23, $C$12, 100%, $E$12)</f>
        <v>4.6612999999999998</v>
      </c>
      <c r="H199" s="66">
        <f>8.6348* CHOOSE(CONTROL!$C$23, $C$12, 100%, $E$12)</f>
        <v>8.6348000000000003</v>
      </c>
      <c r="I199" s="66">
        <f>8.6398 * CHOOSE(CONTROL!$C$23, $C$12, 100%, $E$12)</f>
        <v>8.6397999999999993</v>
      </c>
      <c r="J199" s="66">
        <f>8.6348 * CHOOSE(CONTROL!$C$23, $C$12, 100%, $E$12)</f>
        <v>8.6348000000000003</v>
      </c>
      <c r="K199" s="66">
        <f>8.6398 * CHOOSE(CONTROL!$C$23, $C$12, 100%, $E$12)</f>
        <v>8.6397999999999993</v>
      </c>
      <c r="L199" s="66">
        <f>4.6563 * CHOOSE(CONTROL!$C$23, $C$12, 100%, $E$12)</f>
        <v>4.6562999999999999</v>
      </c>
      <c r="M199" s="66">
        <f>4.6613 * CHOOSE(CONTROL!$C$23, $C$12, 100%, $E$12)</f>
        <v>4.6612999999999998</v>
      </c>
      <c r="N199" s="66">
        <f>4.6563 * CHOOSE(CONTROL!$C$23, $C$12, 100%, $E$12)</f>
        <v>4.6562999999999999</v>
      </c>
      <c r="O199" s="66">
        <f>4.6613 * CHOOSE(CONTROL!$C$23, $C$12, 100%, $E$12)</f>
        <v>4.6612999999999998</v>
      </c>
    </row>
    <row r="200" spans="1:15" ht="15">
      <c r="A200" s="13">
        <v>47239</v>
      </c>
      <c r="B200" s="65">
        <f>3.8743 * CHOOSE(CONTROL!$C$23, $C$12, 100%, $E$12)</f>
        <v>3.8742999999999999</v>
      </c>
      <c r="C200" s="65">
        <f>3.8743 * CHOOSE(CONTROL!$C$23, $C$12, 100%, $E$12)</f>
        <v>3.8742999999999999</v>
      </c>
      <c r="D200" s="65">
        <f>3.8799 * CHOOSE(CONTROL!$C$23, $C$12, 100%, $E$12)</f>
        <v>3.8799000000000001</v>
      </c>
      <c r="E200" s="66">
        <f>4.6797 * CHOOSE(CONTROL!$C$23, $C$12, 100%, $E$12)</f>
        <v>4.6797000000000004</v>
      </c>
      <c r="F200" s="66">
        <f>4.6797 * CHOOSE(CONTROL!$C$23, $C$12, 100%, $E$12)</f>
        <v>4.6797000000000004</v>
      </c>
      <c r="G200" s="66">
        <f>4.6866 * CHOOSE(CONTROL!$C$23, $C$12, 100%, $E$12)</f>
        <v>4.6866000000000003</v>
      </c>
      <c r="H200" s="66">
        <f>8.6528* CHOOSE(CONTROL!$C$23, $C$12, 100%, $E$12)</f>
        <v>8.6527999999999992</v>
      </c>
      <c r="I200" s="66">
        <f>8.6597 * CHOOSE(CONTROL!$C$23, $C$12, 100%, $E$12)</f>
        <v>8.6597000000000008</v>
      </c>
      <c r="J200" s="66">
        <f>8.6528 * CHOOSE(CONTROL!$C$23, $C$12, 100%, $E$12)</f>
        <v>8.6527999999999992</v>
      </c>
      <c r="K200" s="66">
        <f>8.6597 * CHOOSE(CONTROL!$C$23, $C$12, 100%, $E$12)</f>
        <v>8.6597000000000008</v>
      </c>
      <c r="L200" s="66">
        <f>4.6797 * CHOOSE(CONTROL!$C$23, $C$12, 100%, $E$12)</f>
        <v>4.6797000000000004</v>
      </c>
      <c r="M200" s="66">
        <f>4.6866 * CHOOSE(CONTROL!$C$23, $C$12, 100%, $E$12)</f>
        <v>4.6866000000000003</v>
      </c>
      <c r="N200" s="66">
        <f>4.6797 * CHOOSE(CONTROL!$C$23, $C$12, 100%, $E$12)</f>
        <v>4.6797000000000004</v>
      </c>
      <c r="O200" s="66">
        <f>4.6866 * CHOOSE(CONTROL!$C$23, $C$12, 100%, $E$12)</f>
        <v>4.6866000000000003</v>
      </c>
    </row>
    <row r="201" spans="1:15" ht="15">
      <c r="A201" s="13">
        <v>47270</v>
      </c>
      <c r="B201" s="65">
        <f>3.8803 * CHOOSE(CONTROL!$C$23, $C$12, 100%, $E$12)</f>
        <v>3.8803000000000001</v>
      </c>
      <c r="C201" s="65">
        <f>3.8803 * CHOOSE(CONTROL!$C$23, $C$12, 100%, $E$12)</f>
        <v>3.8803000000000001</v>
      </c>
      <c r="D201" s="65">
        <f>3.886 * CHOOSE(CONTROL!$C$23, $C$12, 100%, $E$12)</f>
        <v>3.8860000000000001</v>
      </c>
      <c r="E201" s="66">
        <f>4.6606 * CHOOSE(CONTROL!$C$23, $C$12, 100%, $E$12)</f>
        <v>4.6605999999999996</v>
      </c>
      <c r="F201" s="66">
        <f>4.6606 * CHOOSE(CONTROL!$C$23, $C$12, 100%, $E$12)</f>
        <v>4.6605999999999996</v>
      </c>
      <c r="G201" s="66">
        <f>4.6675 * CHOOSE(CONTROL!$C$23, $C$12, 100%, $E$12)</f>
        <v>4.6675000000000004</v>
      </c>
      <c r="H201" s="66">
        <f>8.6709* CHOOSE(CONTROL!$C$23, $C$12, 100%, $E$12)</f>
        <v>8.6708999999999996</v>
      </c>
      <c r="I201" s="66">
        <f>8.6778 * CHOOSE(CONTROL!$C$23, $C$12, 100%, $E$12)</f>
        <v>8.6777999999999995</v>
      </c>
      <c r="J201" s="66">
        <f>8.6709 * CHOOSE(CONTROL!$C$23, $C$12, 100%, $E$12)</f>
        <v>8.6708999999999996</v>
      </c>
      <c r="K201" s="66">
        <f>8.6778 * CHOOSE(CONTROL!$C$23, $C$12, 100%, $E$12)</f>
        <v>8.6777999999999995</v>
      </c>
      <c r="L201" s="66">
        <f>4.6606 * CHOOSE(CONTROL!$C$23, $C$12, 100%, $E$12)</f>
        <v>4.6605999999999996</v>
      </c>
      <c r="M201" s="66">
        <f>4.6675 * CHOOSE(CONTROL!$C$23, $C$12, 100%, $E$12)</f>
        <v>4.6675000000000004</v>
      </c>
      <c r="N201" s="66">
        <f>4.6606 * CHOOSE(CONTROL!$C$23, $C$12, 100%, $E$12)</f>
        <v>4.6605999999999996</v>
      </c>
      <c r="O201" s="66">
        <f>4.6675 * CHOOSE(CONTROL!$C$23, $C$12, 100%, $E$12)</f>
        <v>4.6675000000000004</v>
      </c>
    </row>
    <row r="202" spans="1:15" ht="15">
      <c r="A202" s="13">
        <v>47300</v>
      </c>
      <c r="B202" s="65">
        <f>3.9341 * CHOOSE(CONTROL!$C$23, $C$12, 100%, $E$12)</f>
        <v>3.9340999999999999</v>
      </c>
      <c r="C202" s="65">
        <f>3.9341 * CHOOSE(CONTROL!$C$23, $C$12, 100%, $E$12)</f>
        <v>3.9340999999999999</v>
      </c>
      <c r="D202" s="65">
        <f>3.9397 * CHOOSE(CONTROL!$C$23, $C$12, 100%, $E$12)</f>
        <v>3.9397000000000002</v>
      </c>
      <c r="E202" s="66">
        <f>4.7415 * CHOOSE(CONTROL!$C$23, $C$12, 100%, $E$12)</f>
        <v>4.7415000000000003</v>
      </c>
      <c r="F202" s="66">
        <f>4.7415 * CHOOSE(CONTROL!$C$23, $C$12, 100%, $E$12)</f>
        <v>4.7415000000000003</v>
      </c>
      <c r="G202" s="66">
        <f>4.7483 * CHOOSE(CONTROL!$C$23, $C$12, 100%, $E$12)</f>
        <v>4.7483000000000004</v>
      </c>
      <c r="H202" s="66">
        <f>8.6889* CHOOSE(CONTROL!$C$23, $C$12, 100%, $E$12)</f>
        <v>8.6889000000000003</v>
      </c>
      <c r="I202" s="66">
        <f>8.6958 * CHOOSE(CONTROL!$C$23, $C$12, 100%, $E$12)</f>
        <v>8.6958000000000002</v>
      </c>
      <c r="J202" s="66">
        <f>8.6889 * CHOOSE(CONTROL!$C$23, $C$12, 100%, $E$12)</f>
        <v>8.6889000000000003</v>
      </c>
      <c r="K202" s="66">
        <f>8.6958 * CHOOSE(CONTROL!$C$23, $C$12, 100%, $E$12)</f>
        <v>8.6958000000000002</v>
      </c>
      <c r="L202" s="66">
        <f>4.7415 * CHOOSE(CONTROL!$C$23, $C$12, 100%, $E$12)</f>
        <v>4.7415000000000003</v>
      </c>
      <c r="M202" s="66">
        <f>4.7483 * CHOOSE(CONTROL!$C$23, $C$12, 100%, $E$12)</f>
        <v>4.7483000000000004</v>
      </c>
      <c r="N202" s="66">
        <f>4.7415 * CHOOSE(CONTROL!$C$23, $C$12, 100%, $E$12)</f>
        <v>4.7415000000000003</v>
      </c>
      <c r="O202" s="66">
        <f>4.7483 * CHOOSE(CONTROL!$C$23, $C$12, 100%, $E$12)</f>
        <v>4.7483000000000004</v>
      </c>
    </row>
    <row r="203" spans="1:15" ht="15">
      <c r="A203" s="13">
        <v>47331</v>
      </c>
      <c r="B203" s="65">
        <f>3.9407 * CHOOSE(CONTROL!$C$23, $C$12, 100%, $E$12)</f>
        <v>3.9407000000000001</v>
      </c>
      <c r="C203" s="65">
        <f>3.9407 * CHOOSE(CONTROL!$C$23, $C$12, 100%, $E$12)</f>
        <v>3.9407000000000001</v>
      </c>
      <c r="D203" s="65">
        <f>3.9464 * CHOOSE(CONTROL!$C$23, $C$12, 100%, $E$12)</f>
        <v>3.9464000000000001</v>
      </c>
      <c r="E203" s="66">
        <f>4.676 * CHOOSE(CONTROL!$C$23, $C$12, 100%, $E$12)</f>
        <v>4.6760000000000002</v>
      </c>
      <c r="F203" s="66">
        <f>4.676 * CHOOSE(CONTROL!$C$23, $C$12, 100%, $E$12)</f>
        <v>4.6760000000000002</v>
      </c>
      <c r="G203" s="66">
        <f>4.6829 * CHOOSE(CONTROL!$C$23, $C$12, 100%, $E$12)</f>
        <v>4.6829000000000001</v>
      </c>
      <c r="H203" s="66">
        <f>8.707* CHOOSE(CONTROL!$C$23, $C$12, 100%, $E$12)</f>
        <v>8.7070000000000007</v>
      </c>
      <c r="I203" s="66">
        <f>8.7139 * CHOOSE(CONTROL!$C$23, $C$12, 100%, $E$12)</f>
        <v>8.7139000000000006</v>
      </c>
      <c r="J203" s="66">
        <f>8.707 * CHOOSE(CONTROL!$C$23, $C$12, 100%, $E$12)</f>
        <v>8.7070000000000007</v>
      </c>
      <c r="K203" s="66">
        <f>8.7139 * CHOOSE(CONTROL!$C$23, $C$12, 100%, $E$12)</f>
        <v>8.7139000000000006</v>
      </c>
      <c r="L203" s="66">
        <f>4.676 * CHOOSE(CONTROL!$C$23, $C$12, 100%, $E$12)</f>
        <v>4.6760000000000002</v>
      </c>
      <c r="M203" s="66">
        <f>4.6829 * CHOOSE(CONTROL!$C$23, $C$12, 100%, $E$12)</f>
        <v>4.6829000000000001</v>
      </c>
      <c r="N203" s="66">
        <f>4.676 * CHOOSE(CONTROL!$C$23, $C$12, 100%, $E$12)</f>
        <v>4.6760000000000002</v>
      </c>
      <c r="O203" s="66">
        <f>4.6829 * CHOOSE(CONTROL!$C$23, $C$12, 100%, $E$12)</f>
        <v>4.6829000000000001</v>
      </c>
    </row>
    <row r="204" spans="1:15" ht="15">
      <c r="A204" s="13">
        <v>47362</v>
      </c>
      <c r="B204" s="65">
        <f>3.9377 * CHOOSE(CONTROL!$C$23, $C$12, 100%, $E$12)</f>
        <v>3.9377</v>
      </c>
      <c r="C204" s="65">
        <f>3.9377 * CHOOSE(CONTROL!$C$23, $C$12, 100%, $E$12)</f>
        <v>3.9377</v>
      </c>
      <c r="D204" s="65">
        <f>3.9433 * CHOOSE(CONTROL!$C$23, $C$12, 100%, $E$12)</f>
        <v>3.9432999999999998</v>
      </c>
      <c r="E204" s="66">
        <f>4.6661 * CHOOSE(CONTROL!$C$23, $C$12, 100%, $E$12)</f>
        <v>4.6661000000000001</v>
      </c>
      <c r="F204" s="66">
        <f>4.6661 * CHOOSE(CONTROL!$C$23, $C$12, 100%, $E$12)</f>
        <v>4.6661000000000001</v>
      </c>
      <c r="G204" s="66">
        <f>4.673 * CHOOSE(CONTROL!$C$23, $C$12, 100%, $E$12)</f>
        <v>4.673</v>
      </c>
      <c r="H204" s="66">
        <f>8.7252* CHOOSE(CONTROL!$C$23, $C$12, 100%, $E$12)</f>
        <v>8.7251999999999992</v>
      </c>
      <c r="I204" s="66">
        <f>8.7321 * CHOOSE(CONTROL!$C$23, $C$12, 100%, $E$12)</f>
        <v>8.7321000000000009</v>
      </c>
      <c r="J204" s="66">
        <f>8.7252 * CHOOSE(CONTROL!$C$23, $C$12, 100%, $E$12)</f>
        <v>8.7251999999999992</v>
      </c>
      <c r="K204" s="66">
        <f>8.7321 * CHOOSE(CONTROL!$C$23, $C$12, 100%, $E$12)</f>
        <v>8.7321000000000009</v>
      </c>
      <c r="L204" s="66">
        <f>4.6661 * CHOOSE(CONTROL!$C$23, $C$12, 100%, $E$12)</f>
        <v>4.6661000000000001</v>
      </c>
      <c r="M204" s="66">
        <f>4.673 * CHOOSE(CONTROL!$C$23, $C$12, 100%, $E$12)</f>
        <v>4.673</v>
      </c>
      <c r="N204" s="66">
        <f>4.6661 * CHOOSE(CONTROL!$C$23, $C$12, 100%, $E$12)</f>
        <v>4.6661000000000001</v>
      </c>
      <c r="O204" s="66">
        <f>4.673 * CHOOSE(CONTROL!$C$23, $C$12, 100%, $E$12)</f>
        <v>4.673</v>
      </c>
    </row>
    <row r="205" spans="1:15" ht="15">
      <c r="A205" s="13">
        <v>47392</v>
      </c>
      <c r="B205" s="65">
        <f>3.9325 * CHOOSE(CONTROL!$C$23, $C$12, 100%, $E$12)</f>
        <v>3.9325000000000001</v>
      </c>
      <c r="C205" s="65">
        <f>3.9325 * CHOOSE(CONTROL!$C$23, $C$12, 100%, $E$12)</f>
        <v>3.9325000000000001</v>
      </c>
      <c r="D205" s="65">
        <f>3.9365 * CHOOSE(CONTROL!$C$23, $C$12, 100%, $E$12)</f>
        <v>3.9365000000000001</v>
      </c>
      <c r="E205" s="66">
        <f>4.6838 * CHOOSE(CONTROL!$C$23, $C$12, 100%, $E$12)</f>
        <v>4.6837999999999997</v>
      </c>
      <c r="F205" s="66">
        <f>4.6838 * CHOOSE(CONTROL!$C$23, $C$12, 100%, $E$12)</f>
        <v>4.6837999999999997</v>
      </c>
      <c r="G205" s="66">
        <f>4.6888 * CHOOSE(CONTROL!$C$23, $C$12, 100%, $E$12)</f>
        <v>4.6887999999999996</v>
      </c>
      <c r="H205" s="66">
        <f>8.7433* CHOOSE(CONTROL!$C$23, $C$12, 100%, $E$12)</f>
        <v>8.7432999999999996</v>
      </c>
      <c r="I205" s="66">
        <f>8.7483 * CHOOSE(CONTROL!$C$23, $C$12, 100%, $E$12)</f>
        <v>8.7483000000000004</v>
      </c>
      <c r="J205" s="66">
        <f>8.7433 * CHOOSE(CONTROL!$C$23, $C$12, 100%, $E$12)</f>
        <v>8.7432999999999996</v>
      </c>
      <c r="K205" s="66">
        <f>8.7483 * CHOOSE(CONTROL!$C$23, $C$12, 100%, $E$12)</f>
        <v>8.7483000000000004</v>
      </c>
      <c r="L205" s="66">
        <f>4.6838 * CHOOSE(CONTROL!$C$23, $C$12, 100%, $E$12)</f>
        <v>4.6837999999999997</v>
      </c>
      <c r="M205" s="66">
        <f>4.6888 * CHOOSE(CONTROL!$C$23, $C$12, 100%, $E$12)</f>
        <v>4.6887999999999996</v>
      </c>
      <c r="N205" s="66">
        <f>4.6838 * CHOOSE(CONTROL!$C$23, $C$12, 100%, $E$12)</f>
        <v>4.6837999999999997</v>
      </c>
      <c r="O205" s="66">
        <f>4.6888 * CHOOSE(CONTROL!$C$23, $C$12, 100%, $E$12)</f>
        <v>4.6887999999999996</v>
      </c>
    </row>
    <row r="206" spans="1:15" ht="15">
      <c r="A206" s="13">
        <v>47423</v>
      </c>
      <c r="B206" s="65">
        <f>3.9355 * CHOOSE(CONTROL!$C$23, $C$12, 100%, $E$12)</f>
        <v>3.9355000000000002</v>
      </c>
      <c r="C206" s="65">
        <f>3.9355 * CHOOSE(CONTROL!$C$23, $C$12, 100%, $E$12)</f>
        <v>3.9355000000000002</v>
      </c>
      <c r="D206" s="65">
        <f>3.9395 * CHOOSE(CONTROL!$C$23, $C$12, 100%, $E$12)</f>
        <v>3.9394999999999998</v>
      </c>
      <c r="E206" s="66">
        <f>4.7015 * CHOOSE(CONTROL!$C$23, $C$12, 100%, $E$12)</f>
        <v>4.7015000000000002</v>
      </c>
      <c r="F206" s="66">
        <f>4.7015 * CHOOSE(CONTROL!$C$23, $C$12, 100%, $E$12)</f>
        <v>4.7015000000000002</v>
      </c>
      <c r="G206" s="66">
        <f>4.7065 * CHOOSE(CONTROL!$C$23, $C$12, 100%, $E$12)</f>
        <v>4.7065000000000001</v>
      </c>
      <c r="H206" s="66">
        <f>8.7616* CHOOSE(CONTROL!$C$23, $C$12, 100%, $E$12)</f>
        <v>8.7615999999999996</v>
      </c>
      <c r="I206" s="66">
        <f>8.7665 * CHOOSE(CONTROL!$C$23, $C$12, 100%, $E$12)</f>
        <v>8.7665000000000006</v>
      </c>
      <c r="J206" s="66">
        <f>8.7616 * CHOOSE(CONTROL!$C$23, $C$12, 100%, $E$12)</f>
        <v>8.7615999999999996</v>
      </c>
      <c r="K206" s="66">
        <f>8.7665 * CHOOSE(CONTROL!$C$23, $C$12, 100%, $E$12)</f>
        <v>8.7665000000000006</v>
      </c>
      <c r="L206" s="66">
        <f>4.7015 * CHOOSE(CONTROL!$C$23, $C$12, 100%, $E$12)</f>
        <v>4.7015000000000002</v>
      </c>
      <c r="M206" s="66">
        <f>4.7065 * CHOOSE(CONTROL!$C$23, $C$12, 100%, $E$12)</f>
        <v>4.7065000000000001</v>
      </c>
      <c r="N206" s="66">
        <f>4.7015 * CHOOSE(CONTROL!$C$23, $C$12, 100%, $E$12)</f>
        <v>4.7015000000000002</v>
      </c>
      <c r="O206" s="66">
        <f>4.7065 * CHOOSE(CONTROL!$C$23, $C$12, 100%, $E$12)</f>
        <v>4.7065000000000001</v>
      </c>
    </row>
    <row r="207" spans="1:15" ht="15">
      <c r="A207" s="13">
        <v>47453</v>
      </c>
      <c r="B207" s="65">
        <f>3.9355 * CHOOSE(CONTROL!$C$23, $C$12, 100%, $E$12)</f>
        <v>3.9355000000000002</v>
      </c>
      <c r="C207" s="65">
        <f>3.9355 * CHOOSE(CONTROL!$C$23, $C$12, 100%, $E$12)</f>
        <v>3.9355000000000002</v>
      </c>
      <c r="D207" s="65">
        <f>3.9395 * CHOOSE(CONTROL!$C$23, $C$12, 100%, $E$12)</f>
        <v>3.9394999999999998</v>
      </c>
      <c r="E207" s="66">
        <f>4.6626 * CHOOSE(CONTROL!$C$23, $C$12, 100%, $E$12)</f>
        <v>4.6626000000000003</v>
      </c>
      <c r="F207" s="66">
        <f>4.6626 * CHOOSE(CONTROL!$C$23, $C$12, 100%, $E$12)</f>
        <v>4.6626000000000003</v>
      </c>
      <c r="G207" s="66">
        <f>4.6675 * CHOOSE(CONTROL!$C$23, $C$12, 100%, $E$12)</f>
        <v>4.6675000000000004</v>
      </c>
      <c r="H207" s="66">
        <f>8.7798* CHOOSE(CONTROL!$C$23, $C$12, 100%, $E$12)</f>
        <v>8.7797999999999998</v>
      </c>
      <c r="I207" s="66">
        <f>8.7847 * CHOOSE(CONTROL!$C$23, $C$12, 100%, $E$12)</f>
        <v>8.7847000000000008</v>
      </c>
      <c r="J207" s="66">
        <f>8.7798 * CHOOSE(CONTROL!$C$23, $C$12, 100%, $E$12)</f>
        <v>8.7797999999999998</v>
      </c>
      <c r="K207" s="66">
        <f>8.7847 * CHOOSE(CONTROL!$C$23, $C$12, 100%, $E$12)</f>
        <v>8.7847000000000008</v>
      </c>
      <c r="L207" s="66">
        <f>4.6626 * CHOOSE(CONTROL!$C$23, $C$12, 100%, $E$12)</f>
        <v>4.6626000000000003</v>
      </c>
      <c r="M207" s="66">
        <f>4.6675 * CHOOSE(CONTROL!$C$23, $C$12, 100%, $E$12)</f>
        <v>4.6675000000000004</v>
      </c>
      <c r="N207" s="66">
        <f>4.6626 * CHOOSE(CONTROL!$C$23, $C$12, 100%, $E$12)</f>
        <v>4.6626000000000003</v>
      </c>
      <c r="O207" s="66">
        <f>4.6675 * CHOOSE(CONTROL!$C$23, $C$12, 100%, $E$12)</f>
        <v>4.6675000000000004</v>
      </c>
    </row>
    <row r="208" spans="1:15" ht="15">
      <c r="A208" s="13">
        <v>47484</v>
      </c>
      <c r="B208" s="65">
        <f>3.9695 * CHOOSE(CONTROL!$C$23, $C$12, 100%, $E$12)</f>
        <v>3.9695</v>
      </c>
      <c r="C208" s="65">
        <f>3.9695 * CHOOSE(CONTROL!$C$23, $C$12, 100%, $E$12)</f>
        <v>3.9695</v>
      </c>
      <c r="D208" s="65">
        <f>3.9735 * CHOOSE(CONTROL!$C$23, $C$12, 100%, $E$12)</f>
        <v>3.9735</v>
      </c>
      <c r="E208" s="66">
        <f>4.7284 * CHOOSE(CONTROL!$C$23, $C$12, 100%, $E$12)</f>
        <v>4.7283999999999997</v>
      </c>
      <c r="F208" s="66">
        <f>4.7284 * CHOOSE(CONTROL!$C$23, $C$12, 100%, $E$12)</f>
        <v>4.7283999999999997</v>
      </c>
      <c r="G208" s="66">
        <f>4.7333 * CHOOSE(CONTROL!$C$23, $C$12, 100%, $E$12)</f>
        <v>4.7332999999999998</v>
      </c>
      <c r="H208" s="66">
        <f>8.7981* CHOOSE(CONTROL!$C$23, $C$12, 100%, $E$12)</f>
        <v>8.7980999999999998</v>
      </c>
      <c r="I208" s="66">
        <f>8.803 * CHOOSE(CONTROL!$C$23, $C$12, 100%, $E$12)</f>
        <v>8.8030000000000008</v>
      </c>
      <c r="J208" s="66">
        <f>8.7981 * CHOOSE(CONTROL!$C$23, $C$12, 100%, $E$12)</f>
        <v>8.7980999999999998</v>
      </c>
      <c r="K208" s="66">
        <f>8.803 * CHOOSE(CONTROL!$C$23, $C$12, 100%, $E$12)</f>
        <v>8.8030000000000008</v>
      </c>
      <c r="L208" s="66">
        <f>4.7284 * CHOOSE(CONTROL!$C$23, $C$12, 100%, $E$12)</f>
        <v>4.7283999999999997</v>
      </c>
      <c r="M208" s="66">
        <f>4.7333 * CHOOSE(CONTROL!$C$23, $C$12, 100%, $E$12)</f>
        <v>4.7332999999999998</v>
      </c>
      <c r="N208" s="66">
        <f>4.7284 * CHOOSE(CONTROL!$C$23, $C$12, 100%, $E$12)</f>
        <v>4.7283999999999997</v>
      </c>
      <c r="O208" s="66">
        <f>4.7333 * CHOOSE(CONTROL!$C$23, $C$12, 100%, $E$12)</f>
        <v>4.7332999999999998</v>
      </c>
    </row>
    <row r="209" spans="1:15" ht="15">
      <c r="A209" s="13">
        <v>47515</v>
      </c>
      <c r="B209" s="65">
        <f>3.9664 * CHOOSE(CONTROL!$C$23, $C$12, 100%, $E$12)</f>
        <v>3.9664000000000001</v>
      </c>
      <c r="C209" s="65">
        <f>3.9664 * CHOOSE(CONTROL!$C$23, $C$12, 100%, $E$12)</f>
        <v>3.9664000000000001</v>
      </c>
      <c r="D209" s="65">
        <f>3.9704 * CHOOSE(CONTROL!$C$23, $C$12, 100%, $E$12)</f>
        <v>3.9704000000000002</v>
      </c>
      <c r="E209" s="66">
        <f>4.6508 * CHOOSE(CONTROL!$C$23, $C$12, 100%, $E$12)</f>
        <v>4.6508000000000003</v>
      </c>
      <c r="F209" s="66">
        <f>4.6508 * CHOOSE(CONTROL!$C$23, $C$12, 100%, $E$12)</f>
        <v>4.6508000000000003</v>
      </c>
      <c r="G209" s="66">
        <f>4.6557 * CHOOSE(CONTROL!$C$23, $C$12, 100%, $E$12)</f>
        <v>4.6557000000000004</v>
      </c>
      <c r="H209" s="66">
        <f>8.8164* CHOOSE(CONTROL!$C$23, $C$12, 100%, $E$12)</f>
        <v>8.8163999999999998</v>
      </c>
      <c r="I209" s="66">
        <f>8.8214 * CHOOSE(CONTROL!$C$23, $C$12, 100%, $E$12)</f>
        <v>8.8214000000000006</v>
      </c>
      <c r="J209" s="66">
        <f>8.8164 * CHOOSE(CONTROL!$C$23, $C$12, 100%, $E$12)</f>
        <v>8.8163999999999998</v>
      </c>
      <c r="K209" s="66">
        <f>8.8214 * CHOOSE(CONTROL!$C$23, $C$12, 100%, $E$12)</f>
        <v>8.8214000000000006</v>
      </c>
      <c r="L209" s="66">
        <f>4.6508 * CHOOSE(CONTROL!$C$23, $C$12, 100%, $E$12)</f>
        <v>4.6508000000000003</v>
      </c>
      <c r="M209" s="66">
        <f>4.6557 * CHOOSE(CONTROL!$C$23, $C$12, 100%, $E$12)</f>
        <v>4.6557000000000004</v>
      </c>
      <c r="N209" s="66">
        <f>4.6508 * CHOOSE(CONTROL!$C$23, $C$12, 100%, $E$12)</f>
        <v>4.6508000000000003</v>
      </c>
      <c r="O209" s="66">
        <f>4.6557 * CHOOSE(CONTROL!$C$23, $C$12, 100%, $E$12)</f>
        <v>4.6557000000000004</v>
      </c>
    </row>
    <row r="210" spans="1:15" ht="15">
      <c r="A210" s="13">
        <v>47543</v>
      </c>
      <c r="B210" s="65">
        <f>3.9634 * CHOOSE(CONTROL!$C$23, $C$12, 100%, $E$12)</f>
        <v>3.9634</v>
      </c>
      <c r="C210" s="65">
        <f>3.9634 * CHOOSE(CONTROL!$C$23, $C$12, 100%, $E$12)</f>
        <v>3.9634</v>
      </c>
      <c r="D210" s="65">
        <f>3.9674 * CHOOSE(CONTROL!$C$23, $C$12, 100%, $E$12)</f>
        <v>3.9674</v>
      </c>
      <c r="E210" s="66">
        <f>4.7082 * CHOOSE(CONTROL!$C$23, $C$12, 100%, $E$12)</f>
        <v>4.7081999999999997</v>
      </c>
      <c r="F210" s="66">
        <f>4.7082 * CHOOSE(CONTROL!$C$23, $C$12, 100%, $E$12)</f>
        <v>4.7081999999999997</v>
      </c>
      <c r="G210" s="66">
        <f>4.7131 * CHOOSE(CONTROL!$C$23, $C$12, 100%, $E$12)</f>
        <v>4.7130999999999998</v>
      </c>
      <c r="H210" s="66">
        <f>8.8348* CHOOSE(CONTROL!$C$23, $C$12, 100%, $E$12)</f>
        <v>8.8347999999999995</v>
      </c>
      <c r="I210" s="66">
        <f>8.8397 * CHOOSE(CONTROL!$C$23, $C$12, 100%, $E$12)</f>
        <v>8.8397000000000006</v>
      </c>
      <c r="J210" s="66">
        <f>8.8348 * CHOOSE(CONTROL!$C$23, $C$12, 100%, $E$12)</f>
        <v>8.8347999999999995</v>
      </c>
      <c r="K210" s="66">
        <f>8.8397 * CHOOSE(CONTROL!$C$23, $C$12, 100%, $E$12)</f>
        <v>8.8397000000000006</v>
      </c>
      <c r="L210" s="66">
        <f>4.7082 * CHOOSE(CONTROL!$C$23, $C$12, 100%, $E$12)</f>
        <v>4.7081999999999997</v>
      </c>
      <c r="M210" s="66">
        <f>4.7131 * CHOOSE(CONTROL!$C$23, $C$12, 100%, $E$12)</f>
        <v>4.7130999999999998</v>
      </c>
      <c r="N210" s="66">
        <f>4.7082 * CHOOSE(CONTROL!$C$23, $C$12, 100%, $E$12)</f>
        <v>4.7081999999999997</v>
      </c>
      <c r="O210" s="66">
        <f>4.7131 * CHOOSE(CONTROL!$C$23, $C$12, 100%, $E$12)</f>
        <v>4.7130999999999998</v>
      </c>
    </row>
    <row r="211" spans="1:15" ht="15">
      <c r="A211" s="13">
        <v>47574</v>
      </c>
      <c r="B211" s="65">
        <f>3.961 * CHOOSE(CONTROL!$C$23, $C$12, 100%, $E$12)</f>
        <v>3.9609999999999999</v>
      </c>
      <c r="C211" s="65">
        <f>3.961 * CHOOSE(CONTROL!$C$23, $C$12, 100%, $E$12)</f>
        <v>3.9609999999999999</v>
      </c>
      <c r="D211" s="65">
        <f>3.965 * CHOOSE(CONTROL!$C$23, $C$12, 100%, $E$12)</f>
        <v>3.9649999999999999</v>
      </c>
      <c r="E211" s="66">
        <f>4.7679 * CHOOSE(CONTROL!$C$23, $C$12, 100%, $E$12)</f>
        <v>4.7679</v>
      </c>
      <c r="F211" s="66">
        <f>4.7679 * CHOOSE(CONTROL!$C$23, $C$12, 100%, $E$12)</f>
        <v>4.7679</v>
      </c>
      <c r="G211" s="66">
        <f>4.7728 * CHOOSE(CONTROL!$C$23, $C$12, 100%, $E$12)</f>
        <v>4.7728000000000002</v>
      </c>
      <c r="H211" s="66">
        <f>8.8532* CHOOSE(CONTROL!$C$23, $C$12, 100%, $E$12)</f>
        <v>8.8531999999999993</v>
      </c>
      <c r="I211" s="66">
        <f>8.8581 * CHOOSE(CONTROL!$C$23, $C$12, 100%, $E$12)</f>
        <v>8.8581000000000003</v>
      </c>
      <c r="J211" s="66">
        <f>8.8532 * CHOOSE(CONTROL!$C$23, $C$12, 100%, $E$12)</f>
        <v>8.8531999999999993</v>
      </c>
      <c r="K211" s="66">
        <f>8.8581 * CHOOSE(CONTROL!$C$23, $C$12, 100%, $E$12)</f>
        <v>8.8581000000000003</v>
      </c>
      <c r="L211" s="66">
        <f>4.7679 * CHOOSE(CONTROL!$C$23, $C$12, 100%, $E$12)</f>
        <v>4.7679</v>
      </c>
      <c r="M211" s="66">
        <f>4.7728 * CHOOSE(CONTROL!$C$23, $C$12, 100%, $E$12)</f>
        <v>4.7728000000000002</v>
      </c>
      <c r="N211" s="66">
        <f>4.7679 * CHOOSE(CONTROL!$C$23, $C$12, 100%, $E$12)</f>
        <v>4.7679</v>
      </c>
      <c r="O211" s="66">
        <f>4.7728 * CHOOSE(CONTROL!$C$23, $C$12, 100%, $E$12)</f>
        <v>4.7728000000000002</v>
      </c>
    </row>
    <row r="212" spans="1:15" ht="15">
      <c r="A212" s="13">
        <v>47604</v>
      </c>
      <c r="B212" s="65">
        <f>3.961 * CHOOSE(CONTROL!$C$23, $C$12, 100%, $E$12)</f>
        <v>3.9609999999999999</v>
      </c>
      <c r="C212" s="65">
        <f>3.961 * CHOOSE(CONTROL!$C$23, $C$12, 100%, $E$12)</f>
        <v>3.9609999999999999</v>
      </c>
      <c r="D212" s="65">
        <f>3.9666 * CHOOSE(CONTROL!$C$23, $C$12, 100%, $E$12)</f>
        <v>3.9666000000000001</v>
      </c>
      <c r="E212" s="66">
        <f>4.7918 * CHOOSE(CONTROL!$C$23, $C$12, 100%, $E$12)</f>
        <v>4.7918000000000003</v>
      </c>
      <c r="F212" s="66">
        <f>4.7918 * CHOOSE(CONTROL!$C$23, $C$12, 100%, $E$12)</f>
        <v>4.7918000000000003</v>
      </c>
      <c r="G212" s="66">
        <f>4.7987 * CHOOSE(CONTROL!$C$23, $C$12, 100%, $E$12)</f>
        <v>4.7987000000000002</v>
      </c>
      <c r="H212" s="66">
        <f>8.8717* CHOOSE(CONTROL!$C$23, $C$12, 100%, $E$12)</f>
        <v>8.8717000000000006</v>
      </c>
      <c r="I212" s="66">
        <f>8.8785 * CHOOSE(CONTROL!$C$23, $C$12, 100%, $E$12)</f>
        <v>8.8785000000000007</v>
      </c>
      <c r="J212" s="66">
        <f>8.8717 * CHOOSE(CONTROL!$C$23, $C$12, 100%, $E$12)</f>
        <v>8.8717000000000006</v>
      </c>
      <c r="K212" s="66">
        <f>8.8785 * CHOOSE(CONTROL!$C$23, $C$12, 100%, $E$12)</f>
        <v>8.8785000000000007</v>
      </c>
      <c r="L212" s="66">
        <f>4.7918 * CHOOSE(CONTROL!$C$23, $C$12, 100%, $E$12)</f>
        <v>4.7918000000000003</v>
      </c>
      <c r="M212" s="66">
        <f>4.7987 * CHOOSE(CONTROL!$C$23, $C$12, 100%, $E$12)</f>
        <v>4.7987000000000002</v>
      </c>
      <c r="N212" s="66">
        <f>4.7918 * CHOOSE(CONTROL!$C$23, $C$12, 100%, $E$12)</f>
        <v>4.7918000000000003</v>
      </c>
      <c r="O212" s="66">
        <f>4.7987 * CHOOSE(CONTROL!$C$23, $C$12, 100%, $E$12)</f>
        <v>4.7987000000000002</v>
      </c>
    </row>
    <row r="213" spans="1:15" ht="15">
      <c r="A213" s="13">
        <v>47635</v>
      </c>
      <c r="B213" s="65">
        <f>3.9671 * CHOOSE(CONTROL!$C$23, $C$12, 100%, $E$12)</f>
        <v>3.9670999999999998</v>
      </c>
      <c r="C213" s="65">
        <f>3.9671 * CHOOSE(CONTROL!$C$23, $C$12, 100%, $E$12)</f>
        <v>3.9670999999999998</v>
      </c>
      <c r="D213" s="65">
        <f>3.9727 * CHOOSE(CONTROL!$C$23, $C$12, 100%, $E$12)</f>
        <v>3.9727000000000001</v>
      </c>
      <c r="E213" s="66">
        <f>4.7721 * CHOOSE(CONTROL!$C$23, $C$12, 100%, $E$12)</f>
        <v>4.7721</v>
      </c>
      <c r="F213" s="66">
        <f>4.7721 * CHOOSE(CONTROL!$C$23, $C$12, 100%, $E$12)</f>
        <v>4.7721</v>
      </c>
      <c r="G213" s="66">
        <f>4.779 * CHOOSE(CONTROL!$C$23, $C$12, 100%, $E$12)</f>
        <v>4.7789999999999999</v>
      </c>
      <c r="H213" s="66">
        <f>8.8901* CHOOSE(CONTROL!$C$23, $C$12, 100%, $E$12)</f>
        <v>8.8901000000000003</v>
      </c>
      <c r="I213" s="66">
        <f>8.897 * CHOOSE(CONTROL!$C$23, $C$12, 100%, $E$12)</f>
        <v>8.8970000000000002</v>
      </c>
      <c r="J213" s="66">
        <f>8.8901 * CHOOSE(CONTROL!$C$23, $C$12, 100%, $E$12)</f>
        <v>8.8901000000000003</v>
      </c>
      <c r="K213" s="66">
        <f>8.897 * CHOOSE(CONTROL!$C$23, $C$12, 100%, $E$12)</f>
        <v>8.8970000000000002</v>
      </c>
      <c r="L213" s="66">
        <f>4.7721 * CHOOSE(CONTROL!$C$23, $C$12, 100%, $E$12)</f>
        <v>4.7721</v>
      </c>
      <c r="M213" s="66">
        <f>4.779 * CHOOSE(CONTROL!$C$23, $C$12, 100%, $E$12)</f>
        <v>4.7789999999999999</v>
      </c>
      <c r="N213" s="66">
        <f>4.7721 * CHOOSE(CONTROL!$C$23, $C$12, 100%, $E$12)</f>
        <v>4.7721</v>
      </c>
      <c r="O213" s="66">
        <f>4.779 * CHOOSE(CONTROL!$C$23, $C$12, 100%, $E$12)</f>
        <v>4.7789999999999999</v>
      </c>
    </row>
    <row r="214" spans="1:15" ht="15">
      <c r="A214" s="13">
        <v>47665</v>
      </c>
      <c r="B214" s="65">
        <f>4.0298 * CHOOSE(CONTROL!$C$23, $C$12, 100%, $E$12)</f>
        <v>4.0297999999999998</v>
      </c>
      <c r="C214" s="65">
        <f>4.0298 * CHOOSE(CONTROL!$C$23, $C$12, 100%, $E$12)</f>
        <v>4.0297999999999998</v>
      </c>
      <c r="D214" s="65">
        <f>4.0354 * CHOOSE(CONTROL!$C$23, $C$12, 100%, $E$12)</f>
        <v>4.0354000000000001</v>
      </c>
      <c r="E214" s="66">
        <f>4.8562 * CHOOSE(CONTROL!$C$23, $C$12, 100%, $E$12)</f>
        <v>4.8562000000000003</v>
      </c>
      <c r="F214" s="66">
        <f>4.8562 * CHOOSE(CONTROL!$C$23, $C$12, 100%, $E$12)</f>
        <v>4.8562000000000003</v>
      </c>
      <c r="G214" s="66">
        <f>4.8631 * CHOOSE(CONTROL!$C$23, $C$12, 100%, $E$12)</f>
        <v>4.8631000000000002</v>
      </c>
      <c r="H214" s="66">
        <f>8.9087* CHOOSE(CONTROL!$C$23, $C$12, 100%, $E$12)</f>
        <v>8.9086999999999996</v>
      </c>
      <c r="I214" s="66">
        <f>8.9155 * CHOOSE(CONTROL!$C$23, $C$12, 100%, $E$12)</f>
        <v>8.9154999999999998</v>
      </c>
      <c r="J214" s="66">
        <f>8.9087 * CHOOSE(CONTROL!$C$23, $C$12, 100%, $E$12)</f>
        <v>8.9086999999999996</v>
      </c>
      <c r="K214" s="66">
        <f>8.9155 * CHOOSE(CONTROL!$C$23, $C$12, 100%, $E$12)</f>
        <v>8.9154999999999998</v>
      </c>
      <c r="L214" s="66">
        <f>4.8562 * CHOOSE(CONTROL!$C$23, $C$12, 100%, $E$12)</f>
        <v>4.8562000000000003</v>
      </c>
      <c r="M214" s="66">
        <f>4.8631 * CHOOSE(CONTROL!$C$23, $C$12, 100%, $E$12)</f>
        <v>4.8631000000000002</v>
      </c>
      <c r="N214" s="66">
        <f>4.8562 * CHOOSE(CONTROL!$C$23, $C$12, 100%, $E$12)</f>
        <v>4.8562000000000003</v>
      </c>
      <c r="O214" s="66">
        <f>4.8631 * CHOOSE(CONTROL!$C$23, $C$12, 100%, $E$12)</f>
        <v>4.8631000000000002</v>
      </c>
    </row>
    <row r="215" spans="1:15" ht="15">
      <c r="A215" s="13">
        <v>47696</v>
      </c>
      <c r="B215" s="65">
        <f>4.0365 * CHOOSE(CONTROL!$C$23, $C$12, 100%, $E$12)</f>
        <v>4.0365000000000002</v>
      </c>
      <c r="C215" s="65">
        <f>4.0365 * CHOOSE(CONTROL!$C$23, $C$12, 100%, $E$12)</f>
        <v>4.0365000000000002</v>
      </c>
      <c r="D215" s="65">
        <f>4.0421 * CHOOSE(CONTROL!$C$23, $C$12, 100%, $E$12)</f>
        <v>4.0420999999999996</v>
      </c>
      <c r="E215" s="66">
        <f>4.7889 * CHOOSE(CONTROL!$C$23, $C$12, 100%, $E$12)</f>
        <v>4.7888999999999999</v>
      </c>
      <c r="F215" s="66">
        <f>4.7889 * CHOOSE(CONTROL!$C$23, $C$12, 100%, $E$12)</f>
        <v>4.7888999999999999</v>
      </c>
      <c r="G215" s="66">
        <f>4.7958 * CHOOSE(CONTROL!$C$23, $C$12, 100%, $E$12)</f>
        <v>4.7957999999999998</v>
      </c>
      <c r="H215" s="66">
        <f>8.9272* CHOOSE(CONTROL!$C$23, $C$12, 100%, $E$12)</f>
        <v>8.9271999999999991</v>
      </c>
      <c r="I215" s="66">
        <f>8.9341 * CHOOSE(CONTROL!$C$23, $C$12, 100%, $E$12)</f>
        <v>8.9341000000000008</v>
      </c>
      <c r="J215" s="66">
        <f>8.9272 * CHOOSE(CONTROL!$C$23, $C$12, 100%, $E$12)</f>
        <v>8.9271999999999991</v>
      </c>
      <c r="K215" s="66">
        <f>8.9341 * CHOOSE(CONTROL!$C$23, $C$12, 100%, $E$12)</f>
        <v>8.9341000000000008</v>
      </c>
      <c r="L215" s="66">
        <f>4.7889 * CHOOSE(CONTROL!$C$23, $C$12, 100%, $E$12)</f>
        <v>4.7888999999999999</v>
      </c>
      <c r="M215" s="66">
        <f>4.7958 * CHOOSE(CONTROL!$C$23, $C$12, 100%, $E$12)</f>
        <v>4.7957999999999998</v>
      </c>
      <c r="N215" s="66">
        <f>4.7889 * CHOOSE(CONTROL!$C$23, $C$12, 100%, $E$12)</f>
        <v>4.7888999999999999</v>
      </c>
      <c r="O215" s="66">
        <f>4.7958 * CHOOSE(CONTROL!$C$23, $C$12, 100%, $E$12)</f>
        <v>4.7957999999999998</v>
      </c>
    </row>
    <row r="216" spans="1:15" ht="15">
      <c r="A216" s="13">
        <v>47727</v>
      </c>
      <c r="B216" s="65">
        <f>4.0334 * CHOOSE(CONTROL!$C$23, $C$12, 100%, $E$12)</f>
        <v>4.0334000000000003</v>
      </c>
      <c r="C216" s="65">
        <f>4.0334 * CHOOSE(CONTROL!$C$23, $C$12, 100%, $E$12)</f>
        <v>4.0334000000000003</v>
      </c>
      <c r="D216" s="65">
        <f>4.0391 * CHOOSE(CONTROL!$C$23, $C$12, 100%, $E$12)</f>
        <v>4.0391000000000004</v>
      </c>
      <c r="E216" s="66">
        <f>4.7788 * CHOOSE(CONTROL!$C$23, $C$12, 100%, $E$12)</f>
        <v>4.7788000000000004</v>
      </c>
      <c r="F216" s="66">
        <f>4.7788 * CHOOSE(CONTROL!$C$23, $C$12, 100%, $E$12)</f>
        <v>4.7788000000000004</v>
      </c>
      <c r="G216" s="66">
        <f>4.7857 * CHOOSE(CONTROL!$C$23, $C$12, 100%, $E$12)</f>
        <v>4.7857000000000003</v>
      </c>
      <c r="H216" s="66">
        <f>8.9458* CHOOSE(CONTROL!$C$23, $C$12, 100%, $E$12)</f>
        <v>8.9458000000000002</v>
      </c>
      <c r="I216" s="66">
        <f>8.9527 * CHOOSE(CONTROL!$C$23, $C$12, 100%, $E$12)</f>
        <v>8.9527000000000001</v>
      </c>
      <c r="J216" s="66">
        <f>8.9458 * CHOOSE(CONTROL!$C$23, $C$12, 100%, $E$12)</f>
        <v>8.9458000000000002</v>
      </c>
      <c r="K216" s="66">
        <f>8.9527 * CHOOSE(CONTROL!$C$23, $C$12, 100%, $E$12)</f>
        <v>8.9527000000000001</v>
      </c>
      <c r="L216" s="66">
        <f>4.7788 * CHOOSE(CONTROL!$C$23, $C$12, 100%, $E$12)</f>
        <v>4.7788000000000004</v>
      </c>
      <c r="M216" s="66">
        <f>4.7857 * CHOOSE(CONTROL!$C$23, $C$12, 100%, $E$12)</f>
        <v>4.7857000000000003</v>
      </c>
      <c r="N216" s="66">
        <f>4.7788 * CHOOSE(CONTROL!$C$23, $C$12, 100%, $E$12)</f>
        <v>4.7788000000000004</v>
      </c>
      <c r="O216" s="66">
        <f>4.7857 * CHOOSE(CONTROL!$C$23, $C$12, 100%, $E$12)</f>
        <v>4.7857000000000003</v>
      </c>
    </row>
    <row r="217" spans="1:15" ht="15">
      <c r="A217" s="13">
        <v>47757</v>
      </c>
      <c r="B217" s="65">
        <f>4.0286 * CHOOSE(CONTROL!$C$23, $C$12, 100%, $E$12)</f>
        <v>4.0286</v>
      </c>
      <c r="C217" s="65">
        <f>4.0286 * CHOOSE(CONTROL!$C$23, $C$12, 100%, $E$12)</f>
        <v>4.0286</v>
      </c>
      <c r="D217" s="65">
        <f>4.0326 * CHOOSE(CONTROL!$C$23, $C$12, 100%, $E$12)</f>
        <v>4.0326000000000004</v>
      </c>
      <c r="E217" s="66">
        <f>4.7974 * CHOOSE(CONTROL!$C$23, $C$12, 100%, $E$12)</f>
        <v>4.7973999999999997</v>
      </c>
      <c r="F217" s="66">
        <f>4.7974 * CHOOSE(CONTROL!$C$23, $C$12, 100%, $E$12)</f>
        <v>4.7973999999999997</v>
      </c>
      <c r="G217" s="66">
        <f>4.8023 * CHOOSE(CONTROL!$C$23, $C$12, 100%, $E$12)</f>
        <v>4.8022999999999998</v>
      </c>
      <c r="H217" s="66">
        <f>8.9645* CHOOSE(CONTROL!$C$23, $C$12, 100%, $E$12)</f>
        <v>8.9644999999999992</v>
      </c>
      <c r="I217" s="66">
        <f>8.9694 * CHOOSE(CONTROL!$C$23, $C$12, 100%, $E$12)</f>
        <v>8.9694000000000003</v>
      </c>
      <c r="J217" s="66">
        <f>8.9645 * CHOOSE(CONTROL!$C$23, $C$12, 100%, $E$12)</f>
        <v>8.9644999999999992</v>
      </c>
      <c r="K217" s="66">
        <f>8.9694 * CHOOSE(CONTROL!$C$23, $C$12, 100%, $E$12)</f>
        <v>8.9694000000000003</v>
      </c>
      <c r="L217" s="66">
        <f>4.7974 * CHOOSE(CONTROL!$C$23, $C$12, 100%, $E$12)</f>
        <v>4.7973999999999997</v>
      </c>
      <c r="M217" s="66">
        <f>4.8023 * CHOOSE(CONTROL!$C$23, $C$12, 100%, $E$12)</f>
        <v>4.8022999999999998</v>
      </c>
      <c r="N217" s="66">
        <f>4.7974 * CHOOSE(CONTROL!$C$23, $C$12, 100%, $E$12)</f>
        <v>4.7973999999999997</v>
      </c>
      <c r="O217" s="66">
        <f>4.8023 * CHOOSE(CONTROL!$C$23, $C$12, 100%, $E$12)</f>
        <v>4.8022999999999998</v>
      </c>
    </row>
    <row r="218" spans="1:15" ht="15">
      <c r="A218" s="13">
        <v>47788</v>
      </c>
      <c r="B218" s="65">
        <f>4.0316 * CHOOSE(CONTROL!$C$23, $C$12, 100%, $E$12)</f>
        <v>4.0316000000000001</v>
      </c>
      <c r="C218" s="65">
        <f>4.0316 * CHOOSE(CONTROL!$C$23, $C$12, 100%, $E$12)</f>
        <v>4.0316000000000001</v>
      </c>
      <c r="D218" s="65">
        <f>4.0356 * CHOOSE(CONTROL!$C$23, $C$12, 100%, $E$12)</f>
        <v>4.0355999999999996</v>
      </c>
      <c r="E218" s="66">
        <f>4.8155 * CHOOSE(CONTROL!$C$23, $C$12, 100%, $E$12)</f>
        <v>4.8155000000000001</v>
      </c>
      <c r="F218" s="66">
        <f>4.8155 * CHOOSE(CONTROL!$C$23, $C$12, 100%, $E$12)</f>
        <v>4.8155000000000001</v>
      </c>
      <c r="G218" s="66">
        <f>4.8204 * CHOOSE(CONTROL!$C$23, $C$12, 100%, $E$12)</f>
        <v>4.8204000000000002</v>
      </c>
      <c r="H218" s="66">
        <f>8.9831* CHOOSE(CONTROL!$C$23, $C$12, 100%, $E$12)</f>
        <v>8.9831000000000003</v>
      </c>
      <c r="I218" s="66">
        <f>8.988 * CHOOSE(CONTROL!$C$23, $C$12, 100%, $E$12)</f>
        <v>8.9879999999999995</v>
      </c>
      <c r="J218" s="66">
        <f>8.9831 * CHOOSE(CONTROL!$C$23, $C$12, 100%, $E$12)</f>
        <v>8.9831000000000003</v>
      </c>
      <c r="K218" s="66">
        <f>8.988 * CHOOSE(CONTROL!$C$23, $C$12, 100%, $E$12)</f>
        <v>8.9879999999999995</v>
      </c>
      <c r="L218" s="66">
        <f>4.8155 * CHOOSE(CONTROL!$C$23, $C$12, 100%, $E$12)</f>
        <v>4.8155000000000001</v>
      </c>
      <c r="M218" s="66">
        <f>4.8204 * CHOOSE(CONTROL!$C$23, $C$12, 100%, $E$12)</f>
        <v>4.8204000000000002</v>
      </c>
      <c r="N218" s="66">
        <f>4.8155 * CHOOSE(CONTROL!$C$23, $C$12, 100%, $E$12)</f>
        <v>4.8155000000000001</v>
      </c>
      <c r="O218" s="66">
        <f>4.8204 * CHOOSE(CONTROL!$C$23, $C$12, 100%, $E$12)</f>
        <v>4.8204000000000002</v>
      </c>
    </row>
    <row r="219" spans="1:15" ht="15">
      <c r="A219" s="13">
        <v>47818</v>
      </c>
      <c r="B219" s="65">
        <f>4.0316 * CHOOSE(CONTROL!$C$23, $C$12, 100%, $E$12)</f>
        <v>4.0316000000000001</v>
      </c>
      <c r="C219" s="65">
        <f>4.0316 * CHOOSE(CONTROL!$C$23, $C$12, 100%, $E$12)</f>
        <v>4.0316000000000001</v>
      </c>
      <c r="D219" s="65">
        <f>4.0356 * CHOOSE(CONTROL!$C$23, $C$12, 100%, $E$12)</f>
        <v>4.0355999999999996</v>
      </c>
      <c r="E219" s="66">
        <f>4.7755 * CHOOSE(CONTROL!$C$23, $C$12, 100%, $E$12)</f>
        <v>4.7755000000000001</v>
      </c>
      <c r="F219" s="66">
        <f>4.7755 * CHOOSE(CONTROL!$C$23, $C$12, 100%, $E$12)</f>
        <v>4.7755000000000001</v>
      </c>
      <c r="G219" s="66">
        <f>4.7804 * CHOOSE(CONTROL!$C$23, $C$12, 100%, $E$12)</f>
        <v>4.7804000000000002</v>
      </c>
      <c r="H219" s="66">
        <f>9.0018* CHOOSE(CONTROL!$C$23, $C$12, 100%, $E$12)</f>
        <v>9.0017999999999994</v>
      </c>
      <c r="I219" s="66">
        <f>9.0068 * CHOOSE(CONTROL!$C$23, $C$12, 100%, $E$12)</f>
        <v>9.0068000000000001</v>
      </c>
      <c r="J219" s="66">
        <f>9.0018 * CHOOSE(CONTROL!$C$23, $C$12, 100%, $E$12)</f>
        <v>9.0017999999999994</v>
      </c>
      <c r="K219" s="66">
        <f>9.0068 * CHOOSE(CONTROL!$C$23, $C$12, 100%, $E$12)</f>
        <v>9.0068000000000001</v>
      </c>
      <c r="L219" s="66">
        <f>4.7755 * CHOOSE(CONTROL!$C$23, $C$12, 100%, $E$12)</f>
        <v>4.7755000000000001</v>
      </c>
      <c r="M219" s="66">
        <f>4.7804 * CHOOSE(CONTROL!$C$23, $C$12, 100%, $E$12)</f>
        <v>4.7804000000000002</v>
      </c>
      <c r="N219" s="66">
        <f>4.7755 * CHOOSE(CONTROL!$C$23, $C$12, 100%, $E$12)</f>
        <v>4.7755000000000001</v>
      </c>
      <c r="O219" s="66">
        <f>4.7804 * CHOOSE(CONTROL!$C$23, $C$12, 100%, $E$12)</f>
        <v>4.7804000000000002</v>
      </c>
    </row>
    <row r="220" spans="1:15" ht="15">
      <c r="A220" s="13">
        <v>47849</v>
      </c>
      <c r="B220" s="65">
        <f>4.065 * CHOOSE(CONTROL!$C$23, $C$12, 100%, $E$12)</f>
        <v>4.0650000000000004</v>
      </c>
      <c r="C220" s="65">
        <f>4.065 * CHOOSE(CONTROL!$C$23, $C$12, 100%, $E$12)</f>
        <v>4.0650000000000004</v>
      </c>
      <c r="D220" s="65">
        <f>4.069 * CHOOSE(CONTROL!$C$23, $C$12, 100%, $E$12)</f>
        <v>4.069</v>
      </c>
      <c r="E220" s="66">
        <f>4.8568 * CHOOSE(CONTROL!$C$23, $C$12, 100%, $E$12)</f>
        <v>4.8567999999999998</v>
      </c>
      <c r="F220" s="66">
        <f>4.8568 * CHOOSE(CONTROL!$C$23, $C$12, 100%, $E$12)</f>
        <v>4.8567999999999998</v>
      </c>
      <c r="G220" s="66">
        <f>4.8617 * CHOOSE(CONTROL!$C$23, $C$12, 100%, $E$12)</f>
        <v>4.8616999999999999</v>
      </c>
      <c r="H220" s="66">
        <f>9.0206* CHOOSE(CONTROL!$C$23, $C$12, 100%, $E$12)</f>
        <v>9.0206</v>
      </c>
      <c r="I220" s="66">
        <f>9.0255 * CHOOSE(CONTROL!$C$23, $C$12, 100%, $E$12)</f>
        <v>9.0254999999999992</v>
      </c>
      <c r="J220" s="66">
        <f>9.0206 * CHOOSE(CONTROL!$C$23, $C$12, 100%, $E$12)</f>
        <v>9.0206</v>
      </c>
      <c r="K220" s="66">
        <f>9.0255 * CHOOSE(CONTROL!$C$23, $C$12, 100%, $E$12)</f>
        <v>9.0254999999999992</v>
      </c>
      <c r="L220" s="66">
        <f>4.8568 * CHOOSE(CONTROL!$C$23, $C$12, 100%, $E$12)</f>
        <v>4.8567999999999998</v>
      </c>
      <c r="M220" s="66">
        <f>4.8617 * CHOOSE(CONTROL!$C$23, $C$12, 100%, $E$12)</f>
        <v>4.8616999999999999</v>
      </c>
      <c r="N220" s="66">
        <f>4.8568 * CHOOSE(CONTROL!$C$23, $C$12, 100%, $E$12)</f>
        <v>4.8567999999999998</v>
      </c>
      <c r="O220" s="66">
        <f>4.8617 * CHOOSE(CONTROL!$C$23, $C$12, 100%, $E$12)</f>
        <v>4.8616999999999999</v>
      </c>
    </row>
    <row r="221" spans="1:15" ht="15">
      <c r="A221" s="13">
        <v>47880</v>
      </c>
      <c r="B221" s="65">
        <f>4.062 * CHOOSE(CONTROL!$C$23, $C$12, 100%, $E$12)</f>
        <v>4.0620000000000003</v>
      </c>
      <c r="C221" s="65">
        <f>4.062 * CHOOSE(CONTROL!$C$23, $C$12, 100%, $E$12)</f>
        <v>4.0620000000000003</v>
      </c>
      <c r="D221" s="65">
        <f>4.066 * CHOOSE(CONTROL!$C$23, $C$12, 100%, $E$12)</f>
        <v>4.0659999999999998</v>
      </c>
      <c r="E221" s="66">
        <f>4.7772 * CHOOSE(CONTROL!$C$23, $C$12, 100%, $E$12)</f>
        <v>4.7771999999999997</v>
      </c>
      <c r="F221" s="66">
        <f>4.7772 * CHOOSE(CONTROL!$C$23, $C$12, 100%, $E$12)</f>
        <v>4.7771999999999997</v>
      </c>
      <c r="G221" s="66">
        <f>4.7822 * CHOOSE(CONTROL!$C$23, $C$12, 100%, $E$12)</f>
        <v>4.7821999999999996</v>
      </c>
      <c r="H221" s="66">
        <f>9.0394* CHOOSE(CONTROL!$C$23, $C$12, 100%, $E$12)</f>
        <v>9.0394000000000005</v>
      </c>
      <c r="I221" s="66">
        <f>9.0443 * CHOOSE(CONTROL!$C$23, $C$12, 100%, $E$12)</f>
        <v>9.0442999999999998</v>
      </c>
      <c r="J221" s="66">
        <f>9.0394 * CHOOSE(CONTROL!$C$23, $C$12, 100%, $E$12)</f>
        <v>9.0394000000000005</v>
      </c>
      <c r="K221" s="66">
        <f>9.0443 * CHOOSE(CONTROL!$C$23, $C$12, 100%, $E$12)</f>
        <v>9.0442999999999998</v>
      </c>
      <c r="L221" s="66">
        <f>4.7772 * CHOOSE(CONTROL!$C$23, $C$12, 100%, $E$12)</f>
        <v>4.7771999999999997</v>
      </c>
      <c r="M221" s="66">
        <f>4.7822 * CHOOSE(CONTROL!$C$23, $C$12, 100%, $E$12)</f>
        <v>4.7821999999999996</v>
      </c>
      <c r="N221" s="66">
        <f>4.7772 * CHOOSE(CONTROL!$C$23, $C$12, 100%, $E$12)</f>
        <v>4.7771999999999997</v>
      </c>
      <c r="O221" s="66">
        <f>4.7822 * CHOOSE(CONTROL!$C$23, $C$12, 100%, $E$12)</f>
        <v>4.7821999999999996</v>
      </c>
    </row>
    <row r="222" spans="1:15" ht="15">
      <c r="A222" s="13">
        <v>47908</v>
      </c>
      <c r="B222" s="65">
        <f>4.059 * CHOOSE(CONTROL!$C$23, $C$12, 100%, $E$12)</f>
        <v>4.0590000000000002</v>
      </c>
      <c r="C222" s="65">
        <f>4.059 * CHOOSE(CONTROL!$C$23, $C$12, 100%, $E$12)</f>
        <v>4.0590000000000002</v>
      </c>
      <c r="D222" s="65">
        <f>4.063 * CHOOSE(CONTROL!$C$23, $C$12, 100%, $E$12)</f>
        <v>4.0629999999999997</v>
      </c>
      <c r="E222" s="66">
        <f>4.8362 * CHOOSE(CONTROL!$C$23, $C$12, 100%, $E$12)</f>
        <v>4.8361999999999998</v>
      </c>
      <c r="F222" s="66">
        <f>4.8362 * CHOOSE(CONTROL!$C$23, $C$12, 100%, $E$12)</f>
        <v>4.8361999999999998</v>
      </c>
      <c r="G222" s="66">
        <f>4.8411 * CHOOSE(CONTROL!$C$23, $C$12, 100%, $E$12)</f>
        <v>4.8411</v>
      </c>
      <c r="H222" s="66">
        <f>9.0582* CHOOSE(CONTROL!$C$23, $C$12, 100%, $E$12)</f>
        <v>9.0581999999999994</v>
      </c>
      <c r="I222" s="66">
        <f>9.0631 * CHOOSE(CONTROL!$C$23, $C$12, 100%, $E$12)</f>
        <v>9.0631000000000004</v>
      </c>
      <c r="J222" s="66">
        <f>9.0582 * CHOOSE(CONTROL!$C$23, $C$12, 100%, $E$12)</f>
        <v>9.0581999999999994</v>
      </c>
      <c r="K222" s="66">
        <f>9.0631 * CHOOSE(CONTROL!$C$23, $C$12, 100%, $E$12)</f>
        <v>9.0631000000000004</v>
      </c>
      <c r="L222" s="66">
        <f>4.8362 * CHOOSE(CONTROL!$C$23, $C$12, 100%, $E$12)</f>
        <v>4.8361999999999998</v>
      </c>
      <c r="M222" s="66">
        <f>4.8411 * CHOOSE(CONTROL!$C$23, $C$12, 100%, $E$12)</f>
        <v>4.8411</v>
      </c>
      <c r="N222" s="66">
        <f>4.8362 * CHOOSE(CONTROL!$C$23, $C$12, 100%, $E$12)</f>
        <v>4.8361999999999998</v>
      </c>
      <c r="O222" s="66">
        <f>4.8411 * CHOOSE(CONTROL!$C$23, $C$12, 100%, $E$12)</f>
        <v>4.8411</v>
      </c>
    </row>
    <row r="223" spans="1:15" ht="15">
      <c r="A223" s="13">
        <v>47939</v>
      </c>
      <c r="B223" s="65">
        <f>4.0567 * CHOOSE(CONTROL!$C$23, $C$12, 100%, $E$12)</f>
        <v>4.0567000000000002</v>
      </c>
      <c r="C223" s="65">
        <f>4.0567 * CHOOSE(CONTROL!$C$23, $C$12, 100%, $E$12)</f>
        <v>4.0567000000000002</v>
      </c>
      <c r="D223" s="65">
        <f>4.0607 * CHOOSE(CONTROL!$C$23, $C$12, 100%, $E$12)</f>
        <v>4.0606999999999998</v>
      </c>
      <c r="E223" s="66">
        <f>4.8975 * CHOOSE(CONTROL!$C$23, $C$12, 100%, $E$12)</f>
        <v>4.8975</v>
      </c>
      <c r="F223" s="66">
        <f>4.8975 * CHOOSE(CONTROL!$C$23, $C$12, 100%, $E$12)</f>
        <v>4.8975</v>
      </c>
      <c r="G223" s="66">
        <f>4.9024 * CHOOSE(CONTROL!$C$23, $C$12, 100%, $E$12)</f>
        <v>4.9024000000000001</v>
      </c>
      <c r="H223" s="66">
        <f>9.0771* CHOOSE(CONTROL!$C$23, $C$12, 100%, $E$12)</f>
        <v>9.0770999999999997</v>
      </c>
      <c r="I223" s="66">
        <f>9.082 * CHOOSE(CONTROL!$C$23, $C$12, 100%, $E$12)</f>
        <v>9.0820000000000007</v>
      </c>
      <c r="J223" s="66">
        <f>9.0771 * CHOOSE(CONTROL!$C$23, $C$12, 100%, $E$12)</f>
        <v>9.0770999999999997</v>
      </c>
      <c r="K223" s="66">
        <f>9.082 * CHOOSE(CONTROL!$C$23, $C$12, 100%, $E$12)</f>
        <v>9.0820000000000007</v>
      </c>
      <c r="L223" s="66">
        <f>4.8975 * CHOOSE(CONTROL!$C$23, $C$12, 100%, $E$12)</f>
        <v>4.8975</v>
      </c>
      <c r="M223" s="66">
        <f>4.9024 * CHOOSE(CONTROL!$C$23, $C$12, 100%, $E$12)</f>
        <v>4.9024000000000001</v>
      </c>
      <c r="N223" s="66">
        <f>4.8975 * CHOOSE(CONTROL!$C$23, $C$12, 100%, $E$12)</f>
        <v>4.8975</v>
      </c>
      <c r="O223" s="66">
        <f>4.9024 * CHOOSE(CONTROL!$C$23, $C$12, 100%, $E$12)</f>
        <v>4.9024000000000001</v>
      </c>
    </row>
    <row r="224" spans="1:15" ht="15">
      <c r="A224" s="13">
        <v>47969</v>
      </c>
      <c r="B224" s="65">
        <f>4.0567 * CHOOSE(CONTROL!$C$23, $C$12, 100%, $E$12)</f>
        <v>4.0567000000000002</v>
      </c>
      <c r="C224" s="65">
        <f>4.0567 * CHOOSE(CONTROL!$C$23, $C$12, 100%, $E$12)</f>
        <v>4.0567000000000002</v>
      </c>
      <c r="D224" s="65">
        <f>4.0623 * CHOOSE(CONTROL!$C$23, $C$12, 100%, $E$12)</f>
        <v>4.0622999999999996</v>
      </c>
      <c r="E224" s="66">
        <f>4.9221 * CHOOSE(CONTROL!$C$23, $C$12, 100%, $E$12)</f>
        <v>4.9221000000000004</v>
      </c>
      <c r="F224" s="66">
        <f>4.9221 * CHOOSE(CONTROL!$C$23, $C$12, 100%, $E$12)</f>
        <v>4.9221000000000004</v>
      </c>
      <c r="G224" s="66">
        <f>4.929 * CHOOSE(CONTROL!$C$23, $C$12, 100%, $E$12)</f>
        <v>4.9290000000000003</v>
      </c>
      <c r="H224" s="66">
        <f>9.096* CHOOSE(CONTROL!$C$23, $C$12, 100%, $E$12)</f>
        <v>9.0960000000000001</v>
      </c>
      <c r="I224" s="66">
        <f>9.1029 * CHOOSE(CONTROL!$C$23, $C$12, 100%, $E$12)</f>
        <v>9.1029</v>
      </c>
      <c r="J224" s="66">
        <f>9.096 * CHOOSE(CONTROL!$C$23, $C$12, 100%, $E$12)</f>
        <v>9.0960000000000001</v>
      </c>
      <c r="K224" s="66">
        <f>9.1029 * CHOOSE(CONTROL!$C$23, $C$12, 100%, $E$12)</f>
        <v>9.1029</v>
      </c>
      <c r="L224" s="66">
        <f>4.9221 * CHOOSE(CONTROL!$C$23, $C$12, 100%, $E$12)</f>
        <v>4.9221000000000004</v>
      </c>
      <c r="M224" s="66">
        <f>4.929 * CHOOSE(CONTROL!$C$23, $C$12, 100%, $E$12)</f>
        <v>4.9290000000000003</v>
      </c>
      <c r="N224" s="66">
        <f>4.9221 * CHOOSE(CONTROL!$C$23, $C$12, 100%, $E$12)</f>
        <v>4.9221000000000004</v>
      </c>
      <c r="O224" s="66">
        <f>4.929 * CHOOSE(CONTROL!$C$23, $C$12, 100%, $E$12)</f>
        <v>4.9290000000000003</v>
      </c>
    </row>
    <row r="225" spans="1:15" ht="15">
      <c r="A225" s="13">
        <v>48000</v>
      </c>
      <c r="B225" s="65">
        <f>4.0627 * CHOOSE(CONTROL!$C$23, $C$12, 100%, $E$12)</f>
        <v>4.0627000000000004</v>
      </c>
      <c r="C225" s="65">
        <f>4.0627 * CHOOSE(CONTROL!$C$23, $C$12, 100%, $E$12)</f>
        <v>4.0627000000000004</v>
      </c>
      <c r="D225" s="65">
        <f>4.0684 * CHOOSE(CONTROL!$C$23, $C$12, 100%, $E$12)</f>
        <v>4.0683999999999996</v>
      </c>
      <c r="E225" s="66">
        <f>4.9017 * CHOOSE(CONTROL!$C$23, $C$12, 100%, $E$12)</f>
        <v>4.9016999999999999</v>
      </c>
      <c r="F225" s="66">
        <f>4.9017 * CHOOSE(CONTROL!$C$23, $C$12, 100%, $E$12)</f>
        <v>4.9016999999999999</v>
      </c>
      <c r="G225" s="66">
        <f>4.9086 * CHOOSE(CONTROL!$C$23, $C$12, 100%, $E$12)</f>
        <v>4.9085999999999999</v>
      </c>
      <c r="H225" s="66">
        <f>9.115* CHOOSE(CONTROL!$C$23, $C$12, 100%, $E$12)</f>
        <v>9.1150000000000002</v>
      </c>
      <c r="I225" s="66">
        <f>9.1218 * CHOOSE(CONTROL!$C$23, $C$12, 100%, $E$12)</f>
        <v>9.1218000000000004</v>
      </c>
      <c r="J225" s="66">
        <f>9.115 * CHOOSE(CONTROL!$C$23, $C$12, 100%, $E$12)</f>
        <v>9.1150000000000002</v>
      </c>
      <c r="K225" s="66">
        <f>9.1218 * CHOOSE(CONTROL!$C$23, $C$12, 100%, $E$12)</f>
        <v>9.1218000000000004</v>
      </c>
      <c r="L225" s="66">
        <f>4.9017 * CHOOSE(CONTROL!$C$23, $C$12, 100%, $E$12)</f>
        <v>4.9016999999999999</v>
      </c>
      <c r="M225" s="66">
        <f>4.9086 * CHOOSE(CONTROL!$C$23, $C$12, 100%, $E$12)</f>
        <v>4.9085999999999999</v>
      </c>
      <c r="N225" s="66">
        <f>4.9017 * CHOOSE(CONTROL!$C$23, $C$12, 100%, $E$12)</f>
        <v>4.9016999999999999</v>
      </c>
      <c r="O225" s="66">
        <f>4.9086 * CHOOSE(CONTROL!$C$23, $C$12, 100%, $E$12)</f>
        <v>4.9085999999999999</v>
      </c>
    </row>
    <row r="226" spans="1:15" ht="15">
      <c r="A226" s="13">
        <v>48030</v>
      </c>
      <c r="B226" s="65">
        <f>4.1241 * CHOOSE(CONTROL!$C$23, $C$12, 100%, $E$12)</f>
        <v>4.1241000000000003</v>
      </c>
      <c r="C226" s="65">
        <f>4.1241 * CHOOSE(CONTROL!$C$23, $C$12, 100%, $E$12)</f>
        <v>4.1241000000000003</v>
      </c>
      <c r="D226" s="65">
        <f>4.1297 * CHOOSE(CONTROL!$C$23, $C$12, 100%, $E$12)</f>
        <v>4.1296999999999997</v>
      </c>
      <c r="E226" s="66">
        <f>5.0209 * CHOOSE(CONTROL!$C$23, $C$12, 100%, $E$12)</f>
        <v>5.0209000000000001</v>
      </c>
      <c r="F226" s="66">
        <f>5.0209 * CHOOSE(CONTROL!$C$23, $C$12, 100%, $E$12)</f>
        <v>5.0209000000000001</v>
      </c>
      <c r="G226" s="66">
        <f>5.0278 * CHOOSE(CONTROL!$C$23, $C$12, 100%, $E$12)</f>
        <v>5.0278</v>
      </c>
      <c r="H226" s="66">
        <f>9.1339* CHOOSE(CONTROL!$C$23, $C$12, 100%, $E$12)</f>
        <v>9.1339000000000006</v>
      </c>
      <c r="I226" s="66">
        <f>9.1408 * CHOOSE(CONTROL!$C$23, $C$12, 100%, $E$12)</f>
        <v>9.1408000000000005</v>
      </c>
      <c r="J226" s="66">
        <f>9.1339 * CHOOSE(CONTROL!$C$23, $C$12, 100%, $E$12)</f>
        <v>9.1339000000000006</v>
      </c>
      <c r="K226" s="66">
        <f>9.1408 * CHOOSE(CONTROL!$C$23, $C$12, 100%, $E$12)</f>
        <v>9.1408000000000005</v>
      </c>
      <c r="L226" s="66">
        <f>5.0209 * CHOOSE(CONTROL!$C$23, $C$12, 100%, $E$12)</f>
        <v>5.0209000000000001</v>
      </c>
      <c r="M226" s="66">
        <f>5.0278 * CHOOSE(CONTROL!$C$23, $C$12, 100%, $E$12)</f>
        <v>5.0278</v>
      </c>
      <c r="N226" s="66">
        <f>5.0209 * CHOOSE(CONTROL!$C$23, $C$12, 100%, $E$12)</f>
        <v>5.0209000000000001</v>
      </c>
      <c r="O226" s="66">
        <f>5.0278 * CHOOSE(CONTROL!$C$23, $C$12, 100%, $E$12)</f>
        <v>5.0278</v>
      </c>
    </row>
    <row r="227" spans="1:15" ht="15">
      <c r="A227" s="13">
        <v>48061</v>
      </c>
      <c r="B227" s="65">
        <f>4.1308 * CHOOSE(CONTROL!$C$23, $C$12, 100%, $E$12)</f>
        <v>4.1307999999999998</v>
      </c>
      <c r="C227" s="65">
        <f>4.1308 * CHOOSE(CONTROL!$C$23, $C$12, 100%, $E$12)</f>
        <v>4.1307999999999998</v>
      </c>
      <c r="D227" s="65">
        <f>4.1364 * CHOOSE(CONTROL!$C$23, $C$12, 100%, $E$12)</f>
        <v>4.1364000000000001</v>
      </c>
      <c r="E227" s="66">
        <f>4.9519 * CHOOSE(CONTROL!$C$23, $C$12, 100%, $E$12)</f>
        <v>4.9519000000000002</v>
      </c>
      <c r="F227" s="66">
        <f>4.9519 * CHOOSE(CONTROL!$C$23, $C$12, 100%, $E$12)</f>
        <v>4.9519000000000002</v>
      </c>
      <c r="G227" s="66">
        <f>4.9587 * CHOOSE(CONTROL!$C$23, $C$12, 100%, $E$12)</f>
        <v>4.9587000000000003</v>
      </c>
      <c r="H227" s="66">
        <f>9.153* CHOOSE(CONTROL!$C$23, $C$12, 100%, $E$12)</f>
        <v>9.1530000000000005</v>
      </c>
      <c r="I227" s="66">
        <f>9.1599 * CHOOSE(CONTROL!$C$23, $C$12, 100%, $E$12)</f>
        <v>9.1599000000000004</v>
      </c>
      <c r="J227" s="66">
        <f>9.153 * CHOOSE(CONTROL!$C$23, $C$12, 100%, $E$12)</f>
        <v>9.1530000000000005</v>
      </c>
      <c r="K227" s="66">
        <f>9.1599 * CHOOSE(CONTROL!$C$23, $C$12, 100%, $E$12)</f>
        <v>9.1599000000000004</v>
      </c>
      <c r="L227" s="66">
        <f>4.9519 * CHOOSE(CONTROL!$C$23, $C$12, 100%, $E$12)</f>
        <v>4.9519000000000002</v>
      </c>
      <c r="M227" s="66">
        <f>4.9587 * CHOOSE(CONTROL!$C$23, $C$12, 100%, $E$12)</f>
        <v>4.9587000000000003</v>
      </c>
      <c r="N227" s="66">
        <f>4.9519 * CHOOSE(CONTROL!$C$23, $C$12, 100%, $E$12)</f>
        <v>4.9519000000000002</v>
      </c>
      <c r="O227" s="66">
        <f>4.9587 * CHOOSE(CONTROL!$C$23, $C$12, 100%, $E$12)</f>
        <v>4.9587000000000003</v>
      </c>
    </row>
    <row r="228" spans="1:15" ht="15">
      <c r="A228" s="13">
        <v>48092</v>
      </c>
      <c r="B228" s="65">
        <f>4.1278 * CHOOSE(CONTROL!$C$23, $C$12, 100%, $E$12)</f>
        <v>4.1277999999999997</v>
      </c>
      <c r="C228" s="65">
        <f>4.1278 * CHOOSE(CONTROL!$C$23, $C$12, 100%, $E$12)</f>
        <v>4.1277999999999997</v>
      </c>
      <c r="D228" s="65">
        <f>4.1334 * CHOOSE(CONTROL!$C$23, $C$12, 100%, $E$12)</f>
        <v>4.1334</v>
      </c>
      <c r="E228" s="66">
        <f>4.9415 * CHOOSE(CONTROL!$C$23, $C$12, 100%, $E$12)</f>
        <v>4.9414999999999996</v>
      </c>
      <c r="F228" s="66">
        <f>4.9415 * CHOOSE(CONTROL!$C$23, $C$12, 100%, $E$12)</f>
        <v>4.9414999999999996</v>
      </c>
      <c r="G228" s="66">
        <f>4.9484 * CHOOSE(CONTROL!$C$23, $C$12, 100%, $E$12)</f>
        <v>4.9484000000000004</v>
      </c>
      <c r="H228" s="66">
        <f>9.172* CHOOSE(CONTROL!$C$23, $C$12, 100%, $E$12)</f>
        <v>9.1720000000000006</v>
      </c>
      <c r="I228" s="66">
        <f>9.1789 * CHOOSE(CONTROL!$C$23, $C$12, 100%, $E$12)</f>
        <v>9.1789000000000005</v>
      </c>
      <c r="J228" s="66">
        <f>9.172 * CHOOSE(CONTROL!$C$23, $C$12, 100%, $E$12)</f>
        <v>9.1720000000000006</v>
      </c>
      <c r="K228" s="66">
        <f>9.1789 * CHOOSE(CONTROL!$C$23, $C$12, 100%, $E$12)</f>
        <v>9.1789000000000005</v>
      </c>
      <c r="L228" s="66">
        <f>4.9415 * CHOOSE(CONTROL!$C$23, $C$12, 100%, $E$12)</f>
        <v>4.9414999999999996</v>
      </c>
      <c r="M228" s="66">
        <f>4.9484 * CHOOSE(CONTROL!$C$23, $C$12, 100%, $E$12)</f>
        <v>4.9484000000000004</v>
      </c>
      <c r="N228" s="66">
        <f>4.9415 * CHOOSE(CONTROL!$C$23, $C$12, 100%, $E$12)</f>
        <v>4.9414999999999996</v>
      </c>
      <c r="O228" s="66">
        <f>4.9484 * CHOOSE(CONTROL!$C$23, $C$12, 100%, $E$12)</f>
        <v>4.9484000000000004</v>
      </c>
    </row>
    <row r="229" spans="1:15" ht="15">
      <c r="A229" s="13">
        <v>48122</v>
      </c>
      <c r="B229" s="65">
        <f>4.1232 * CHOOSE(CONTROL!$C$23, $C$12, 100%, $E$12)</f>
        <v>4.1231999999999998</v>
      </c>
      <c r="C229" s="65">
        <f>4.1232 * CHOOSE(CONTROL!$C$23, $C$12, 100%, $E$12)</f>
        <v>4.1231999999999998</v>
      </c>
      <c r="D229" s="65">
        <f>4.1272 * CHOOSE(CONTROL!$C$23, $C$12, 100%, $E$12)</f>
        <v>4.1272000000000002</v>
      </c>
      <c r="E229" s="66">
        <f>4.9609 * CHOOSE(CONTROL!$C$23, $C$12, 100%, $E$12)</f>
        <v>4.9608999999999996</v>
      </c>
      <c r="F229" s="66">
        <f>4.9609 * CHOOSE(CONTROL!$C$23, $C$12, 100%, $E$12)</f>
        <v>4.9608999999999996</v>
      </c>
      <c r="G229" s="66">
        <f>4.9658 * CHOOSE(CONTROL!$C$23, $C$12, 100%, $E$12)</f>
        <v>4.9657999999999998</v>
      </c>
      <c r="H229" s="66">
        <f>9.1911* CHOOSE(CONTROL!$C$23, $C$12, 100%, $E$12)</f>
        <v>9.1911000000000005</v>
      </c>
      <c r="I229" s="66">
        <f>9.1961 * CHOOSE(CONTROL!$C$23, $C$12, 100%, $E$12)</f>
        <v>9.1960999999999995</v>
      </c>
      <c r="J229" s="66">
        <f>9.1911 * CHOOSE(CONTROL!$C$23, $C$12, 100%, $E$12)</f>
        <v>9.1911000000000005</v>
      </c>
      <c r="K229" s="66">
        <f>9.1961 * CHOOSE(CONTROL!$C$23, $C$12, 100%, $E$12)</f>
        <v>9.1960999999999995</v>
      </c>
      <c r="L229" s="66">
        <f>4.9609 * CHOOSE(CONTROL!$C$23, $C$12, 100%, $E$12)</f>
        <v>4.9608999999999996</v>
      </c>
      <c r="M229" s="66">
        <f>4.9658 * CHOOSE(CONTROL!$C$23, $C$12, 100%, $E$12)</f>
        <v>4.9657999999999998</v>
      </c>
      <c r="N229" s="66">
        <f>4.9609 * CHOOSE(CONTROL!$C$23, $C$12, 100%, $E$12)</f>
        <v>4.9608999999999996</v>
      </c>
      <c r="O229" s="66">
        <f>4.9658 * CHOOSE(CONTROL!$C$23, $C$12, 100%, $E$12)</f>
        <v>4.9657999999999998</v>
      </c>
    </row>
    <row r="230" spans="1:15" ht="15">
      <c r="A230" s="13">
        <v>48153</v>
      </c>
      <c r="B230" s="65">
        <f>4.1263 * CHOOSE(CONTROL!$C$23, $C$12, 100%, $E$12)</f>
        <v>4.1262999999999996</v>
      </c>
      <c r="C230" s="65">
        <f>4.1263 * CHOOSE(CONTROL!$C$23, $C$12, 100%, $E$12)</f>
        <v>4.1262999999999996</v>
      </c>
      <c r="D230" s="65">
        <f>4.1303 * CHOOSE(CONTROL!$C$23, $C$12, 100%, $E$12)</f>
        <v>4.1303000000000001</v>
      </c>
      <c r="E230" s="66">
        <f>4.9794 * CHOOSE(CONTROL!$C$23, $C$12, 100%, $E$12)</f>
        <v>4.9794</v>
      </c>
      <c r="F230" s="66">
        <f>4.9794 * CHOOSE(CONTROL!$C$23, $C$12, 100%, $E$12)</f>
        <v>4.9794</v>
      </c>
      <c r="G230" s="66">
        <f>4.9843 * CHOOSE(CONTROL!$C$23, $C$12, 100%, $E$12)</f>
        <v>4.9843000000000002</v>
      </c>
      <c r="H230" s="66">
        <f>9.2103* CHOOSE(CONTROL!$C$23, $C$12, 100%, $E$12)</f>
        <v>9.2103000000000002</v>
      </c>
      <c r="I230" s="66">
        <f>9.2152 * CHOOSE(CONTROL!$C$23, $C$12, 100%, $E$12)</f>
        <v>9.2151999999999994</v>
      </c>
      <c r="J230" s="66">
        <f>9.2103 * CHOOSE(CONTROL!$C$23, $C$12, 100%, $E$12)</f>
        <v>9.2103000000000002</v>
      </c>
      <c r="K230" s="66">
        <f>9.2152 * CHOOSE(CONTROL!$C$23, $C$12, 100%, $E$12)</f>
        <v>9.2151999999999994</v>
      </c>
      <c r="L230" s="66">
        <f>4.9794 * CHOOSE(CONTROL!$C$23, $C$12, 100%, $E$12)</f>
        <v>4.9794</v>
      </c>
      <c r="M230" s="66">
        <f>4.9843 * CHOOSE(CONTROL!$C$23, $C$12, 100%, $E$12)</f>
        <v>4.9843000000000002</v>
      </c>
      <c r="N230" s="66">
        <f>4.9794 * CHOOSE(CONTROL!$C$23, $C$12, 100%, $E$12)</f>
        <v>4.9794</v>
      </c>
      <c r="O230" s="66">
        <f>4.9843 * CHOOSE(CONTROL!$C$23, $C$12, 100%, $E$12)</f>
        <v>4.9843000000000002</v>
      </c>
    </row>
    <row r="231" spans="1:15" ht="15">
      <c r="A231" s="13">
        <v>48183</v>
      </c>
      <c r="B231" s="65">
        <f>4.1263 * CHOOSE(CONTROL!$C$23, $C$12, 100%, $E$12)</f>
        <v>4.1262999999999996</v>
      </c>
      <c r="C231" s="65">
        <f>4.1263 * CHOOSE(CONTROL!$C$23, $C$12, 100%, $E$12)</f>
        <v>4.1262999999999996</v>
      </c>
      <c r="D231" s="65">
        <f>4.1303 * CHOOSE(CONTROL!$C$23, $C$12, 100%, $E$12)</f>
        <v>4.1303000000000001</v>
      </c>
      <c r="E231" s="66">
        <f>4.9384 * CHOOSE(CONTROL!$C$23, $C$12, 100%, $E$12)</f>
        <v>4.9383999999999997</v>
      </c>
      <c r="F231" s="66">
        <f>4.9384 * CHOOSE(CONTROL!$C$23, $C$12, 100%, $E$12)</f>
        <v>4.9383999999999997</v>
      </c>
      <c r="G231" s="66">
        <f>4.9434 * CHOOSE(CONTROL!$C$23, $C$12, 100%, $E$12)</f>
        <v>4.9433999999999996</v>
      </c>
      <c r="H231" s="66">
        <f>9.2295* CHOOSE(CONTROL!$C$23, $C$12, 100%, $E$12)</f>
        <v>9.2294999999999998</v>
      </c>
      <c r="I231" s="66">
        <f>9.2344 * CHOOSE(CONTROL!$C$23, $C$12, 100%, $E$12)</f>
        <v>9.2344000000000008</v>
      </c>
      <c r="J231" s="66">
        <f>9.2295 * CHOOSE(CONTROL!$C$23, $C$12, 100%, $E$12)</f>
        <v>9.2294999999999998</v>
      </c>
      <c r="K231" s="66">
        <f>9.2344 * CHOOSE(CONTROL!$C$23, $C$12, 100%, $E$12)</f>
        <v>9.2344000000000008</v>
      </c>
      <c r="L231" s="66">
        <f>4.9384 * CHOOSE(CONTROL!$C$23, $C$12, 100%, $E$12)</f>
        <v>4.9383999999999997</v>
      </c>
      <c r="M231" s="66">
        <f>4.9434 * CHOOSE(CONTROL!$C$23, $C$12, 100%, $E$12)</f>
        <v>4.9433999999999996</v>
      </c>
      <c r="N231" s="66">
        <f>4.9384 * CHOOSE(CONTROL!$C$23, $C$12, 100%, $E$12)</f>
        <v>4.9383999999999997</v>
      </c>
      <c r="O231" s="66">
        <f>4.9434 * CHOOSE(CONTROL!$C$23, $C$12, 100%, $E$12)</f>
        <v>4.9433999999999996</v>
      </c>
    </row>
    <row r="232" spans="1:15" ht="15">
      <c r="A232" s="13">
        <v>48214</v>
      </c>
      <c r="B232" s="65">
        <f>4.1645 * CHOOSE(CONTROL!$C$23, $C$12, 100%, $E$12)</f>
        <v>4.1645000000000003</v>
      </c>
      <c r="C232" s="65">
        <f>4.1645 * CHOOSE(CONTROL!$C$23, $C$12, 100%, $E$12)</f>
        <v>4.1645000000000003</v>
      </c>
      <c r="D232" s="65">
        <f>4.1685 * CHOOSE(CONTROL!$C$23, $C$12, 100%, $E$12)</f>
        <v>4.1684999999999999</v>
      </c>
      <c r="E232" s="66">
        <f>5.0152 * CHOOSE(CONTROL!$C$23, $C$12, 100%, $E$12)</f>
        <v>5.0152000000000001</v>
      </c>
      <c r="F232" s="66">
        <f>5.0152 * CHOOSE(CONTROL!$C$23, $C$12, 100%, $E$12)</f>
        <v>5.0152000000000001</v>
      </c>
      <c r="G232" s="66">
        <f>5.0201 * CHOOSE(CONTROL!$C$23, $C$12, 100%, $E$12)</f>
        <v>5.0201000000000002</v>
      </c>
      <c r="H232" s="66">
        <f>9.2487* CHOOSE(CONTROL!$C$23, $C$12, 100%, $E$12)</f>
        <v>9.2486999999999995</v>
      </c>
      <c r="I232" s="66">
        <f>9.2536 * CHOOSE(CONTROL!$C$23, $C$12, 100%, $E$12)</f>
        <v>9.2536000000000005</v>
      </c>
      <c r="J232" s="66">
        <f>9.2487 * CHOOSE(CONTROL!$C$23, $C$12, 100%, $E$12)</f>
        <v>9.2486999999999995</v>
      </c>
      <c r="K232" s="66">
        <f>9.2536 * CHOOSE(CONTROL!$C$23, $C$12, 100%, $E$12)</f>
        <v>9.2536000000000005</v>
      </c>
      <c r="L232" s="66">
        <f>5.0152 * CHOOSE(CONTROL!$C$23, $C$12, 100%, $E$12)</f>
        <v>5.0152000000000001</v>
      </c>
      <c r="M232" s="66">
        <f>5.0201 * CHOOSE(CONTROL!$C$23, $C$12, 100%, $E$12)</f>
        <v>5.0201000000000002</v>
      </c>
      <c r="N232" s="66">
        <f>5.0152 * CHOOSE(CONTROL!$C$23, $C$12, 100%, $E$12)</f>
        <v>5.0152000000000001</v>
      </c>
      <c r="O232" s="66">
        <f>5.0201 * CHOOSE(CONTROL!$C$23, $C$12, 100%, $E$12)</f>
        <v>5.0201000000000002</v>
      </c>
    </row>
    <row r="233" spans="1:15" ht="15">
      <c r="A233" s="13">
        <v>48245</v>
      </c>
      <c r="B233" s="65">
        <f>4.1614 * CHOOSE(CONTROL!$C$23, $C$12, 100%, $E$12)</f>
        <v>4.1614000000000004</v>
      </c>
      <c r="C233" s="65">
        <f>4.1614 * CHOOSE(CONTROL!$C$23, $C$12, 100%, $E$12)</f>
        <v>4.1614000000000004</v>
      </c>
      <c r="D233" s="65">
        <f>4.1654 * CHOOSE(CONTROL!$C$23, $C$12, 100%, $E$12)</f>
        <v>4.1654</v>
      </c>
      <c r="E233" s="66">
        <f>4.9336 * CHOOSE(CONTROL!$C$23, $C$12, 100%, $E$12)</f>
        <v>4.9336000000000002</v>
      </c>
      <c r="F233" s="66">
        <f>4.9336 * CHOOSE(CONTROL!$C$23, $C$12, 100%, $E$12)</f>
        <v>4.9336000000000002</v>
      </c>
      <c r="G233" s="66">
        <f>4.9385 * CHOOSE(CONTROL!$C$23, $C$12, 100%, $E$12)</f>
        <v>4.9385000000000003</v>
      </c>
      <c r="H233" s="66">
        <f>9.268* CHOOSE(CONTROL!$C$23, $C$12, 100%, $E$12)</f>
        <v>9.2680000000000007</v>
      </c>
      <c r="I233" s="66">
        <f>9.2729 * CHOOSE(CONTROL!$C$23, $C$12, 100%, $E$12)</f>
        <v>9.2728999999999999</v>
      </c>
      <c r="J233" s="66">
        <f>9.268 * CHOOSE(CONTROL!$C$23, $C$12, 100%, $E$12)</f>
        <v>9.2680000000000007</v>
      </c>
      <c r="K233" s="66">
        <f>9.2729 * CHOOSE(CONTROL!$C$23, $C$12, 100%, $E$12)</f>
        <v>9.2728999999999999</v>
      </c>
      <c r="L233" s="66">
        <f>4.9336 * CHOOSE(CONTROL!$C$23, $C$12, 100%, $E$12)</f>
        <v>4.9336000000000002</v>
      </c>
      <c r="M233" s="66">
        <f>4.9385 * CHOOSE(CONTROL!$C$23, $C$12, 100%, $E$12)</f>
        <v>4.9385000000000003</v>
      </c>
      <c r="N233" s="66">
        <f>4.9336 * CHOOSE(CONTROL!$C$23, $C$12, 100%, $E$12)</f>
        <v>4.9336000000000002</v>
      </c>
      <c r="O233" s="66">
        <f>4.9385 * CHOOSE(CONTROL!$C$23, $C$12, 100%, $E$12)</f>
        <v>4.9385000000000003</v>
      </c>
    </row>
    <row r="234" spans="1:15" ht="15">
      <c r="A234" s="13">
        <v>48274</v>
      </c>
      <c r="B234" s="65">
        <f>4.1584 * CHOOSE(CONTROL!$C$23, $C$12, 100%, $E$12)</f>
        <v>4.1584000000000003</v>
      </c>
      <c r="C234" s="65">
        <f>4.1584 * CHOOSE(CONTROL!$C$23, $C$12, 100%, $E$12)</f>
        <v>4.1584000000000003</v>
      </c>
      <c r="D234" s="65">
        <f>4.1624 * CHOOSE(CONTROL!$C$23, $C$12, 100%, $E$12)</f>
        <v>4.1623999999999999</v>
      </c>
      <c r="E234" s="66">
        <f>4.9942 * CHOOSE(CONTROL!$C$23, $C$12, 100%, $E$12)</f>
        <v>4.9942000000000002</v>
      </c>
      <c r="F234" s="66">
        <f>4.9942 * CHOOSE(CONTROL!$C$23, $C$12, 100%, $E$12)</f>
        <v>4.9942000000000002</v>
      </c>
      <c r="G234" s="66">
        <f>4.9991 * CHOOSE(CONTROL!$C$23, $C$12, 100%, $E$12)</f>
        <v>4.9991000000000003</v>
      </c>
      <c r="H234" s="66">
        <f>9.2873* CHOOSE(CONTROL!$C$23, $C$12, 100%, $E$12)</f>
        <v>9.2873000000000001</v>
      </c>
      <c r="I234" s="66">
        <f>9.2922 * CHOOSE(CONTROL!$C$23, $C$12, 100%, $E$12)</f>
        <v>9.2921999999999993</v>
      </c>
      <c r="J234" s="66">
        <f>9.2873 * CHOOSE(CONTROL!$C$23, $C$12, 100%, $E$12)</f>
        <v>9.2873000000000001</v>
      </c>
      <c r="K234" s="66">
        <f>9.2922 * CHOOSE(CONTROL!$C$23, $C$12, 100%, $E$12)</f>
        <v>9.2921999999999993</v>
      </c>
      <c r="L234" s="66">
        <f>4.9942 * CHOOSE(CONTROL!$C$23, $C$12, 100%, $E$12)</f>
        <v>4.9942000000000002</v>
      </c>
      <c r="M234" s="66">
        <f>4.9991 * CHOOSE(CONTROL!$C$23, $C$12, 100%, $E$12)</f>
        <v>4.9991000000000003</v>
      </c>
      <c r="N234" s="66">
        <f>4.9942 * CHOOSE(CONTROL!$C$23, $C$12, 100%, $E$12)</f>
        <v>4.9942000000000002</v>
      </c>
      <c r="O234" s="66">
        <f>4.9991 * CHOOSE(CONTROL!$C$23, $C$12, 100%, $E$12)</f>
        <v>4.9991000000000003</v>
      </c>
    </row>
    <row r="235" spans="1:15" ht="15">
      <c r="A235" s="13">
        <v>48305</v>
      </c>
      <c r="B235" s="65">
        <f>4.1562 * CHOOSE(CONTROL!$C$23, $C$12, 100%, $E$12)</f>
        <v>4.1562000000000001</v>
      </c>
      <c r="C235" s="65">
        <f>4.1562 * CHOOSE(CONTROL!$C$23, $C$12, 100%, $E$12)</f>
        <v>4.1562000000000001</v>
      </c>
      <c r="D235" s="65">
        <f>4.1602 * CHOOSE(CONTROL!$C$23, $C$12, 100%, $E$12)</f>
        <v>4.1601999999999997</v>
      </c>
      <c r="E235" s="66">
        <f>5.0572 * CHOOSE(CONTROL!$C$23, $C$12, 100%, $E$12)</f>
        <v>5.0571999999999999</v>
      </c>
      <c r="F235" s="66">
        <f>5.0572 * CHOOSE(CONTROL!$C$23, $C$12, 100%, $E$12)</f>
        <v>5.0571999999999999</v>
      </c>
      <c r="G235" s="66">
        <f>5.0622 * CHOOSE(CONTROL!$C$23, $C$12, 100%, $E$12)</f>
        <v>5.0621999999999998</v>
      </c>
      <c r="H235" s="66">
        <f>9.3066* CHOOSE(CONTROL!$C$23, $C$12, 100%, $E$12)</f>
        <v>9.3065999999999995</v>
      </c>
      <c r="I235" s="66">
        <f>9.3116 * CHOOSE(CONTROL!$C$23, $C$12, 100%, $E$12)</f>
        <v>9.3116000000000003</v>
      </c>
      <c r="J235" s="66">
        <f>9.3066 * CHOOSE(CONTROL!$C$23, $C$12, 100%, $E$12)</f>
        <v>9.3065999999999995</v>
      </c>
      <c r="K235" s="66">
        <f>9.3116 * CHOOSE(CONTROL!$C$23, $C$12, 100%, $E$12)</f>
        <v>9.3116000000000003</v>
      </c>
      <c r="L235" s="66">
        <f>5.0572 * CHOOSE(CONTROL!$C$23, $C$12, 100%, $E$12)</f>
        <v>5.0571999999999999</v>
      </c>
      <c r="M235" s="66">
        <f>5.0622 * CHOOSE(CONTROL!$C$23, $C$12, 100%, $E$12)</f>
        <v>5.0621999999999998</v>
      </c>
      <c r="N235" s="66">
        <f>5.0572 * CHOOSE(CONTROL!$C$23, $C$12, 100%, $E$12)</f>
        <v>5.0571999999999999</v>
      </c>
      <c r="O235" s="66">
        <f>5.0622 * CHOOSE(CONTROL!$C$23, $C$12, 100%, $E$12)</f>
        <v>5.0621999999999998</v>
      </c>
    </row>
    <row r="236" spans="1:15" ht="15">
      <c r="A236" s="13">
        <v>48335</v>
      </c>
      <c r="B236" s="65">
        <f>4.1562 * CHOOSE(CONTROL!$C$23, $C$12, 100%, $E$12)</f>
        <v>4.1562000000000001</v>
      </c>
      <c r="C236" s="65">
        <f>4.1562 * CHOOSE(CONTROL!$C$23, $C$12, 100%, $E$12)</f>
        <v>4.1562000000000001</v>
      </c>
      <c r="D236" s="65">
        <f>4.1618 * CHOOSE(CONTROL!$C$23, $C$12, 100%, $E$12)</f>
        <v>4.1618000000000004</v>
      </c>
      <c r="E236" s="66">
        <f>5.0825 * CHOOSE(CONTROL!$C$23, $C$12, 100%, $E$12)</f>
        <v>5.0824999999999996</v>
      </c>
      <c r="F236" s="66">
        <f>5.0825 * CHOOSE(CONTROL!$C$23, $C$12, 100%, $E$12)</f>
        <v>5.0824999999999996</v>
      </c>
      <c r="G236" s="66">
        <f>5.0894 * CHOOSE(CONTROL!$C$23, $C$12, 100%, $E$12)</f>
        <v>5.0894000000000004</v>
      </c>
      <c r="H236" s="66">
        <f>9.326* CHOOSE(CONTROL!$C$23, $C$12, 100%, $E$12)</f>
        <v>9.3260000000000005</v>
      </c>
      <c r="I236" s="66">
        <f>9.3329 * CHOOSE(CONTROL!$C$23, $C$12, 100%, $E$12)</f>
        <v>9.3329000000000004</v>
      </c>
      <c r="J236" s="66">
        <f>9.326 * CHOOSE(CONTROL!$C$23, $C$12, 100%, $E$12)</f>
        <v>9.3260000000000005</v>
      </c>
      <c r="K236" s="66">
        <f>9.3329 * CHOOSE(CONTROL!$C$23, $C$12, 100%, $E$12)</f>
        <v>9.3329000000000004</v>
      </c>
      <c r="L236" s="66">
        <f>5.0825 * CHOOSE(CONTROL!$C$23, $C$12, 100%, $E$12)</f>
        <v>5.0824999999999996</v>
      </c>
      <c r="M236" s="66">
        <f>5.0894 * CHOOSE(CONTROL!$C$23, $C$12, 100%, $E$12)</f>
        <v>5.0894000000000004</v>
      </c>
      <c r="N236" s="66">
        <f>5.0825 * CHOOSE(CONTROL!$C$23, $C$12, 100%, $E$12)</f>
        <v>5.0824999999999996</v>
      </c>
      <c r="O236" s="66">
        <f>5.0894 * CHOOSE(CONTROL!$C$23, $C$12, 100%, $E$12)</f>
        <v>5.0894000000000004</v>
      </c>
    </row>
    <row r="237" spans="1:15" ht="15">
      <c r="A237" s="13">
        <v>48366</v>
      </c>
      <c r="B237" s="65">
        <f>4.1623 * CHOOSE(CONTROL!$C$23, $C$12, 100%, $E$12)</f>
        <v>4.1623000000000001</v>
      </c>
      <c r="C237" s="65">
        <f>4.1623 * CHOOSE(CONTROL!$C$23, $C$12, 100%, $E$12)</f>
        <v>4.1623000000000001</v>
      </c>
      <c r="D237" s="65">
        <f>4.1679 * CHOOSE(CONTROL!$C$23, $C$12, 100%, $E$12)</f>
        <v>4.1679000000000004</v>
      </c>
      <c r="E237" s="66">
        <f>5.0615 * CHOOSE(CONTROL!$C$23, $C$12, 100%, $E$12)</f>
        <v>5.0614999999999997</v>
      </c>
      <c r="F237" s="66">
        <f>5.0615 * CHOOSE(CONTROL!$C$23, $C$12, 100%, $E$12)</f>
        <v>5.0614999999999997</v>
      </c>
      <c r="G237" s="66">
        <f>5.0684 * CHOOSE(CONTROL!$C$23, $C$12, 100%, $E$12)</f>
        <v>5.0683999999999996</v>
      </c>
      <c r="H237" s="66">
        <f>9.3455* CHOOSE(CONTROL!$C$23, $C$12, 100%, $E$12)</f>
        <v>9.3454999999999995</v>
      </c>
      <c r="I237" s="66">
        <f>9.3523 * CHOOSE(CONTROL!$C$23, $C$12, 100%, $E$12)</f>
        <v>9.3522999999999996</v>
      </c>
      <c r="J237" s="66">
        <f>9.3455 * CHOOSE(CONTROL!$C$23, $C$12, 100%, $E$12)</f>
        <v>9.3454999999999995</v>
      </c>
      <c r="K237" s="66">
        <f>9.3523 * CHOOSE(CONTROL!$C$23, $C$12, 100%, $E$12)</f>
        <v>9.3522999999999996</v>
      </c>
      <c r="L237" s="66">
        <f>5.0615 * CHOOSE(CONTROL!$C$23, $C$12, 100%, $E$12)</f>
        <v>5.0614999999999997</v>
      </c>
      <c r="M237" s="66">
        <f>5.0684 * CHOOSE(CONTROL!$C$23, $C$12, 100%, $E$12)</f>
        <v>5.0683999999999996</v>
      </c>
      <c r="N237" s="66">
        <f>5.0615 * CHOOSE(CONTROL!$C$23, $C$12, 100%, $E$12)</f>
        <v>5.0614999999999997</v>
      </c>
      <c r="O237" s="66">
        <f>5.0684 * CHOOSE(CONTROL!$C$23, $C$12, 100%, $E$12)</f>
        <v>5.0683999999999996</v>
      </c>
    </row>
    <row r="238" spans="1:15" ht="15">
      <c r="A238" s="13">
        <v>48396</v>
      </c>
      <c r="B238" s="65">
        <f>4.2341 * CHOOSE(CONTROL!$C$23, $C$12, 100%, $E$12)</f>
        <v>4.2340999999999998</v>
      </c>
      <c r="C238" s="65">
        <f>4.2341 * CHOOSE(CONTROL!$C$23, $C$12, 100%, $E$12)</f>
        <v>4.2340999999999998</v>
      </c>
      <c r="D238" s="65">
        <f>4.2398 * CHOOSE(CONTROL!$C$23, $C$12, 100%, $E$12)</f>
        <v>4.2397999999999998</v>
      </c>
      <c r="E238" s="66">
        <f>5.166 * CHOOSE(CONTROL!$C$23, $C$12, 100%, $E$12)</f>
        <v>5.1660000000000004</v>
      </c>
      <c r="F238" s="66">
        <f>5.166 * CHOOSE(CONTROL!$C$23, $C$12, 100%, $E$12)</f>
        <v>5.1660000000000004</v>
      </c>
      <c r="G238" s="66">
        <f>5.1729 * CHOOSE(CONTROL!$C$23, $C$12, 100%, $E$12)</f>
        <v>5.1729000000000003</v>
      </c>
      <c r="H238" s="66">
        <f>9.3649* CHOOSE(CONTROL!$C$23, $C$12, 100%, $E$12)</f>
        <v>9.3649000000000004</v>
      </c>
      <c r="I238" s="66">
        <f>9.3718 * CHOOSE(CONTROL!$C$23, $C$12, 100%, $E$12)</f>
        <v>9.3718000000000004</v>
      </c>
      <c r="J238" s="66">
        <f>9.3649 * CHOOSE(CONTROL!$C$23, $C$12, 100%, $E$12)</f>
        <v>9.3649000000000004</v>
      </c>
      <c r="K238" s="66">
        <f>9.3718 * CHOOSE(CONTROL!$C$23, $C$12, 100%, $E$12)</f>
        <v>9.3718000000000004</v>
      </c>
      <c r="L238" s="66">
        <f>5.166 * CHOOSE(CONTROL!$C$23, $C$12, 100%, $E$12)</f>
        <v>5.1660000000000004</v>
      </c>
      <c r="M238" s="66">
        <f>5.1729 * CHOOSE(CONTROL!$C$23, $C$12, 100%, $E$12)</f>
        <v>5.1729000000000003</v>
      </c>
      <c r="N238" s="66">
        <f>5.166 * CHOOSE(CONTROL!$C$23, $C$12, 100%, $E$12)</f>
        <v>5.1660000000000004</v>
      </c>
      <c r="O238" s="66">
        <f>5.1729 * CHOOSE(CONTROL!$C$23, $C$12, 100%, $E$12)</f>
        <v>5.1729000000000003</v>
      </c>
    </row>
    <row r="239" spans="1:15" ht="15">
      <c r="A239" s="13">
        <v>48427</v>
      </c>
      <c r="B239" s="65">
        <f>4.2408 * CHOOSE(CONTROL!$C$23, $C$12, 100%, $E$12)</f>
        <v>4.2408000000000001</v>
      </c>
      <c r="C239" s="65">
        <f>4.2408 * CHOOSE(CONTROL!$C$23, $C$12, 100%, $E$12)</f>
        <v>4.2408000000000001</v>
      </c>
      <c r="D239" s="65">
        <f>4.2464 * CHOOSE(CONTROL!$C$23, $C$12, 100%, $E$12)</f>
        <v>4.2464000000000004</v>
      </c>
      <c r="E239" s="66">
        <f>5.095 * CHOOSE(CONTROL!$C$23, $C$12, 100%, $E$12)</f>
        <v>5.0949999999999998</v>
      </c>
      <c r="F239" s="66">
        <f>5.095 * CHOOSE(CONTROL!$C$23, $C$12, 100%, $E$12)</f>
        <v>5.0949999999999998</v>
      </c>
      <c r="G239" s="66">
        <f>5.1018 * CHOOSE(CONTROL!$C$23, $C$12, 100%, $E$12)</f>
        <v>5.1017999999999999</v>
      </c>
      <c r="H239" s="66">
        <f>9.3844* CHOOSE(CONTROL!$C$23, $C$12, 100%, $E$12)</f>
        <v>9.3843999999999994</v>
      </c>
      <c r="I239" s="66">
        <f>9.3913 * CHOOSE(CONTROL!$C$23, $C$12, 100%, $E$12)</f>
        <v>9.3912999999999993</v>
      </c>
      <c r="J239" s="66">
        <f>9.3844 * CHOOSE(CONTROL!$C$23, $C$12, 100%, $E$12)</f>
        <v>9.3843999999999994</v>
      </c>
      <c r="K239" s="66">
        <f>9.3913 * CHOOSE(CONTROL!$C$23, $C$12, 100%, $E$12)</f>
        <v>9.3912999999999993</v>
      </c>
      <c r="L239" s="66">
        <f>5.095 * CHOOSE(CONTROL!$C$23, $C$12, 100%, $E$12)</f>
        <v>5.0949999999999998</v>
      </c>
      <c r="M239" s="66">
        <f>5.1018 * CHOOSE(CONTROL!$C$23, $C$12, 100%, $E$12)</f>
        <v>5.1017999999999999</v>
      </c>
      <c r="N239" s="66">
        <f>5.095 * CHOOSE(CONTROL!$C$23, $C$12, 100%, $E$12)</f>
        <v>5.0949999999999998</v>
      </c>
      <c r="O239" s="66">
        <f>5.1018 * CHOOSE(CONTROL!$C$23, $C$12, 100%, $E$12)</f>
        <v>5.1017999999999999</v>
      </c>
    </row>
    <row r="240" spans="1:15" ht="15">
      <c r="A240" s="13">
        <v>48458</v>
      </c>
      <c r="B240" s="65">
        <f>4.2378 * CHOOSE(CONTROL!$C$23, $C$12, 100%, $E$12)</f>
        <v>4.2378</v>
      </c>
      <c r="C240" s="65">
        <f>4.2378 * CHOOSE(CONTROL!$C$23, $C$12, 100%, $E$12)</f>
        <v>4.2378</v>
      </c>
      <c r="D240" s="65">
        <f>4.2434 * CHOOSE(CONTROL!$C$23, $C$12, 100%, $E$12)</f>
        <v>4.2434000000000003</v>
      </c>
      <c r="E240" s="66">
        <f>5.0844 * CHOOSE(CONTROL!$C$23, $C$12, 100%, $E$12)</f>
        <v>5.0843999999999996</v>
      </c>
      <c r="F240" s="66">
        <f>5.0844 * CHOOSE(CONTROL!$C$23, $C$12, 100%, $E$12)</f>
        <v>5.0843999999999996</v>
      </c>
      <c r="G240" s="66">
        <f>5.0913 * CHOOSE(CONTROL!$C$23, $C$12, 100%, $E$12)</f>
        <v>5.0913000000000004</v>
      </c>
      <c r="H240" s="66">
        <f>9.404* CHOOSE(CONTROL!$C$23, $C$12, 100%, $E$12)</f>
        <v>9.4039999999999999</v>
      </c>
      <c r="I240" s="66">
        <f>9.4109 * CHOOSE(CONTROL!$C$23, $C$12, 100%, $E$12)</f>
        <v>9.4108999999999998</v>
      </c>
      <c r="J240" s="66">
        <f>9.404 * CHOOSE(CONTROL!$C$23, $C$12, 100%, $E$12)</f>
        <v>9.4039999999999999</v>
      </c>
      <c r="K240" s="66">
        <f>9.4109 * CHOOSE(CONTROL!$C$23, $C$12, 100%, $E$12)</f>
        <v>9.4108999999999998</v>
      </c>
      <c r="L240" s="66">
        <f>5.0844 * CHOOSE(CONTROL!$C$23, $C$12, 100%, $E$12)</f>
        <v>5.0843999999999996</v>
      </c>
      <c r="M240" s="66">
        <f>5.0913 * CHOOSE(CONTROL!$C$23, $C$12, 100%, $E$12)</f>
        <v>5.0913000000000004</v>
      </c>
      <c r="N240" s="66">
        <f>5.0844 * CHOOSE(CONTROL!$C$23, $C$12, 100%, $E$12)</f>
        <v>5.0843999999999996</v>
      </c>
      <c r="O240" s="66">
        <f>5.0913 * CHOOSE(CONTROL!$C$23, $C$12, 100%, $E$12)</f>
        <v>5.0913000000000004</v>
      </c>
    </row>
    <row r="241" spans="1:15" ht="15">
      <c r="A241" s="13">
        <v>48488</v>
      </c>
      <c r="B241" s="65">
        <f>4.2336 * CHOOSE(CONTROL!$C$23, $C$12, 100%, $E$12)</f>
        <v>4.2336</v>
      </c>
      <c r="C241" s="65">
        <f>4.2336 * CHOOSE(CONTROL!$C$23, $C$12, 100%, $E$12)</f>
        <v>4.2336</v>
      </c>
      <c r="D241" s="65">
        <f>4.2376 * CHOOSE(CONTROL!$C$23, $C$12, 100%, $E$12)</f>
        <v>4.2375999999999996</v>
      </c>
      <c r="E241" s="66">
        <f>5.1047 * CHOOSE(CONTROL!$C$23, $C$12, 100%, $E$12)</f>
        <v>5.1047000000000002</v>
      </c>
      <c r="F241" s="66">
        <f>5.1047 * CHOOSE(CONTROL!$C$23, $C$12, 100%, $E$12)</f>
        <v>5.1047000000000002</v>
      </c>
      <c r="G241" s="66">
        <f>5.1096 * CHOOSE(CONTROL!$C$23, $C$12, 100%, $E$12)</f>
        <v>5.1096000000000004</v>
      </c>
      <c r="H241" s="66">
        <f>9.4236* CHOOSE(CONTROL!$C$23, $C$12, 100%, $E$12)</f>
        <v>9.4236000000000004</v>
      </c>
      <c r="I241" s="66">
        <f>9.4285 * CHOOSE(CONTROL!$C$23, $C$12, 100%, $E$12)</f>
        <v>9.4284999999999997</v>
      </c>
      <c r="J241" s="66">
        <f>9.4236 * CHOOSE(CONTROL!$C$23, $C$12, 100%, $E$12)</f>
        <v>9.4236000000000004</v>
      </c>
      <c r="K241" s="66">
        <f>9.4285 * CHOOSE(CONTROL!$C$23, $C$12, 100%, $E$12)</f>
        <v>9.4284999999999997</v>
      </c>
      <c r="L241" s="66">
        <f>5.1047 * CHOOSE(CONTROL!$C$23, $C$12, 100%, $E$12)</f>
        <v>5.1047000000000002</v>
      </c>
      <c r="M241" s="66">
        <f>5.1096 * CHOOSE(CONTROL!$C$23, $C$12, 100%, $E$12)</f>
        <v>5.1096000000000004</v>
      </c>
      <c r="N241" s="66">
        <f>5.1047 * CHOOSE(CONTROL!$C$23, $C$12, 100%, $E$12)</f>
        <v>5.1047000000000002</v>
      </c>
      <c r="O241" s="66">
        <f>5.1096 * CHOOSE(CONTROL!$C$23, $C$12, 100%, $E$12)</f>
        <v>5.1096000000000004</v>
      </c>
    </row>
    <row r="242" spans="1:15" ht="15">
      <c r="A242" s="13">
        <v>48519</v>
      </c>
      <c r="B242" s="65">
        <f>4.2367 * CHOOSE(CONTROL!$C$23, $C$12, 100%, $E$12)</f>
        <v>4.2366999999999999</v>
      </c>
      <c r="C242" s="65">
        <f>4.2367 * CHOOSE(CONTROL!$C$23, $C$12, 100%, $E$12)</f>
        <v>4.2366999999999999</v>
      </c>
      <c r="D242" s="65">
        <f>4.2407 * CHOOSE(CONTROL!$C$23, $C$12, 100%, $E$12)</f>
        <v>4.2407000000000004</v>
      </c>
      <c r="E242" s="66">
        <f>5.1236 * CHOOSE(CONTROL!$C$23, $C$12, 100%, $E$12)</f>
        <v>5.1235999999999997</v>
      </c>
      <c r="F242" s="66">
        <f>5.1236 * CHOOSE(CONTROL!$C$23, $C$12, 100%, $E$12)</f>
        <v>5.1235999999999997</v>
      </c>
      <c r="G242" s="66">
        <f>5.1285 * CHOOSE(CONTROL!$C$23, $C$12, 100%, $E$12)</f>
        <v>5.1284999999999998</v>
      </c>
      <c r="H242" s="66">
        <f>9.4432* CHOOSE(CONTROL!$C$23, $C$12, 100%, $E$12)</f>
        <v>9.4431999999999992</v>
      </c>
      <c r="I242" s="66">
        <f>9.4481 * CHOOSE(CONTROL!$C$23, $C$12, 100%, $E$12)</f>
        <v>9.4481000000000002</v>
      </c>
      <c r="J242" s="66">
        <f>9.4432 * CHOOSE(CONTROL!$C$23, $C$12, 100%, $E$12)</f>
        <v>9.4431999999999992</v>
      </c>
      <c r="K242" s="66">
        <f>9.4481 * CHOOSE(CONTROL!$C$23, $C$12, 100%, $E$12)</f>
        <v>9.4481000000000002</v>
      </c>
      <c r="L242" s="66">
        <f>5.1236 * CHOOSE(CONTROL!$C$23, $C$12, 100%, $E$12)</f>
        <v>5.1235999999999997</v>
      </c>
      <c r="M242" s="66">
        <f>5.1285 * CHOOSE(CONTROL!$C$23, $C$12, 100%, $E$12)</f>
        <v>5.1284999999999998</v>
      </c>
      <c r="N242" s="66">
        <f>5.1236 * CHOOSE(CONTROL!$C$23, $C$12, 100%, $E$12)</f>
        <v>5.1235999999999997</v>
      </c>
      <c r="O242" s="66">
        <f>5.1285 * CHOOSE(CONTROL!$C$23, $C$12, 100%, $E$12)</f>
        <v>5.1284999999999998</v>
      </c>
    </row>
    <row r="243" spans="1:15" ht="15">
      <c r="A243" s="13">
        <v>48549</v>
      </c>
      <c r="B243" s="65">
        <f>4.2367 * CHOOSE(CONTROL!$C$23, $C$12, 100%, $E$12)</f>
        <v>4.2366999999999999</v>
      </c>
      <c r="C243" s="65">
        <f>4.2367 * CHOOSE(CONTROL!$C$23, $C$12, 100%, $E$12)</f>
        <v>4.2366999999999999</v>
      </c>
      <c r="D243" s="65">
        <f>4.2407 * CHOOSE(CONTROL!$C$23, $C$12, 100%, $E$12)</f>
        <v>4.2407000000000004</v>
      </c>
      <c r="E243" s="66">
        <f>5.0815 * CHOOSE(CONTROL!$C$23, $C$12, 100%, $E$12)</f>
        <v>5.0815000000000001</v>
      </c>
      <c r="F243" s="66">
        <f>5.0815 * CHOOSE(CONTROL!$C$23, $C$12, 100%, $E$12)</f>
        <v>5.0815000000000001</v>
      </c>
      <c r="G243" s="66">
        <f>5.0865 * CHOOSE(CONTROL!$C$23, $C$12, 100%, $E$12)</f>
        <v>5.0865</v>
      </c>
      <c r="H243" s="66">
        <f>9.4629* CHOOSE(CONTROL!$C$23, $C$12, 100%, $E$12)</f>
        <v>9.4628999999999994</v>
      </c>
      <c r="I243" s="66">
        <f>9.4678 * CHOOSE(CONTROL!$C$23, $C$12, 100%, $E$12)</f>
        <v>9.4678000000000004</v>
      </c>
      <c r="J243" s="66">
        <f>9.4629 * CHOOSE(CONTROL!$C$23, $C$12, 100%, $E$12)</f>
        <v>9.4628999999999994</v>
      </c>
      <c r="K243" s="66">
        <f>9.4678 * CHOOSE(CONTROL!$C$23, $C$12, 100%, $E$12)</f>
        <v>9.4678000000000004</v>
      </c>
      <c r="L243" s="66">
        <f>5.0815 * CHOOSE(CONTROL!$C$23, $C$12, 100%, $E$12)</f>
        <v>5.0815000000000001</v>
      </c>
      <c r="M243" s="66">
        <f>5.0865 * CHOOSE(CONTROL!$C$23, $C$12, 100%, $E$12)</f>
        <v>5.0865</v>
      </c>
      <c r="N243" s="66">
        <f>5.0815 * CHOOSE(CONTROL!$C$23, $C$12, 100%, $E$12)</f>
        <v>5.0815000000000001</v>
      </c>
      <c r="O243" s="66">
        <f>5.0865 * CHOOSE(CONTROL!$C$23, $C$12, 100%, $E$12)</f>
        <v>5.0865</v>
      </c>
    </row>
    <row r="244" spans="1:15" ht="15">
      <c r="A244" s="13">
        <v>48580</v>
      </c>
      <c r="B244" s="65">
        <f>4.2764 * CHOOSE(CONTROL!$C$23, $C$12, 100%, $E$12)</f>
        <v>4.2763999999999998</v>
      </c>
      <c r="C244" s="65">
        <f>4.2764 * CHOOSE(CONTROL!$C$23, $C$12, 100%, $E$12)</f>
        <v>4.2763999999999998</v>
      </c>
      <c r="D244" s="65">
        <f>4.2804 * CHOOSE(CONTROL!$C$23, $C$12, 100%, $E$12)</f>
        <v>4.2804000000000002</v>
      </c>
      <c r="E244" s="66">
        <f>5.1642 * CHOOSE(CONTROL!$C$23, $C$12, 100%, $E$12)</f>
        <v>5.1642000000000001</v>
      </c>
      <c r="F244" s="66">
        <f>5.1642 * CHOOSE(CONTROL!$C$23, $C$12, 100%, $E$12)</f>
        <v>5.1642000000000001</v>
      </c>
      <c r="G244" s="66">
        <f>5.1691 * CHOOSE(CONTROL!$C$23, $C$12, 100%, $E$12)</f>
        <v>5.1691000000000003</v>
      </c>
      <c r="H244" s="66">
        <f>9.4826* CHOOSE(CONTROL!$C$23, $C$12, 100%, $E$12)</f>
        <v>9.4825999999999997</v>
      </c>
      <c r="I244" s="66">
        <f>9.4875 * CHOOSE(CONTROL!$C$23, $C$12, 100%, $E$12)</f>
        <v>9.4875000000000007</v>
      </c>
      <c r="J244" s="66">
        <f>9.4826 * CHOOSE(CONTROL!$C$23, $C$12, 100%, $E$12)</f>
        <v>9.4825999999999997</v>
      </c>
      <c r="K244" s="66">
        <f>9.4875 * CHOOSE(CONTROL!$C$23, $C$12, 100%, $E$12)</f>
        <v>9.4875000000000007</v>
      </c>
      <c r="L244" s="66">
        <f>5.1642 * CHOOSE(CONTROL!$C$23, $C$12, 100%, $E$12)</f>
        <v>5.1642000000000001</v>
      </c>
      <c r="M244" s="66">
        <f>5.1691 * CHOOSE(CONTROL!$C$23, $C$12, 100%, $E$12)</f>
        <v>5.1691000000000003</v>
      </c>
      <c r="N244" s="66">
        <f>5.1642 * CHOOSE(CONTROL!$C$23, $C$12, 100%, $E$12)</f>
        <v>5.1642000000000001</v>
      </c>
      <c r="O244" s="66">
        <f>5.1691 * CHOOSE(CONTROL!$C$23, $C$12, 100%, $E$12)</f>
        <v>5.1691000000000003</v>
      </c>
    </row>
    <row r="245" spans="1:15" ht="15">
      <c r="A245" s="13">
        <v>48611</v>
      </c>
      <c r="B245" s="65">
        <f>4.2734 * CHOOSE(CONTROL!$C$23, $C$12, 100%, $E$12)</f>
        <v>4.2733999999999996</v>
      </c>
      <c r="C245" s="65">
        <f>4.2734 * CHOOSE(CONTROL!$C$23, $C$12, 100%, $E$12)</f>
        <v>4.2733999999999996</v>
      </c>
      <c r="D245" s="65">
        <f>4.2774 * CHOOSE(CONTROL!$C$23, $C$12, 100%, $E$12)</f>
        <v>4.2774000000000001</v>
      </c>
      <c r="E245" s="66">
        <f>5.0805 * CHOOSE(CONTROL!$C$23, $C$12, 100%, $E$12)</f>
        <v>5.0804999999999998</v>
      </c>
      <c r="F245" s="66">
        <f>5.0805 * CHOOSE(CONTROL!$C$23, $C$12, 100%, $E$12)</f>
        <v>5.0804999999999998</v>
      </c>
      <c r="G245" s="66">
        <f>5.0854 * CHOOSE(CONTROL!$C$23, $C$12, 100%, $E$12)</f>
        <v>5.0853999999999999</v>
      </c>
      <c r="H245" s="66">
        <f>9.5024* CHOOSE(CONTROL!$C$23, $C$12, 100%, $E$12)</f>
        <v>9.5023999999999997</v>
      </c>
      <c r="I245" s="66">
        <f>9.5073 * CHOOSE(CONTROL!$C$23, $C$12, 100%, $E$12)</f>
        <v>9.5073000000000008</v>
      </c>
      <c r="J245" s="66">
        <f>9.5024 * CHOOSE(CONTROL!$C$23, $C$12, 100%, $E$12)</f>
        <v>9.5023999999999997</v>
      </c>
      <c r="K245" s="66">
        <f>9.5073 * CHOOSE(CONTROL!$C$23, $C$12, 100%, $E$12)</f>
        <v>9.5073000000000008</v>
      </c>
      <c r="L245" s="66">
        <f>5.0805 * CHOOSE(CONTROL!$C$23, $C$12, 100%, $E$12)</f>
        <v>5.0804999999999998</v>
      </c>
      <c r="M245" s="66">
        <f>5.0854 * CHOOSE(CONTROL!$C$23, $C$12, 100%, $E$12)</f>
        <v>5.0853999999999999</v>
      </c>
      <c r="N245" s="66">
        <f>5.0805 * CHOOSE(CONTROL!$C$23, $C$12, 100%, $E$12)</f>
        <v>5.0804999999999998</v>
      </c>
      <c r="O245" s="66">
        <f>5.0854 * CHOOSE(CONTROL!$C$23, $C$12, 100%, $E$12)</f>
        <v>5.0853999999999999</v>
      </c>
    </row>
    <row r="246" spans="1:15" ht="15">
      <c r="A246" s="13">
        <v>48639</v>
      </c>
      <c r="B246" s="65">
        <f>4.2703 * CHOOSE(CONTROL!$C$23, $C$12, 100%, $E$12)</f>
        <v>4.2702999999999998</v>
      </c>
      <c r="C246" s="65">
        <f>4.2703 * CHOOSE(CONTROL!$C$23, $C$12, 100%, $E$12)</f>
        <v>4.2702999999999998</v>
      </c>
      <c r="D246" s="65">
        <f>4.2743 * CHOOSE(CONTROL!$C$23, $C$12, 100%, $E$12)</f>
        <v>4.2743000000000002</v>
      </c>
      <c r="E246" s="66">
        <f>5.1427 * CHOOSE(CONTROL!$C$23, $C$12, 100%, $E$12)</f>
        <v>5.1426999999999996</v>
      </c>
      <c r="F246" s="66">
        <f>5.1427 * CHOOSE(CONTROL!$C$23, $C$12, 100%, $E$12)</f>
        <v>5.1426999999999996</v>
      </c>
      <c r="G246" s="66">
        <f>5.1476 * CHOOSE(CONTROL!$C$23, $C$12, 100%, $E$12)</f>
        <v>5.1475999999999997</v>
      </c>
      <c r="H246" s="66">
        <f>9.5221* CHOOSE(CONTROL!$C$23, $C$12, 100%, $E$12)</f>
        <v>9.5221</v>
      </c>
      <c r="I246" s="66">
        <f>9.5271 * CHOOSE(CONTROL!$C$23, $C$12, 100%, $E$12)</f>
        <v>9.5271000000000008</v>
      </c>
      <c r="J246" s="66">
        <f>9.5221 * CHOOSE(CONTROL!$C$23, $C$12, 100%, $E$12)</f>
        <v>9.5221</v>
      </c>
      <c r="K246" s="66">
        <f>9.5271 * CHOOSE(CONTROL!$C$23, $C$12, 100%, $E$12)</f>
        <v>9.5271000000000008</v>
      </c>
      <c r="L246" s="66">
        <f>5.1427 * CHOOSE(CONTROL!$C$23, $C$12, 100%, $E$12)</f>
        <v>5.1426999999999996</v>
      </c>
      <c r="M246" s="66">
        <f>5.1476 * CHOOSE(CONTROL!$C$23, $C$12, 100%, $E$12)</f>
        <v>5.1475999999999997</v>
      </c>
      <c r="N246" s="66">
        <f>5.1427 * CHOOSE(CONTROL!$C$23, $C$12, 100%, $E$12)</f>
        <v>5.1426999999999996</v>
      </c>
      <c r="O246" s="66">
        <f>5.1476 * CHOOSE(CONTROL!$C$23, $C$12, 100%, $E$12)</f>
        <v>5.1475999999999997</v>
      </c>
    </row>
    <row r="247" spans="1:15" ht="15">
      <c r="A247" s="13">
        <v>48670</v>
      </c>
      <c r="B247" s="65">
        <f>4.2682 * CHOOSE(CONTROL!$C$23, $C$12, 100%, $E$12)</f>
        <v>4.2682000000000002</v>
      </c>
      <c r="C247" s="65">
        <f>4.2682 * CHOOSE(CONTROL!$C$23, $C$12, 100%, $E$12)</f>
        <v>4.2682000000000002</v>
      </c>
      <c r="D247" s="65">
        <f>4.2722 * CHOOSE(CONTROL!$C$23, $C$12, 100%, $E$12)</f>
        <v>4.2721999999999998</v>
      </c>
      <c r="E247" s="66">
        <f>5.2076 * CHOOSE(CONTROL!$C$23, $C$12, 100%, $E$12)</f>
        <v>5.2076000000000002</v>
      </c>
      <c r="F247" s="66">
        <f>5.2076 * CHOOSE(CONTROL!$C$23, $C$12, 100%, $E$12)</f>
        <v>5.2076000000000002</v>
      </c>
      <c r="G247" s="66">
        <f>5.2125 * CHOOSE(CONTROL!$C$23, $C$12, 100%, $E$12)</f>
        <v>5.2125000000000004</v>
      </c>
      <c r="H247" s="66">
        <f>9.542* CHOOSE(CONTROL!$C$23, $C$12, 100%, $E$12)</f>
        <v>9.5419999999999998</v>
      </c>
      <c r="I247" s="66">
        <f>9.5469 * CHOOSE(CONTROL!$C$23, $C$12, 100%, $E$12)</f>
        <v>9.5469000000000008</v>
      </c>
      <c r="J247" s="66">
        <f>9.542 * CHOOSE(CONTROL!$C$23, $C$12, 100%, $E$12)</f>
        <v>9.5419999999999998</v>
      </c>
      <c r="K247" s="66">
        <f>9.5469 * CHOOSE(CONTROL!$C$23, $C$12, 100%, $E$12)</f>
        <v>9.5469000000000008</v>
      </c>
      <c r="L247" s="66">
        <f>5.2076 * CHOOSE(CONTROL!$C$23, $C$12, 100%, $E$12)</f>
        <v>5.2076000000000002</v>
      </c>
      <c r="M247" s="66">
        <f>5.2125 * CHOOSE(CONTROL!$C$23, $C$12, 100%, $E$12)</f>
        <v>5.2125000000000004</v>
      </c>
      <c r="N247" s="66">
        <f>5.2076 * CHOOSE(CONTROL!$C$23, $C$12, 100%, $E$12)</f>
        <v>5.2076000000000002</v>
      </c>
      <c r="O247" s="66">
        <f>5.2125 * CHOOSE(CONTROL!$C$23, $C$12, 100%, $E$12)</f>
        <v>5.2125000000000004</v>
      </c>
    </row>
    <row r="248" spans="1:15" ht="15">
      <c r="A248" s="13">
        <v>48700</v>
      </c>
      <c r="B248" s="65">
        <f>4.2682 * CHOOSE(CONTROL!$C$23, $C$12, 100%, $E$12)</f>
        <v>4.2682000000000002</v>
      </c>
      <c r="C248" s="65">
        <f>4.2682 * CHOOSE(CONTROL!$C$23, $C$12, 100%, $E$12)</f>
        <v>4.2682000000000002</v>
      </c>
      <c r="D248" s="65">
        <f>4.2739 * CHOOSE(CONTROL!$C$23, $C$12, 100%, $E$12)</f>
        <v>4.2739000000000003</v>
      </c>
      <c r="E248" s="66">
        <f>5.2335 * CHOOSE(CONTROL!$C$23, $C$12, 100%, $E$12)</f>
        <v>5.2335000000000003</v>
      </c>
      <c r="F248" s="66">
        <f>5.2335 * CHOOSE(CONTROL!$C$23, $C$12, 100%, $E$12)</f>
        <v>5.2335000000000003</v>
      </c>
      <c r="G248" s="66">
        <f>5.2404 * CHOOSE(CONTROL!$C$23, $C$12, 100%, $E$12)</f>
        <v>5.2404000000000002</v>
      </c>
      <c r="H248" s="66">
        <f>9.5619* CHOOSE(CONTROL!$C$23, $C$12, 100%, $E$12)</f>
        <v>9.5618999999999996</v>
      </c>
      <c r="I248" s="66">
        <f>9.5688 * CHOOSE(CONTROL!$C$23, $C$12, 100%, $E$12)</f>
        <v>9.5687999999999995</v>
      </c>
      <c r="J248" s="66">
        <f>9.5619 * CHOOSE(CONTROL!$C$23, $C$12, 100%, $E$12)</f>
        <v>9.5618999999999996</v>
      </c>
      <c r="K248" s="66">
        <f>9.5688 * CHOOSE(CONTROL!$C$23, $C$12, 100%, $E$12)</f>
        <v>9.5687999999999995</v>
      </c>
      <c r="L248" s="66">
        <f>5.2335 * CHOOSE(CONTROL!$C$23, $C$12, 100%, $E$12)</f>
        <v>5.2335000000000003</v>
      </c>
      <c r="M248" s="66">
        <f>5.2404 * CHOOSE(CONTROL!$C$23, $C$12, 100%, $E$12)</f>
        <v>5.2404000000000002</v>
      </c>
      <c r="N248" s="66">
        <f>5.2335 * CHOOSE(CONTROL!$C$23, $C$12, 100%, $E$12)</f>
        <v>5.2335000000000003</v>
      </c>
      <c r="O248" s="66">
        <f>5.2404 * CHOOSE(CONTROL!$C$23, $C$12, 100%, $E$12)</f>
        <v>5.2404000000000002</v>
      </c>
    </row>
    <row r="249" spans="1:15" ht="15">
      <c r="A249" s="13">
        <v>48731</v>
      </c>
      <c r="B249" s="65">
        <f>4.2743 * CHOOSE(CONTROL!$C$23, $C$12, 100%, $E$12)</f>
        <v>4.2743000000000002</v>
      </c>
      <c r="C249" s="65">
        <f>4.2743 * CHOOSE(CONTROL!$C$23, $C$12, 100%, $E$12)</f>
        <v>4.2743000000000002</v>
      </c>
      <c r="D249" s="65">
        <f>4.2799 * CHOOSE(CONTROL!$C$23, $C$12, 100%, $E$12)</f>
        <v>4.2798999999999996</v>
      </c>
      <c r="E249" s="66">
        <f>5.2118 * CHOOSE(CONTROL!$C$23, $C$12, 100%, $E$12)</f>
        <v>5.2118000000000002</v>
      </c>
      <c r="F249" s="66">
        <f>5.2118 * CHOOSE(CONTROL!$C$23, $C$12, 100%, $E$12)</f>
        <v>5.2118000000000002</v>
      </c>
      <c r="G249" s="66">
        <f>5.2187 * CHOOSE(CONTROL!$C$23, $C$12, 100%, $E$12)</f>
        <v>5.2187000000000001</v>
      </c>
      <c r="H249" s="66">
        <f>9.5818* CHOOSE(CONTROL!$C$23, $C$12, 100%, $E$12)</f>
        <v>9.5817999999999994</v>
      </c>
      <c r="I249" s="66">
        <f>9.5887 * CHOOSE(CONTROL!$C$23, $C$12, 100%, $E$12)</f>
        <v>9.5886999999999993</v>
      </c>
      <c r="J249" s="66">
        <f>9.5818 * CHOOSE(CONTROL!$C$23, $C$12, 100%, $E$12)</f>
        <v>9.5817999999999994</v>
      </c>
      <c r="K249" s="66">
        <f>9.5887 * CHOOSE(CONTROL!$C$23, $C$12, 100%, $E$12)</f>
        <v>9.5886999999999993</v>
      </c>
      <c r="L249" s="66">
        <f>5.2118 * CHOOSE(CONTROL!$C$23, $C$12, 100%, $E$12)</f>
        <v>5.2118000000000002</v>
      </c>
      <c r="M249" s="66">
        <f>5.2187 * CHOOSE(CONTROL!$C$23, $C$12, 100%, $E$12)</f>
        <v>5.2187000000000001</v>
      </c>
      <c r="N249" s="66">
        <f>5.2118 * CHOOSE(CONTROL!$C$23, $C$12, 100%, $E$12)</f>
        <v>5.2118000000000002</v>
      </c>
      <c r="O249" s="66">
        <f>5.2187 * CHOOSE(CONTROL!$C$23, $C$12, 100%, $E$12)</f>
        <v>5.2187000000000001</v>
      </c>
    </row>
    <row r="250" spans="1:15" ht="15">
      <c r="A250" s="13">
        <v>48761</v>
      </c>
      <c r="B250" s="65">
        <f>4.3499 * CHOOSE(CONTROL!$C$23, $C$12, 100%, $E$12)</f>
        <v>4.3498999999999999</v>
      </c>
      <c r="C250" s="65">
        <f>4.3499 * CHOOSE(CONTROL!$C$23, $C$12, 100%, $E$12)</f>
        <v>4.3498999999999999</v>
      </c>
      <c r="D250" s="65">
        <f>4.3555 * CHOOSE(CONTROL!$C$23, $C$12, 100%, $E$12)</f>
        <v>4.3555000000000001</v>
      </c>
      <c r="E250" s="66">
        <f>5.3292 * CHOOSE(CONTROL!$C$23, $C$12, 100%, $E$12)</f>
        <v>5.3292000000000002</v>
      </c>
      <c r="F250" s="66">
        <f>5.3292 * CHOOSE(CONTROL!$C$23, $C$12, 100%, $E$12)</f>
        <v>5.3292000000000002</v>
      </c>
      <c r="G250" s="66">
        <f>5.3361 * CHOOSE(CONTROL!$C$23, $C$12, 100%, $E$12)</f>
        <v>5.3361000000000001</v>
      </c>
      <c r="H250" s="66">
        <f>9.6017* CHOOSE(CONTROL!$C$23, $C$12, 100%, $E$12)</f>
        <v>9.6016999999999992</v>
      </c>
      <c r="I250" s="66">
        <f>9.6086 * CHOOSE(CONTROL!$C$23, $C$12, 100%, $E$12)</f>
        <v>9.6085999999999991</v>
      </c>
      <c r="J250" s="66">
        <f>9.6017 * CHOOSE(CONTROL!$C$23, $C$12, 100%, $E$12)</f>
        <v>9.6016999999999992</v>
      </c>
      <c r="K250" s="66">
        <f>9.6086 * CHOOSE(CONTROL!$C$23, $C$12, 100%, $E$12)</f>
        <v>9.6085999999999991</v>
      </c>
      <c r="L250" s="66">
        <f>5.3292 * CHOOSE(CONTROL!$C$23, $C$12, 100%, $E$12)</f>
        <v>5.3292000000000002</v>
      </c>
      <c r="M250" s="66">
        <f>5.3361 * CHOOSE(CONTROL!$C$23, $C$12, 100%, $E$12)</f>
        <v>5.3361000000000001</v>
      </c>
      <c r="N250" s="66">
        <f>5.3292 * CHOOSE(CONTROL!$C$23, $C$12, 100%, $E$12)</f>
        <v>5.3292000000000002</v>
      </c>
      <c r="O250" s="66">
        <f>5.3361 * CHOOSE(CONTROL!$C$23, $C$12, 100%, $E$12)</f>
        <v>5.3361000000000001</v>
      </c>
    </row>
    <row r="251" spans="1:15" ht="15">
      <c r="A251" s="13">
        <v>48792</v>
      </c>
      <c r="B251" s="65">
        <f>4.3566 * CHOOSE(CONTROL!$C$23, $C$12, 100%, $E$12)</f>
        <v>4.3566000000000003</v>
      </c>
      <c r="C251" s="65">
        <f>4.3566 * CHOOSE(CONTROL!$C$23, $C$12, 100%, $E$12)</f>
        <v>4.3566000000000003</v>
      </c>
      <c r="D251" s="65">
        <f>4.3622 * CHOOSE(CONTROL!$C$23, $C$12, 100%, $E$12)</f>
        <v>4.3621999999999996</v>
      </c>
      <c r="E251" s="66">
        <f>5.2562 * CHOOSE(CONTROL!$C$23, $C$12, 100%, $E$12)</f>
        <v>5.2561999999999998</v>
      </c>
      <c r="F251" s="66">
        <f>5.2562 * CHOOSE(CONTROL!$C$23, $C$12, 100%, $E$12)</f>
        <v>5.2561999999999998</v>
      </c>
      <c r="G251" s="66">
        <f>5.2631 * CHOOSE(CONTROL!$C$23, $C$12, 100%, $E$12)</f>
        <v>5.2630999999999997</v>
      </c>
      <c r="H251" s="66">
        <f>9.6218* CHOOSE(CONTROL!$C$23, $C$12, 100%, $E$12)</f>
        <v>9.6218000000000004</v>
      </c>
      <c r="I251" s="66">
        <f>9.6286 * CHOOSE(CONTROL!$C$23, $C$12, 100%, $E$12)</f>
        <v>9.6286000000000005</v>
      </c>
      <c r="J251" s="66">
        <f>9.6218 * CHOOSE(CONTROL!$C$23, $C$12, 100%, $E$12)</f>
        <v>9.6218000000000004</v>
      </c>
      <c r="K251" s="66">
        <f>9.6286 * CHOOSE(CONTROL!$C$23, $C$12, 100%, $E$12)</f>
        <v>9.6286000000000005</v>
      </c>
      <c r="L251" s="66">
        <f>5.2562 * CHOOSE(CONTROL!$C$23, $C$12, 100%, $E$12)</f>
        <v>5.2561999999999998</v>
      </c>
      <c r="M251" s="66">
        <f>5.2631 * CHOOSE(CONTROL!$C$23, $C$12, 100%, $E$12)</f>
        <v>5.2630999999999997</v>
      </c>
      <c r="N251" s="66">
        <f>5.2562 * CHOOSE(CONTROL!$C$23, $C$12, 100%, $E$12)</f>
        <v>5.2561999999999998</v>
      </c>
      <c r="O251" s="66">
        <f>5.2631 * CHOOSE(CONTROL!$C$23, $C$12, 100%, $E$12)</f>
        <v>5.2630999999999997</v>
      </c>
    </row>
    <row r="252" spans="1:15" ht="15">
      <c r="A252" s="13">
        <v>48823</v>
      </c>
      <c r="B252" s="65">
        <f>4.3535 * CHOOSE(CONTROL!$C$23, $C$12, 100%, $E$12)</f>
        <v>4.3535000000000004</v>
      </c>
      <c r="C252" s="65">
        <f>4.3535 * CHOOSE(CONTROL!$C$23, $C$12, 100%, $E$12)</f>
        <v>4.3535000000000004</v>
      </c>
      <c r="D252" s="65">
        <f>4.3592 * CHOOSE(CONTROL!$C$23, $C$12, 100%, $E$12)</f>
        <v>4.3592000000000004</v>
      </c>
      <c r="E252" s="66">
        <f>5.2454 * CHOOSE(CONTROL!$C$23, $C$12, 100%, $E$12)</f>
        <v>5.2454000000000001</v>
      </c>
      <c r="F252" s="66">
        <f>5.2454 * CHOOSE(CONTROL!$C$23, $C$12, 100%, $E$12)</f>
        <v>5.2454000000000001</v>
      </c>
      <c r="G252" s="66">
        <f>5.2523 * CHOOSE(CONTROL!$C$23, $C$12, 100%, $E$12)</f>
        <v>5.2523</v>
      </c>
      <c r="H252" s="66">
        <f>9.6418* CHOOSE(CONTROL!$C$23, $C$12, 100%, $E$12)</f>
        <v>9.6417999999999999</v>
      </c>
      <c r="I252" s="66">
        <f>9.6487 * CHOOSE(CONTROL!$C$23, $C$12, 100%, $E$12)</f>
        <v>9.6486999999999998</v>
      </c>
      <c r="J252" s="66">
        <f>9.6418 * CHOOSE(CONTROL!$C$23, $C$12, 100%, $E$12)</f>
        <v>9.6417999999999999</v>
      </c>
      <c r="K252" s="66">
        <f>9.6487 * CHOOSE(CONTROL!$C$23, $C$12, 100%, $E$12)</f>
        <v>9.6486999999999998</v>
      </c>
      <c r="L252" s="66">
        <f>5.2454 * CHOOSE(CONTROL!$C$23, $C$12, 100%, $E$12)</f>
        <v>5.2454000000000001</v>
      </c>
      <c r="M252" s="66">
        <f>5.2523 * CHOOSE(CONTROL!$C$23, $C$12, 100%, $E$12)</f>
        <v>5.2523</v>
      </c>
      <c r="N252" s="66">
        <f>5.2454 * CHOOSE(CONTROL!$C$23, $C$12, 100%, $E$12)</f>
        <v>5.2454000000000001</v>
      </c>
      <c r="O252" s="66">
        <f>5.2523 * CHOOSE(CONTROL!$C$23, $C$12, 100%, $E$12)</f>
        <v>5.2523</v>
      </c>
    </row>
    <row r="253" spans="1:15" ht="15">
      <c r="A253" s="13">
        <v>48853</v>
      </c>
      <c r="B253" s="65">
        <f>4.3497 * CHOOSE(CONTROL!$C$23, $C$12, 100%, $E$12)</f>
        <v>4.3497000000000003</v>
      </c>
      <c r="C253" s="65">
        <f>4.3497 * CHOOSE(CONTROL!$C$23, $C$12, 100%, $E$12)</f>
        <v>4.3497000000000003</v>
      </c>
      <c r="D253" s="65">
        <f>4.3537 * CHOOSE(CONTROL!$C$23, $C$12, 100%, $E$12)</f>
        <v>4.3536999999999999</v>
      </c>
      <c r="E253" s="66">
        <f>5.2665 * CHOOSE(CONTROL!$C$23, $C$12, 100%, $E$12)</f>
        <v>5.2664999999999997</v>
      </c>
      <c r="F253" s="66">
        <f>5.2665 * CHOOSE(CONTROL!$C$23, $C$12, 100%, $E$12)</f>
        <v>5.2664999999999997</v>
      </c>
      <c r="G253" s="66">
        <f>5.2715 * CHOOSE(CONTROL!$C$23, $C$12, 100%, $E$12)</f>
        <v>5.2714999999999996</v>
      </c>
      <c r="H253" s="66">
        <f>9.6619* CHOOSE(CONTROL!$C$23, $C$12, 100%, $E$12)</f>
        <v>9.6618999999999993</v>
      </c>
      <c r="I253" s="66">
        <f>9.6668 * CHOOSE(CONTROL!$C$23, $C$12, 100%, $E$12)</f>
        <v>9.6668000000000003</v>
      </c>
      <c r="J253" s="66">
        <f>9.6619 * CHOOSE(CONTROL!$C$23, $C$12, 100%, $E$12)</f>
        <v>9.6618999999999993</v>
      </c>
      <c r="K253" s="66">
        <f>9.6668 * CHOOSE(CONTROL!$C$23, $C$12, 100%, $E$12)</f>
        <v>9.6668000000000003</v>
      </c>
      <c r="L253" s="66">
        <f>5.2665 * CHOOSE(CONTROL!$C$23, $C$12, 100%, $E$12)</f>
        <v>5.2664999999999997</v>
      </c>
      <c r="M253" s="66">
        <f>5.2715 * CHOOSE(CONTROL!$C$23, $C$12, 100%, $E$12)</f>
        <v>5.2714999999999996</v>
      </c>
      <c r="N253" s="66">
        <f>5.2665 * CHOOSE(CONTROL!$C$23, $C$12, 100%, $E$12)</f>
        <v>5.2664999999999997</v>
      </c>
      <c r="O253" s="66">
        <f>5.2715 * CHOOSE(CONTROL!$C$23, $C$12, 100%, $E$12)</f>
        <v>5.2714999999999996</v>
      </c>
    </row>
    <row r="254" spans="1:15" ht="15">
      <c r="A254" s="13">
        <v>48884</v>
      </c>
      <c r="B254" s="65">
        <f>4.3528 * CHOOSE(CONTROL!$C$23, $C$12, 100%, $E$12)</f>
        <v>4.3528000000000002</v>
      </c>
      <c r="C254" s="65">
        <f>4.3528 * CHOOSE(CONTROL!$C$23, $C$12, 100%, $E$12)</f>
        <v>4.3528000000000002</v>
      </c>
      <c r="D254" s="65">
        <f>4.3568 * CHOOSE(CONTROL!$C$23, $C$12, 100%, $E$12)</f>
        <v>4.3567999999999998</v>
      </c>
      <c r="E254" s="66">
        <f>5.2859 * CHOOSE(CONTROL!$C$23, $C$12, 100%, $E$12)</f>
        <v>5.2858999999999998</v>
      </c>
      <c r="F254" s="66">
        <f>5.2859 * CHOOSE(CONTROL!$C$23, $C$12, 100%, $E$12)</f>
        <v>5.2858999999999998</v>
      </c>
      <c r="G254" s="66">
        <f>5.2909 * CHOOSE(CONTROL!$C$23, $C$12, 100%, $E$12)</f>
        <v>5.2908999999999997</v>
      </c>
      <c r="H254" s="66">
        <f>9.682* CHOOSE(CONTROL!$C$23, $C$12, 100%, $E$12)</f>
        <v>9.6820000000000004</v>
      </c>
      <c r="I254" s="66">
        <f>9.6869 * CHOOSE(CONTROL!$C$23, $C$12, 100%, $E$12)</f>
        <v>9.6868999999999996</v>
      </c>
      <c r="J254" s="66">
        <f>9.682 * CHOOSE(CONTROL!$C$23, $C$12, 100%, $E$12)</f>
        <v>9.6820000000000004</v>
      </c>
      <c r="K254" s="66">
        <f>9.6869 * CHOOSE(CONTROL!$C$23, $C$12, 100%, $E$12)</f>
        <v>9.6868999999999996</v>
      </c>
      <c r="L254" s="66">
        <f>5.2859 * CHOOSE(CONTROL!$C$23, $C$12, 100%, $E$12)</f>
        <v>5.2858999999999998</v>
      </c>
      <c r="M254" s="66">
        <f>5.2909 * CHOOSE(CONTROL!$C$23, $C$12, 100%, $E$12)</f>
        <v>5.2908999999999997</v>
      </c>
      <c r="N254" s="66">
        <f>5.2859 * CHOOSE(CONTROL!$C$23, $C$12, 100%, $E$12)</f>
        <v>5.2858999999999998</v>
      </c>
      <c r="O254" s="66">
        <f>5.2909 * CHOOSE(CONTROL!$C$23, $C$12, 100%, $E$12)</f>
        <v>5.2908999999999997</v>
      </c>
    </row>
    <row r="255" spans="1:15" ht="15">
      <c r="A255" s="13">
        <v>48914</v>
      </c>
      <c r="B255" s="65">
        <f>4.3528 * CHOOSE(CONTROL!$C$23, $C$12, 100%, $E$12)</f>
        <v>4.3528000000000002</v>
      </c>
      <c r="C255" s="65">
        <f>4.3528 * CHOOSE(CONTROL!$C$23, $C$12, 100%, $E$12)</f>
        <v>4.3528000000000002</v>
      </c>
      <c r="D255" s="65">
        <f>4.3568 * CHOOSE(CONTROL!$C$23, $C$12, 100%, $E$12)</f>
        <v>4.3567999999999998</v>
      </c>
      <c r="E255" s="66">
        <f>5.2427 * CHOOSE(CONTROL!$C$23, $C$12, 100%, $E$12)</f>
        <v>5.2427000000000001</v>
      </c>
      <c r="F255" s="66">
        <f>5.2427 * CHOOSE(CONTROL!$C$23, $C$12, 100%, $E$12)</f>
        <v>5.2427000000000001</v>
      </c>
      <c r="G255" s="66">
        <f>5.2477 * CHOOSE(CONTROL!$C$23, $C$12, 100%, $E$12)</f>
        <v>5.2477</v>
      </c>
      <c r="H255" s="66">
        <f>9.7022* CHOOSE(CONTROL!$C$23, $C$12, 100%, $E$12)</f>
        <v>9.7021999999999995</v>
      </c>
      <c r="I255" s="66">
        <f>9.7071 * CHOOSE(CONTROL!$C$23, $C$12, 100%, $E$12)</f>
        <v>9.7071000000000005</v>
      </c>
      <c r="J255" s="66">
        <f>9.7022 * CHOOSE(CONTROL!$C$23, $C$12, 100%, $E$12)</f>
        <v>9.7021999999999995</v>
      </c>
      <c r="K255" s="66">
        <f>9.7071 * CHOOSE(CONTROL!$C$23, $C$12, 100%, $E$12)</f>
        <v>9.7071000000000005</v>
      </c>
      <c r="L255" s="66">
        <f>5.2427 * CHOOSE(CONTROL!$C$23, $C$12, 100%, $E$12)</f>
        <v>5.2427000000000001</v>
      </c>
      <c r="M255" s="66">
        <f>5.2477 * CHOOSE(CONTROL!$C$23, $C$12, 100%, $E$12)</f>
        <v>5.2477</v>
      </c>
      <c r="N255" s="66">
        <f>5.2427 * CHOOSE(CONTROL!$C$23, $C$12, 100%, $E$12)</f>
        <v>5.2427000000000001</v>
      </c>
      <c r="O255" s="66">
        <f>5.2477 * CHOOSE(CONTROL!$C$23, $C$12, 100%, $E$12)</f>
        <v>5.2477</v>
      </c>
    </row>
    <row r="256" spans="1:15" ht="15">
      <c r="A256" s="13">
        <v>48945</v>
      </c>
      <c r="B256" s="65">
        <f>4.3942 * CHOOSE(CONTROL!$C$23, $C$12, 100%, $E$12)</f>
        <v>4.3941999999999997</v>
      </c>
      <c r="C256" s="65">
        <f>4.3942 * CHOOSE(CONTROL!$C$23, $C$12, 100%, $E$12)</f>
        <v>4.3941999999999997</v>
      </c>
      <c r="D256" s="65">
        <f>4.3981 * CHOOSE(CONTROL!$C$23, $C$12, 100%, $E$12)</f>
        <v>4.3981000000000003</v>
      </c>
      <c r="E256" s="66">
        <f>5.3259 * CHOOSE(CONTROL!$C$23, $C$12, 100%, $E$12)</f>
        <v>5.3258999999999999</v>
      </c>
      <c r="F256" s="66">
        <f>5.3259 * CHOOSE(CONTROL!$C$23, $C$12, 100%, $E$12)</f>
        <v>5.3258999999999999</v>
      </c>
      <c r="G256" s="66">
        <f>5.3308 * CHOOSE(CONTROL!$C$23, $C$12, 100%, $E$12)</f>
        <v>5.3308</v>
      </c>
      <c r="H256" s="66">
        <f>9.7224* CHOOSE(CONTROL!$C$23, $C$12, 100%, $E$12)</f>
        <v>9.7224000000000004</v>
      </c>
      <c r="I256" s="66">
        <f>9.7273 * CHOOSE(CONTROL!$C$23, $C$12, 100%, $E$12)</f>
        <v>9.7272999999999996</v>
      </c>
      <c r="J256" s="66">
        <f>9.7224 * CHOOSE(CONTROL!$C$23, $C$12, 100%, $E$12)</f>
        <v>9.7224000000000004</v>
      </c>
      <c r="K256" s="66">
        <f>9.7273 * CHOOSE(CONTROL!$C$23, $C$12, 100%, $E$12)</f>
        <v>9.7272999999999996</v>
      </c>
      <c r="L256" s="66">
        <f>5.3259 * CHOOSE(CONTROL!$C$23, $C$12, 100%, $E$12)</f>
        <v>5.3258999999999999</v>
      </c>
      <c r="M256" s="66">
        <f>5.3308 * CHOOSE(CONTROL!$C$23, $C$12, 100%, $E$12)</f>
        <v>5.3308</v>
      </c>
      <c r="N256" s="66">
        <f>5.3259 * CHOOSE(CONTROL!$C$23, $C$12, 100%, $E$12)</f>
        <v>5.3258999999999999</v>
      </c>
      <c r="O256" s="66">
        <f>5.3308 * CHOOSE(CONTROL!$C$23, $C$12, 100%, $E$12)</f>
        <v>5.3308</v>
      </c>
    </row>
    <row r="257" spans="1:15" ht="15">
      <c r="A257" s="13">
        <v>48976</v>
      </c>
      <c r="B257" s="65">
        <f>4.3911 * CHOOSE(CONTROL!$C$23, $C$12, 100%, $E$12)</f>
        <v>4.3910999999999998</v>
      </c>
      <c r="C257" s="65">
        <f>4.3911 * CHOOSE(CONTROL!$C$23, $C$12, 100%, $E$12)</f>
        <v>4.3910999999999998</v>
      </c>
      <c r="D257" s="65">
        <f>4.3951 * CHOOSE(CONTROL!$C$23, $C$12, 100%, $E$12)</f>
        <v>4.3951000000000002</v>
      </c>
      <c r="E257" s="66">
        <f>5.24 * CHOOSE(CONTROL!$C$23, $C$12, 100%, $E$12)</f>
        <v>5.24</v>
      </c>
      <c r="F257" s="66">
        <f>5.24 * CHOOSE(CONTROL!$C$23, $C$12, 100%, $E$12)</f>
        <v>5.24</v>
      </c>
      <c r="G257" s="66">
        <f>5.2449 * CHOOSE(CONTROL!$C$23, $C$12, 100%, $E$12)</f>
        <v>5.2449000000000003</v>
      </c>
      <c r="H257" s="66">
        <f>9.7427* CHOOSE(CONTROL!$C$23, $C$12, 100%, $E$12)</f>
        <v>9.7426999999999992</v>
      </c>
      <c r="I257" s="66">
        <f>9.7476 * CHOOSE(CONTROL!$C$23, $C$12, 100%, $E$12)</f>
        <v>9.7476000000000003</v>
      </c>
      <c r="J257" s="66">
        <f>9.7427 * CHOOSE(CONTROL!$C$23, $C$12, 100%, $E$12)</f>
        <v>9.7426999999999992</v>
      </c>
      <c r="K257" s="66">
        <f>9.7476 * CHOOSE(CONTROL!$C$23, $C$12, 100%, $E$12)</f>
        <v>9.7476000000000003</v>
      </c>
      <c r="L257" s="66">
        <f>5.24 * CHOOSE(CONTROL!$C$23, $C$12, 100%, $E$12)</f>
        <v>5.24</v>
      </c>
      <c r="M257" s="66">
        <f>5.2449 * CHOOSE(CONTROL!$C$23, $C$12, 100%, $E$12)</f>
        <v>5.2449000000000003</v>
      </c>
      <c r="N257" s="66">
        <f>5.24 * CHOOSE(CONTROL!$C$23, $C$12, 100%, $E$12)</f>
        <v>5.24</v>
      </c>
      <c r="O257" s="66">
        <f>5.2449 * CHOOSE(CONTROL!$C$23, $C$12, 100%, $E$12)</f>
        <v>5.2449000000000003</v>
      </c>
    </row>
    <row r="258" spans="1:15" ht="15">
      <c r="A258" s="13">
        <v>49004</v>
      </c>
      <c r="B258" s="65">
        <f>4.3881 * CHOOSE(CONTROL!$C$23, $C$12, 100%, $E$12)</f>
        <v>4.3880999999999997</v>
      </c>
      <c r="C258" s="65">
        <f>4.3881 * CHOOSE(CONTROL!$C$23, $C$12, 100%, $E$12)</f>
        <v>4.3880999999999997</v>
      </c>
      <c r="D258" s="65">
        <f>4.3921 * CHOOSE(CONTROL!$C$23, $C$12, 100%, $E$12)</f>
        <v>4.3921000000000001</v>
      </c>
      <c r="E258" s="66">
        <f>5.304 * CHOOSE(CONTROL!$C$23, $C$12, 100%, $E$12)</f>
        <v>5.3040000000000003</v>
      </c>
      <c r="F258" s="66">
        <f>5.304 * CHOOSE(CONTROL!$C$23, $C$12, 100%, $E$12)</f>
        <v>5.3040000000000003</v>
      </c>
      <c r="G258" s="66">
        <f>5.3089 * CHOOSE(CONTROL!$C$23, $C$12, 100%, $E$12)</f>
        <v>5.3089000000000004</v>
      </c>
      <c r="H258" s="66">
        <f>9.7629* CHOOSE(CONTROL!$C$23, $C$12, 100%, $E$12)</f>
        <v>9.7629000000000001</v>
      </c>
      <c r="I258" s="66">
        <f>9.7679 * CHOOSE(CONTROL!$C$23, $C$12, 100%, $E$12)</f>
        <v>9.7678999999999991</v>
      </c>
      <c r="J258" s="66">
        <f>9.7629 * CHOOSE(CONTROL!$C$23, $C$12, 100%, $E$12)</f>
        <v>9.7629000000000001</v>
      </c>
      <c r="K258" s="66">
        <f>9.7679 * CHOOSE(CONTROL!$C$23, $C$12, 100%, $E$12)</f>
        <v>9.7678999999999991</v>
      </c>
      <c r="L258" s="66">
        <f>5.304 * CHOOSE(CONTROL!$C$23, $C$12, 100%, $E$12)</f>
        <v>5.3040000000000003</v>
      </c>
      <c r="M258" s="66">
        <f>5.3089 * CHOOSE(CONTROL!$C$23, $C$12, 100%, $E$12)</f>
        <v>5.3089000000000004</v>
      </c>
      <c r="N258" s="66">
        <f>5.304 * CHOOSE(CONTROL!$C$23, $C$12, 100%, $E$12)</f>
        <v>5.3040000000000003</v>
      </c>
      <c r="O258" s="66">
        <f>5.3089 * CHOOSE(CONTROL!$C$23, $C$12, 100%, $E$12)</f>
        <v>5.3089000000000004</v>
      </c>
    </row>
    <row r="259" spans="1:15" ht="15">
      <c r="A259" s="13">
        <v>49035</v>
      </c>
      <c r="B259" s="65">
        <f>4.3861 * CHOOSE(CONTROL!$C$23, $C$12, 100%, $E$12)</f>
        <v>4.3860999999999999</v>
      </c>
      <c r="C259" s="65">
        <f>4.3861 * CHOOSE(CONTROL!$C$23, $C$12, 100%, $E$12)</f>
        <v>4.3860999999999999</v>
      </c>
      <c r="D259" s="65">
        <f>4.3901 * CHOOSE(CONTROL!$C$23, $C$12, 100%, $E$12)</f>
        <v>4.3901000000000003</v>
      </c>
      <c r="E259" s="66">
        <f>5.3707 * CHOOSE(CONTROL!$C$23, $C$12, 100%, $E$12)</f>
        <v>5.3707000000000003</v>
      </c>
      <c r="F259" s="66">
        <f>5.3707 * CHOOSE(CONTROL!$C$23, $C$12, 100%, $E$12)</f>
        <v>5.3707000000000003</v>
      </c>
      <c r="G259" s="66">
        <f>5.3756 * CHOOSE(CONTROL!$C$23, $C$12, 100%, $E$12)</f>
        <v>5.3756000000000004</v>
      </c>
      <c r="H259" s="66">
        <f>9.7833* CHOOSE(CONTROL!$C$23, $C$12, 100%, $E$12)</f>
        <v>9.7833000000000006</v>
      </c>
      <c r="I259" s="66">
        <f>9.7882 * CHOOSE(CONTROL!$C$23, $C$12, 100%, $E$12)</f>
        <v>9.7881999999999998</v>
      </c>
      <c r="J259" s="66">
        <f>9.7833 * CHOOSE(CONTROL!$C$23, $C$12, 100%, $E$12)</f>
        <v>9.7833000000000006</v>
      </c>
      <c r="K259" s="66">
        <f>9.7882 * CHOOSE(CONTROL!$C$23, $C$12, 100%, $E$12)</f>
        <v>9.7881999999999998</v>
      </c>
      <c r="L259" s="66">
        <f>5.3707 * CHOOSE(CONTROL!$C$23, $C$12, 100%, $E$12)</f>
        <v>5.3707000000000003</v>
      </c>
      <c r="M259" s="66">
        <f>5.3756 * CHOOSE(CONTROL!$C$23, $C$12, 100%, $E$12)</f>
        <v>5.3756000000000004</v>
      </c>
      <c r="N259" s="66">
        <f>5.3707 * CHOOSE(CONTROL!$C$23, $C$12, 100%, $E$12)</f>
        <v>5.3707000000000003</v>
      </c>
      <c r="O259" s="66">
        <f>5.3756 * CHOOSE(CONTROL!$C$23, $C$12, 100%, $E$12)</f>
        <v>5.3756000000000004</v>
      </c>
    </row>
    <row r="260" spans="1:15" ht="15">
      <c r="A260" s="13">
        <v>49065</v>
      </c>
      <c r="B260" s="65">
        <f>4.3861 * CHOOSE(CONTROL!$C$23, $C$12, 100%, $E$12)</f>
        <v>4.3860999999999999</v>
      </c>
      <c r="C260" s="65">
        <f>4.3861 * CHOOSE(CONTROL!$C$23, $C$12, 100%, $E$12)</f>
        <v>4.3860999999999999</v>
      </c>
      <c r="D260" s="65">
        <f>4.3917 * CHOOSE(CONTROL!$C$23, $C$12, 100%, $E$12)</f>
        <v>4.3917000000000002</v>
      </c>
      <c r="E260" s="66">
        <f>5.3973 * CHOOSE(CONTROL!$C$23, $C$12, 100%, $E$12)</f>
        <v>5.3973000000000004</v>
      </c>
      <c r="F260" s="66">
        <f>5.3973 * CHOOSE(CONTROL!$C$23, $C$12, 100%, $E$12)</f>
        <v>5.3973000000000004</v>
      </c>
      <c r="G260" s="66">
        <f>5.4042 * CHOOSE(CONTROL!$C$23, $C$12, 100%, $E$12)</f>
        <v>5.4042000000000003</v>
      </c>
      <c r="H260" s="66">
        <f>9.8037* CHOOSE(CONTROL!$C$23, $C$12, 100%, $E$12)</f>
        <v>9.8036999999999992</v>
      </c>
      <c r="I260" s="66">
        <f>9.8106 * CHOOSE(CONTROL!$C$23, $C$12, 100%, $E$12)</f>
        <v>9.8106000000000009</v>
      </c>
      <c r="J260" s="66">
        <f>9.8037 * CHOOSE(CONTROL!$C$23, $C$12, 100%, $E$12)</f>
        <v>9.8036999999999992</v>
      </c>
      <c r="K260" s="66">
        <f>9.8106 * CHOOSE(CONTROL!$C$23, $C$12, 100%, $E$12)</f>
        <v>9.8106000000000009</v>
      </c>
      <c r="L260" s="66">
        <f>5.3973 * CHOOSE(CONTROL!$C$23, $C$12, 100%, $E$12)</f>
        <v>5.3973000000000004</v>
      </c>
      <c r="M260" s="66">
        <f>5.4042 * CHOOSE(CONTROL!$C$23, $C$12, 100%, $E$12)</f>
        <v>5.4042000000000003</v>
      </c>
      <c r="N260" s="66">
        <f>5.3973 * CHOOSE(CONTROL!$C$23, $C$12, 100%, $E$12)</f>
        <v>5.3973000000000004</v>
      </c>
      <c r="O260" s="66">
        <f>5.4042 * CHOOSE(CONTROL!$C$23, $C$12, 100%, $E$12)</f>
        <v>5.4042000000000003</v>
      </c>
    </row>
    <row r="261" spans="1:15" ht="15">
      <c r="A261" s="13">
        <v>49096</v>
      </c>
      <c r="B261" s="65">
        <f>4.3921 * CHOOSE(CONTROL!$C$23, $C$12, 100%, $E$12)</f>
        <v>4.3921000000000001</v>
      </c>
      <c r="C261" s="65">
        <f>4.3921 * CHOOSE(CONTROL!$C$23, $C$12, 100%, $E$12)</f>
        <v>4.3921000000000001</v>
      </c>
      <c r="D261" s="65">
        <f>4.3978 * CHOOSE(CONTROL!$C$23, $C$12, 100%, $E$12)</f>
        <v>4.3978000000000002</v>
      </c>
      <c r="E261" s="66">
        <f>5.3749 * CHOOSE(CONTROL!$C$23, $C$12, 100%, $E$12)</f>
        <v>5.3749000000000002</v>
      </c>
      <c r="F261" s="66">
        <f>5.3749 * CHOOSE(CONTROL!$C$23, $C$12, 100%, $E$12)</f>
        <v>5.3749000000000002</v>
      </c>
      <c r="G261" s="66">
        <f>5.3818 * CHOOSE(CONTROL!$C$23, $C$12, 100%, $E$12)</f>
        <v>5.3818000000000001</v>
      </c>
      <c r="H261" s="66">
        <f>9.8241* CHOOSE(CONTROL!$C$23, $C$12, 100%, $E$12)</f>
        <v>9.8240999999999996</v>
      </c>
      <c r="I261" s="66">
        <f>9.831 * CHOOSE(CONTROL!$C$23, $C$12, 100%, $E$12)</f>
        <v>9.8309999999999995</v>
      </c>
      <c r="J261" s="66">
        <f>9.8241 * CHOOSE(CONTROL!$C$23, $C$12, 100%, $E$12)</f>
        <v>9.8240999999999996</v>
      </c>
      <c r="K261" s="66">
        <f>9.831 * CHOOSE(CONTROL!$C$23, $C$12, 100%, $E$12)</f>
        <v>9.8309999999999995</v>
      </c>
      <c r="L261" s="66">
        <f>5.3749 * CHOOSE(CONTROL!$C$23, $C$12, 100%, $E$12)</f>
        <v>5.3749000000000002</v>
      </c>
      <c r="M261" s="66">
        <f>5.3818 * CHOOSE(CONTROL!$C$23, $C$12, 100%, $E$12)</f>
        <v>5.3818000000000001</v>
      </c>
      <c r="N261" s="66">
        <f>5.3749 * CHOOSE(CONTROL!$C$23, $C$12, 100%, $E$12)</f>
        <v>5.3749000000000002</v>
      </c>
      <c r="O261" s="66">
        <f>5.3818 * CHOOSE(CONTROL!$C$23, $C$12, 100%, $E$12)</f>
        <v>5.3818000000000001</v>
      </c>
    </row>
    <row r="262" spans="1:15" ht="15">
      <c r="A262" s="13">
        <v>49126</v>
      </c>
      <c r="B262" s="65">
        <f>4.4705 * CHOOSE(CONTROL!$C$23, $C$12, 100%, $E$12)</f>
        <v>4.4705000000000004</v>
      </c>
      <c r="C262" s="65">
        <f>4.4705 * CHOOSE(CONTROL!$C$23, $C$12, 100%, $E$12)</f>
        <v>4.4705000000000004</v>
      </c>
      <c r="D262" s="65">
        <f>4.4761 * CHOOSE(CONTROL!$C$23, $C$12, 100%, $E$12)</f>
        <v>4.4760999999999997</v>
      </c>
      <c r="E262" s="66">
        <f>5.4902 * CHOOSE(CONTROL!$C$23, $C$12, 100%, $E$12)</f>
        <v>5.4901999999999997</v>
      </c>
      <c r="F262" s="66">
        <f>5.4902 * CHOOSE(CONTROL!$C$23, $C$12, 100%, $E$12)</f>
        <v>5.4901999999999997</v>
      </c>
      <c r="G262" s="66">
        <f>5.4971 * CHOOSE(CONTROL!$C$23, $C$12, 100%, $E$12)</f>
        <v>5.4970999999999997</v>
      </c>
      <c r="H262" s="66">
        <f>9.8446* CHOOSE(CONTROL!$C$23, $C$12, 100%, $E$12)</f>
        <v>9.8445999999999998</v>
      </c>
      <c r="I262" s="66">
        <f>9.8515 * CHOOSE(CONTROL!$C$23, $C$12, 100%, $E$12)</f>
        <v>9.8514999999999997</v>
      </c>
      <c r="J262" s="66">
        <f>9.8446 * CHOOSE(CONTROL!$C$23, $C$12, 100%, $E$12)</f>
        <v>9.8445999999999998</v>
      </c>
      <c r="K262" s="66">
        <f>9.8515 * CHOOSE(CONTROL!$C$23, $C$12, 100%, $E$12)</f>
        <v>9.8514999999999997</v>
      </c>
      <c r="L262" s="66">
        <f>5.4902 * CHOOSE(CONTROL!$C$23, $C$12, 100%, $E$12)</f>
        <v>5.4901999999999997</v>
      </c>
      <c r="M262" s="66">
        <f>5.4971 * CHOOSE(CONTROL!$C$23, $C$12, 100%, $E$12)</f>
        <v>5.4970999999999997</v>
      </c>
      <c r="N262" s="66">
        <f>5.4902 * CHOOSE(CONTROL!$C$23, $C$12, 100%, $E$12)</f>
        <v>5.4901999999999997</v>
      </c>
      <c r="O262" s="66">
        <f>5.4971 * CHOOSE(CONTROL!$C$23, $C$12, 100%, $E$12)</f>
        <v>5.4970999999999997</v>
      </c>
    </row>
    <row r="263" spans="1:15" ht="15">
      <c r="A263" s="13">
        <v>49157</v>
      </c>
      <c r="B263" s="65">
        <f>4.4771 * CHOOSE(CONTROL!$C$23, $C$12, 100%, $E$12)</f>
        <v>4.4771000000000001</v>
      </c>
      <c r="C263" s="65">
        <f>4.4771 * CHOOSE(CONTROL!$C$23, $C$12, 100%, $E$12)</f>
        <v>4.4771000000000001</v>
      </c>
      <c r="D263" s="65">
        <f>4.4828 * CHOOSE(CONTROL!$C$23, $C$12, 100%, $E$12)</f>
        <v>4.4828000000000001</v>
      </c>
      <c r="E263" s="66">
        <f>5.4151 * CHOOSE(CONTROL!$C$23, $C$12, 100%, $E$12)</f>
        <v>5.4150999999999998</v>
      </c>
      <c r="F263" s="66">
        <f>5.4151 * CHOOSE(CONTROL!$C$23, $C$12, 100%, $E$12)</f>
        <v>5.4150999999999998</v>
      </c>
      <c r="G263" s="66">
        <f>5.4219 * CHOOSE(CONTROL!$C$23, $C$12, 100%, $E$12)</f>
        <v>5.4218999999999999</v>
      </c>
      <c r="H263" s="66">
        <f>9.8651* CHOOSE(CONTROL!$C$23, $C$12, 100%, $E$12)</f>
        <v>9.8651</v>
      </c>
      <c r="I263" s="66">
        <f>9.872 * CHOOSE(CONTROL!$C$23, $C$12, 100%, $E$12)</f>
        <v>9.8719999999999999</v>
      </c>
      <c r="J263" s="66">
        <f>9.8651 * CHOOSE(CONTROL!$C$23, $C$12, 100%, $E$12)</f>
        <v>9.8651</v>
      </c>
      <c r="K263" s="66">
        <f>9.872 * CHOOSE(CONTROL!$C$23, $C$12, 100%, $E$12)</f>
        <v>9.8719999999999999</v>
      </c>
      <c r="L263" s="66">
        <f>5.4151 * CHOOSE(CONTROL!$C$23, $C$12, 100%, $E$12)</f>
        <v>5.4150999999999998</v>
      </c>
      <c r="M263" s="66">
        <f>5.4219 * CHOOSE(CONTROL!$C$23, $C$12, 100%, $E$12)</f>
        <v>5.4218999999999999</v>
      </c>
      <c r="N263" s="66">
        <f>5.4151 * CHOOSE(CONTROL!$C$23, $C$12, 100%, $E$12)</f>
        <v>5.4150999999999998</v>
      </c>
      <c r="O263" s="66">
        <f>5.4219 * CHOOSE(CONTROL!$C$23, $C$12, 100%, $E$12)</f>
        <v>5.4218999999999999</v>
      </c>
    </row>
    <row r="264" spans="1:15" ht="15">
      <c r="A264" s="13">
        <v>49188</v>
      </c>
      <c r="B264" s="65">
        <f>4.4741 * CHOOSE(CONTROL!$C$23, $C$12, 100%, $E$12)</f>
        <v>4.4741</v>
      </c>
      <c r="C264" s="65">
        <f>4.4741 * CHOOSE(CONTROL!$C$23, $C$12, 100%, $E$12)</f>
        <v>4.4741</v>
      </c>
      <c r="D264" s="65">
        <f>4.4797 * CHOOSE(CONTROL!$C$23, $C$12, 100%, $E$12)</f>
        <v>4.4797000000000002</v>
      </c>
      <c r="E264" s="66">
        <f>5.4041 * CHOOSE(CONTROL!$C$23, $C$12, 100%, $E$12)</f>
        <v>5.4040999999999997</v>
      </c>
      <c r="F264" s="66">
        <f>5.4041 * CHOOSE(CONTROL!$C$23, $C$12, 100%, $E$12)</f>
        <v>5.4040999999999997</v>
      </c>
      <c r="G264" s="66">
        <f>5.411 * CHOOSE(CONTROL!$C$23, $C$12, 100%, $E$12)</f>
        <v>5.4109999999999996</v>
      </c>
      <c r="H264" s="66">
        <f>9.8856* CHOOSE(CONTROL!$C$23, $C$12, 100%, $E$12)</f>
        <v>9.8856000000000002</v>
      </c>
      <c r="I264" s="66">
        <f>9.8925 * CHOOSE(CONTROL!$C$23, $C$12, 100%, $E$12)</f>
        <v>9.8925000000000001</v>
      </c>
      <c r="J264" s="66">
        <f>9.8856 * CHOOSE(CONTROL!$C$23, $C$12, 100%, $E$12)</f>
        <v>9.8856000000000002</v>
      </c>
      <c r="K264" s="66">
        <f>9.8925 * CHOOSE(CONTROL!$C$23, $C$12, 100%, $E$12)</f>
        <v>9.8925000000000001</v>
      </c>
      <c r="L264" s="66">
        <f>5.4041 * CHOOSE(CONTROL!$C$23, $C$12, 100%, $E$12)</f>
        <v>5.4040999999999997</v>
      </c>
      <c r="M264" s="66">
        <f>5.411 * CHOOSE(CONTROL!$C$23, $C$12, 100%, $E$12)</f>
        <v>5.4109999999999996</v>
      </c>
      <c r="N264" s="66">
        <f>5.4041 * CHOOSE(CONTROL!$C$23, $C$12, 100%, $E$12)</f>
        <v>5.4040999999999997</v>
      </c>
      <c r="O264" s="66">
        <f>5.411 * CHOOSE(CONTROL!$C$23, $C$12, 100%, $E$12)</f>
        <v>5.4109999999999996</v>
      </c>
    </row>
    <row r="265" spans="1:15" ht="15">
      <c r="A265" s="13">
        <v>49218</v>
      </c>
      <c r="B265" s="65">
        <f>4.4707 * CHOOSE(CONTROL!$C$23, $C$12, 100%, $E$12)</f>
        <v>4.4706999999999999</v>
      </c>
      <c r="C265" s="65">
        <f>4.4707 * CHOOSE(CONTROL!$C$23, $C$12, 100%, $E$12)</f>
        <v>4.4706999999999999</v>
      </c>
      <c r="D265" s="65">
        <f>4.4747 * CHOOSE(CONTROL!$C$23, $C$12, 100%, $E$12)</f>
        <v>4.4747000000000003</v>
      </c>
      <c r="E265" s="66">
        <f>5.4261 * CHOOSE(CONTROL!$C$23, $C$12, 100%, $E$12)</f>
        <v>5.4260999999999999</v>
      </c>
      <c r="F265" s="66">
        <f>5.4261 * CHOOSE(CONTROL!$C$23, $C$12, 100%, $E$12)</f>
        <v>5.4260999999999999</v>
      </c>
      <c r="G265" s="66">
        <f>5.431 * CHOOSE(CONTROL!$C$23, $C$12, 100%, $E$12)</f>
        <v>5.431</v>
      </c>
      <c r="H265" s="66">
        <f>9.9062* CHOOSE(CONTROL!$C$23, $C$12, 100%, $E$12)</f>
        <v>9.9062000000000001</v>
      </c>
      <c r="I265" s="66">
        <f>9.9111 * CHOOSE(CONTROL!$C$23, $C$12, 100%, $E$12)</f>
        <v>9.9110999999999994</v>
      </c>
      <c r="J265" s="66">
        <f>9.9062 * CHOOSE(CONTROL!$C$23, $C$12, 100%, $E$12)</f>
        <v>9.9062000000000001</v>
      </c>
      <c r="K265" s="66">
        <f>9.9111 * CHOOSE(CONTROL!$C$23, $C$12, 100%, $E$12)</f>
        <v>9.9110999999999994</v>
      </c>
      <c r="L265" s="66">
        <f>5.4261 * CHOOSE(CONTROL!$C$23, $C$12, 100%, $E$12)</f>
        <v>5.4260999999999999</v>
      </c>
      <c r="M265" s="66">
        <f>5.431 * CHOOSE(CONTROL!$C$23, $C$12, 100%, $E$12)</f>
        <v>5.431</v>
      </c>
      <c r="N265" s="66">
        <f>5.4261 * CHOOSE(CONTROL!$C$23, $C$12, 100%, $E$12)</f>
        <v>5.4260999999999999</v>
      </c>
      <c r="O265" s="66">
        <f>5.431 * CHOOSE(CONTROL!$C$23, $C$12, 100%, $E$12)</f>
        <v>5.431</v>
      </c>
    </row>
    <row r="266" spans="1:15" ht="15">
      <c r="A266" s="13">
        <v>49249</v>
      </c>
      <c r="B266" s="65">
        <f>4.4738 * CHOOSE(CONTROL!$C$23, $C$12, 100%, $E$12)</f>
        <v>4.4737999999999998</v>
      </c>
      <c r="C266" s="65">
        <f>4.4738 * CHOOSE(CONTROL!$C$23, $C$12, 100%, $E$12)</f>
        <v>4.4737999999999998</v>
      </c>
      <c r="D266" s="65">
        <f>4.4778 * CHOOSE(CONTROL!$C$23, $C$12, 100%, $E$12)</f>
        <v>4.4778000000000002</v>
      </c>
      <c r="E266" s="66">
        <f>5.446 * CHOOSE(CONTROL!$C$23, $C$12, 100%, $E$12)</f>
        <v>5.4459999999999997</v>
      </c>
      <c r="F266" s="66">
        <f>5.446 * CHOOSE(CONTROL!$C$23, $C$12, 100%, $E$12)</f>
        <v>5.4459999999999997</v>
      </c>
      <c r="G266" s="66">
        <f>5.4509 * CHOOSE(CONTROL!$C$23, $C$12, 100%, $E$12)</f>
        <v>5.4508999999999999</v>
      </c>
      <c r="H266" s="66">
        <f>9.9269* CHOOSE(CONTROL!$C$23, $C$12, 100%, $E$12)</f>
        <v>9.9268999999999998</v>
      </c>
      <c r="I266" s="66">
        <f>9.9318 * CHOOSE(CONTROL!$C$23, $C$12, 100%, $E$12)</f>
        <v>9.9318000000000008</v>
      </c>
      <c r="J266" s="66">
        <f>9.9269 * CHOOSE(CONTROL!$C$23, $C$12, 100%, $E$12)</f>
        <v>9.9268999999999998</v>
      </c>
      <c r="K266" s="66">
        <f>9.9318 * CHOOSE(CONTROL!$C$23, $C$12, 100%, $E$12)</f>
        <v>9.9318000000000008</v>
      </c>
      <c r="L266" s="66">
        <f>5.446 * CHOOSE(CONTROL!$C$23, $C$12, 100%, $E$12)</f>
        <v>5.4459999999999997</v>
      </c>
      <c r="M266" s="66">
        <f>5.4509 * CHOOSE(CONTROL!$C$23, $C$12, 100%, $E$12)</f>
        <v>5.4508999999999999</v>
      </c>
      <c r="N266" s="66">
        <f>5.446 * CHOOSE(CONTROL!$C$23, $C$12, 100%, $E$12)</f>
        <v>5.4459999999999997</v>
      </c>
      <c r="O266" s="66">
        <f>5.4509 * CHOOSE(CONTROL!$C$23, $C$12, 100%, $E$12)</f>
        <v>5.4508999999999999</v>
      </c>
    </row>
    <row r="267" spans="1:15" ht="15">
      <c r="A267" s="13">
        <v>49279</v>
      </c>
      <c r="B267" s="65">
        <f>4.4738 * CHOOSE(CONTROL!$C$23, $C$12, 100%, $E$12)</f>
        <v>4.4737999999999998</v>
      </c>
      <c r="C267" s="65">
        <f>4.4738 * CHOOSE(CONTROL!$C$23, $C$12, 100%, $E$12)</f>
        <v>4.4737999999999998</v>
      </c>
      <c r="D267" s="65">
        <f>4.4778 * CHOOSE(CONTROL!$C$23, $C$12, 100%, $E$12)</f>
        <v>4.4778000000000002</v>
      </c>
      <c r="E267" s="66">
        <f>5.4016 * CHOOSE(CONTROL!$C$23, $C$12, 100%, $E$12)</f>
        <v>5.4016000000000002</v>
      </c>
      <c r="F267" s="66">
        <f>5.4016 * CHOOSE(CONTROL!$C$23, $C$12, 100%, $E$12)</f>
        <v>5.4016000000000002</v>
      </c>
      <c r="G267" s="66">
        <f>5.4066 * CHOOSE(CONTROL!$C$23, $C$12, 100%, $E$12)</f>
        <v>5.4066000000000001</v>
      </c>
      <c r="H267" s="66">
        <f>9.9475* CHOOSE(CONTROL!$C$23, $C$12, 100%, $E$12)</f>
        <v>9.9474999999999998</v>
      </c>
      <c r="I267" s="66">
        <f>9.9525 * CHOOSE(CONTROL!$C$23, $C$12, 100%, $E$12)</f>
        <v>9.9525000000000006</v>
      </c>
      <c r="J267" s="66">
        <f>9.9475 * CHOOSE(CONTROL!$C$23, $C$12, 100%, $E$12)</f>
        <v>9.9474999999999998</v>
      </c>
      <c r="K267" s="66">
        <f>9.9525 * CHOOSE(CONTROL!$C$23, $C$12, 100%, $E$12)</f>
        <v>9.9525000000000006</v>
      </c>
      <c r="L267" s="66">
        <f>5.4016 * CHOOSE(CONTROL!$C$23, $C$12, 100%, $E$12)</f>
        <v>5.4016000000000002</v>
      </c>
      <c r="M267" s="66">
        <f>5.4066 * CHOOSE(CONTROL!$C$23, $C$12, 100%, $E$12)</f>
        <v>5.4066000000000001</v>
      </c>
      <c r="N267" s="66">
        <f>5.4016 * CHOOSE(CONTROL!$C$23, $C$12, 100%, $E$12)</f>
        <v>5.4016000000000002</v>
      </c>
      <c r="O267" s="66">
        <f>5.4066 * CHOOSE(CONTROL!$C$23, $C$12, 100%, $E$12)</f>
        <v>5.4066000000000001</v>
      </c>
    </row>
    <row r="268" spans="1:15" ht="15">
      <c r="A268" s="13">
        <v>49310</v>
      </c>
      <c r="B268" s="65">
        <f>4.515 * CHOOSE(CONTROL!$C$23, $C$12, 100%, $E$12)</f>
        <v>4.5149999999999997</v>
      </c>
      <c r="C268" s="65">
        <f>4.515 * CHOOSE(CONTROL!$C$23, $C$12, 100%, $E$12)</f>
        <v>4.5149999999999997</v>
      </c>
      <c r="D268" s="65">
        <f>4.519 * CHOOSE(CONTROL!$C$23, $C$12, 100%, $E$12)</f>
        <v>4.5190000000000001</v>
      </c>
      <c r="E268" s="66">
        <f>5.4889 * CHOOSE(CONTROL!$C$23, $C$12, 100%, $E$12)</f>
        <v>5.4889000000000001</v>
      </c>
      <c r="F268" s="66">
        <f>5.4889 * CHOOSE(CONTROL!$C$23, $C$12, 100%, $E$12)</f>
        <v>5.4889000000000001</v>
      </c>
      <c r="G268" s="66">
        <f>5.4938 * CHOOSE(CONTROL!$C$23, $C$12, 100%, $E$12)</f>
        <v>5.4938000000000002</v>
      </c>
      <c r="H268" s="66">
        <f>9.9683* CHOOSE(CONTROL!$C$23, $C$12, 100%, $E$12)</f>
        <v>9.9682999999999993</v>
      </c>
      <c r="I268" s="66">
        <f>9.9732 * CHOOSE(CONTROL!$C$23, $C$12, 100%, $E$12)</f>
        <v>9.9732000000000003</v>
      </c>
      <c r="J268" s="66">
        <f>9.9683 * CHOOSE(CONTROL!$C$23, $C$12, 100%, $E$12)</f>
        <v>9.9682999999999993</v>
      </c>
      <c r="K268" s="66">
        <f>9.9732 * CHOOSE(CONTROL!$C$23, $C$12, 100%, $E$12)</f>
        <v>9.9732000000000003</v>
      </c>
      <c r="L268" s="66">
        <f>5.4889 * CHOOSE(CONTROL!$C$23, $C$12, 100%, $E$12)</f>
        <v>5.4889000000000001</v>
      </c>
      <c r="M268" s="66">
        <f>5.4938 * CHOOSE(CONTROL!$C$23, $C$12, 100%, $E$12)</f>
        <v>5.4938000000000002</v>
      </c>
      <c r="N268" s="66">
        <f>5.4889 * CHOOSE(CONTROL!$C$23, $C$12, 100%, $E$12)</f>
        <v>5.4889000000000001</v>
      </c>
      <c r="O268" s="66">
        <f>5.4938 * CHOOSE(CONTROL!$C$23, $C$12, 100%, $E$12)</f>
        <v>5.4938000000000002</v>
      </c>
    </row>
    <row r="269" spans="1:15" ht="15">
      <c r="A269" s="13">
        <v>49341</v>
      </c>
      <c r="B269" s="65">
        <f>4.5119 * CHOOSE(CONTROL!$C$23, $C$12, 100%, $E$12)</f>
        <v>4.5118999999999998</v>
      </c>
      <c r="C269" s="65">
        <f>4.5119 * CHOOSE(CONTROL!$C$23, $C$12, 100%, $E$12)</f>
        <v>4.5118999999999998</v>
      </c>
      <c r="D269" s="65">
        <f>4.5159 * CHOOSE(CONTROL!$C$23, $C$12, 100%, $E$12)</f>
        <v>4.5159000000000002</v>
      </c>
      <c r="E269" s="66">
        <f>5.4007 * CHOOSE(CONTROL!$C$23, $C$12, 100%, $E$12)</f>
        <v>5.4006999999999996</v>
      </c>
      <c r="F269" s="66">
        <f>5.4007 * CHOOSE(CONTROL!$C$23, $C$12, 100%, $E$12)</f>
        <v>5.4006999999999996</v>
      </c>
      <c r="G269" s="66">
        <f>5.4056 * CHOOSE(CONTROL!$C$23, $C$12, 100%, $E$12)</f>
        <v>5.4055999999999997</v>
      </c>
      <c r="H269" s="66">
        <f>9.989* CHOOSE(CONTROL!$C$23, $C$12, 100%, $E$12)</f>
        <v>9.9890000000000008</v>
      </c>
      <c r="I269" s="66">
        <f>9.994 * CHOOSE(CONTROL!$C$23, $C$12, 100%, $E$12)</f>
        <v>9.9939999999999998</v>
      </c>
      <c r="J269" s="66">
        <f>9.989 * CHOOSE(CONTROL!$C$23, $C$12, 100%, $E$12)</f>
        <v>9.9890000000000008</v>
      </c>
      <c r="K269" s="66">
        <f>9.994 * CHOOSE(CONTROL!$C$23, $C$12, 100%, $E$12)</f>
        <v>9.9939999999999998</v>
      </c>
      <c r="L269" s="66">
        <f>5.4007 * CHOOSE(CONTROL!$C$23, $C$12, 100%, $E$12)</f>
        <v>5.4006999999999996</v>
      </c>
      <c r="M269" s="66">
        <f>5.4056 * CHOOSE(CONTROL!$C$23, $C$12, 100%, $E$12)</f>
        <v>5.4055999999999997</v>
      </c>
      <c r="N269" s="66">
        <f>5.4007 * CHOOSE(CONTROL!$C$23, $C$12, 100%, $E$12)</f>
        <v>5.4006999999999996</v>
      </c>
      <c r="O269" s="66">
        <f>5.4056 * CHOOSE(CONTROL!$C$23, $C$12, 100%, $E$12)</f>
        <v>5.4055999999999997</v>
      </c>
    </row>
    <row r="270" spans="1:15" ht="15">
      <c r="A270" s="13">
        <v>49369</v>
      </c>
      <c r="B270" s="65">
        <f>4.5089 * CHOOSE(CONTROL!$C$23, $C$12, 100%, $E$12)</f>
        <v>4.5088999999999997</v>
      </c>
      <c r="C270" s="65">
        <f>4.5089 * CHOOSE(CONTROL!$C$23, $C$12, 100%, $E$12)</f>
        <v>4.5088999999999997</v>
      </c>
      <c r="D270" s="65">
        <f>4.5129 * CHOOSE(CONTROL!$C$23, $C$12, 100%, $E$12)</f>
        <v>4.5129000000000001</v>
      </c>
      <c r="E270" s="66">
        <f>5.4664 * CHOOSE(CONTROL!$C$23, $C$12, 100%, $E$12)</f>
        <v>5.4664000000000001</v>
      </c>
      <c r="F270" s="66">
        <f>5.4664 * CHOOSE(CONTROL!$C$23, $C$12, 100%, $E$12)</f>
        <v>5.4664000000000001</v>
      </c>
      <c r="G270" s="66">
        <f>5.4713 * CHOOSE(CONTROL!$C$23, $C$12, 100%, $E$12)</f>
        <v>5.4713000000000003</v>
      </c>
      <c r="H270" s="66">
        <f>10.0098* CHOOSE(CONTROL!$C$23, $C$12, 100%, $E$12)</f>
        <v>10.0098</v>
      </c>
      <c r="I270" s="66">
        <f>10.0148 * CHOOSE(CONTROL!$C$23, $C$12, 100%, $E$12)</f>
        <v>10.014799999999999</v>
      </c>
      <c r="J270" s="66">
        <f>10.0098 * CHOOSE(CONTROL!$C$23, $C$12, 100%, $E$12)</f>
        <v>10.0098</v>
      </c>
      <c r="K270" s="66">
        <f>10.0148 * CHOOSE(CONTROL!$C$23, $C$12, 100%, $E$12)</f>
        <v>10.014799999999999</v>
      </c>
      <c r="L270" s="66">
        <f>5.4664 * CHOOSE(CONTROL!$C$23, $C$12, 100%, $E$12)</f>
        <v>5.4664000000000001</v>
      </c>
      <c r="M270" s="66">
        <f>5.4713 * CHOOSE(CONTROL!$C$23, $C$12, 100%, $E$12)</f>
        <v>5.4713000000000003</v>
      </c>
      <c r="N270" s="66">
        <f>5.4664 * CHOOSE(CONTROL!$C$23, $C$12, 100%, $E$12)</f>
        <v>5.4664000000000001</v>
      </c>
      <c r="O270" s="66">
        <f>5.4713 * CHOOSE(CONTROL!$C$23, $C$12, 100%, $E$12)</f>
        <v>5.4713000000000003</v>
      </c>
    </row>
    <row r="271" spans="1:15" ht="15">
      <c r="A271" s="13">
        <v>49400</v>
      </c>
      <c r="B271" s="65">
        <f>4.507 * CHOOSE(CONTROL!$C$23, $C$12, 100%, $E$12)</f>
        <v>4.5069999999999997</v>
      </c>
      <c r="C271" s="65">
        <f>4.507 * CHOOSE(CONTROL!$C$23, $C$12, 100%, $E$12)</f>
        <v>4.5069999999999997</v>
      </c>
      <c r="D271" s="65">
        <f>4.511 * CHOOSE(CONTROL!$C$23, $C$12, 100%, $E$12)</f>
        <v>4.5110000000000001</v>
      </c>
      <c r="E271" s="66">
        <f>5.535 * CHOOSE(CONTROL!$C$23, $C$12, 100%, $E$12)</f>
        <v>5.5350000000000001</v>
      </c>
      <c r="F271" s="66">
        <f>5.535 * CHOOSE(CONTROL!$C$23, $C$12, 100%, $E$12)</f>
        <v>5.5350000000000001</v>
      </c>
      <c r="G271" s="66">
        <f>5.5399 * CHOOSE(CONTROL!$C$23, $C$12, 100%, $E$12)</f>
        <v>5.5399000000000003</v>
      </c>
      <c r="H271" s="66">
        <f>10.0307* CHOOSE(CONTROL!$C$23, $C$12, 100%, $E$12)</f>
        <v>10.0307</v>
      </c>
      <c r="I271" s="66">
        <f>10.0356 * CHOOSE(CONTROL!$C$23, $C$12, 100%, $E$12)</f>
        <v>10.035600000000001</v>
      </c>
      <c r="J271" s="66">
        <f>10.0307 * CHOOSE(CONTROL!$C$23, $C$12, 100%, $E$12)</f>
        <v>10.0307</v>
      </c>
      <c r="K271" s="66">
        <f>10.0356 * CHOOSE(CONTROL!$C$23, $C$12, 100%, $E$12)</f>
        <v>10.035600000000001</v>
      </c>
      <c r="L271" s="66">
        <f>5.535 * CHOOSE(CONTROL!$C$23, $C$12, 100%, $E$12)</f>
        <v>5.5350000000000001</v>
      </c>
      <c r="M271" s="66">
        <f>5.5399 * CHOOSE(CONTROL!$C$23, $C$12, 100%, $E$12)</f>
        <v>5.5399000000000003</v>
      </c>
      <c r="N271" s="66">
        <f>5.535 * CHOOSE(CONTROL!$C$23, $C$12, 100%, $E$12)</f>
        <v>5.5350000000000001</v>
      </c>
      <c r="O271" s="66">
        <f>5.5399 * CHOOSE(CONTROL!$C$23, $C$12, 100%, $E$12)</f>
        <v>5.5399000000000003</v>
      </c>
    </row>
    <row r="272" spans="1:15" ht="15">
      <c r="A272" s="13">
        <v>49430</v>
      </c>
      <c r="B272" s="65">
        <f>4.507 * CHOOSE(CONTROL!$C$23, $C$12, 100%, $E$12)</f>
        <v>4.5069999999999997</v>
      </c>
      <c r="C272" s="65">
        <f>4.507 * CHOOSE(CONTROL!$C$23, $C$12, 100%, $E$12)</f>
        <v>4.5069999999999997</v>
      </c>
      <c r="D272" s="65">
        <f>4.5126 * CHOOSE(CONTROL!$C$23, $C$12, 100%, $E$12)</f>
        <v>4.5125999999999999</v>
      </c>
      <c r="E272" s="66">
        <f>5.5623 * CHOOSE(CONTROL!$C$23, $C$12, 100%, $E$12)</f>
        <v>5.5622999999999996</v>
      </c>
      <c r="F272" s="66">
        <f>5.5623 * CHOOSE(CONTROL!$C$23, $C$12, 100%, $E$12)</f>
        <v>5.5622999999999996</v>
      </c>
      <c r="G272" s="66">
        <f>5.5692 * CHOOSE(CONTROL!$C$23, $C$12, 100%, $E$12)</f>
        <v>5.5692000000000004</v>
      </c>
      <c r="H272" s="66">
        <f>10.0516* CHOOSE(CONTROL!$C$23, $C$12, 100%, $E$12)</f>
        <v>10.051600000000001</v>
      </c>
      <c r="I272" s="66">
        <f>10.0585 * CHOOSE(CONTROL!$C$23, $C$12, 100%, $E$12)</f>
        <v>10.0585</v>
      </c>
      <c r="J272" s="66">
        <f>10.0516 * CHOOSE(CONTROL!$C$23, $C$12, 100%, $E$12)</f>
        <v>10.051600000000001</v>
      </c>
      <c r="K272" s="66">
        <f>10.0585 * CHOOSE(CONTROL!$C$23, $C$12, 100%, $E$12)</f>
        <v>10.0585</v>
      </c>
      <c r="L272" s="66">
        <f>5.5623 * CHOOSE(CONTROL!$C$23, $C$12, 100%, $E$12)</f>
        <v>5.5622999999999996</v>
      </c>
      <c r="M272" s="66">
        <f>5.5692 * CHOOSE(CONTROL!$C$23, $C$12, 100%, $E$12)</f>
        <v>5.5692000000000004</v>
      </c>
      <c r="N272" s="66">
        <f>5.5623 * CHOOSE(CONTROL!$C$23, $C$12, 100%, $E$12)</f>
        <v>5.5622999999999996</v>
      </c>
      <c r="O272" s="66">
        <f>5.5692 * CHOOSE(CONTROL!$C$23, $C$12, 100%, $E$12)</f>
        <v>5.5692000000000004</v>
      </c>
    </row>
    <row r="273" spans="1:15" ht="15">
      <c r="A273" s="13">
        <v>49461</v>
      </c>
      <c r="B273" s="65">
        <f>4.5131 * CHOOSE(CONTROL!$C$23, $C$12, 100%, $E$12)</f>
        <v>4.5130999999999997</v>
      </c>
      <c r="C273" s="65">
        <f>4.5131 * CHOOSE(CONTROL!$C$23, $C$12, 100%, $E$12)</f>
        <v>4.5130999999999997</v>
      </c>
      <c r="D273" s="65">
        <f>4.5187 * CHOOSE(CONTROL!$C$23, $C$12, 100%, $E$12)</f>
        <v>4.5186999999999999</v>
      </c>
      <c r="E273" s="66">
        <f>5.5393 * CHOOSE(CONTROL!$C$23, $C$12, 100%, $E$12)</f>
        <v>5.5392999999999999</v>
      </c>
      <c r="F273" s="66">
        <f>5.5393 * CHOOSE(CONTROL!$C$23, $C$12, 100%, $E$12)</f>
        <v>5.5392999999999999</v>
      </c>
      <c r="G273" s="66">
        <f>5.5461 * CHOOSE(CONTROL!$C$23, $C$12, 100%, $E$12)</f>
        <v>5.5461</v>
      </c>
      <c r="H273" s="66">
        <f>10.0725* CHOOSE(CONTROL!$C$23, $C$12, 100%, $E$12)</f>
        <v>10.0725</v>
      </c>
      <c r="I273" s="66">
        <f>10.0794 * CHOOSE(CONTROL!$C$23, $C$12, 100%, $E$12)</f>
        <v>10.0794</v>
      </c>
      <c r="J273" s="66">
        <f>10.0725 * CHOOSE(CONTROL!$C$23, $C$12, 100%, $E$12)</f>
        <v>10.0725</v>
      </c>
      <c r="K273" s="66">
        <f>10.0794 * CHOOSE(CONTROL!$C$23, $C$12, 100%, $E$12)</f>
        <v>10.0794</v>
      </c>
      <c r="L273" s="66">
        <f>5.5393 * CHOOSE(CONTROL!$C$23, $C$12, 100%, $E$12)</f>
        <v>5.5392999999999999</v>
      </c>
      <c r="M273" s="66">
        <f>5.5461 * CHOOSE(CONTROL!$C$23, $C$12, 100%, $E$12)</f>
        <v>5.5461</v>
      </c>
      <c r="N273" s="66">
        <f>5.5393 * CHOOSE(CONTROL!$C$23, $C$12, 100%, $E$12)</f>
        <v>5.5392999999999999</v>
      </c>
      <c r="O273" s="66">
        <f>5.5461 * CHOOSE(CONTROL!$C$23, $C$12, 100%, $E$12)</f>
        <v>5.5461</v>
      </c>
    </row>
    <row r="274" spans="1:15" ht="15">
      <c r="A274" s="13">
        <v>49491</v>
      </c>
      <c r="B274" s="65">
        <f>4.5909 * CHOOSE(CONTROL!$C$23, $C$12, 100%, $E$12)</f>
        <v>4.5909000000000004</v>
      </c>
      <c r="C274" s="65">
        <f>4.5909 * CHOOSE(CONTROL!$C$23, $C$12, 100%, $E$12)</f>
        <v>4.5909000000000004</v>
      </c>
      <c r="D274" s="65">
        <f>4.5965 * CHOOSE(CONTROL!$C$23, $C$12, 100%, $E$12)</f>
        <v>4.5964999999999998</v>
      </c>
      <c r="E274" s="66">
        <f>5.6624 * CHOOSE(CONTROL!$C$23, $C$12, 100%, $E$12)</f>
        <v>5.6623999999999999</v>
      </c>
      <c r="F274" s="66">
        <f>5.6624 * CHOOSE(CONTROL!$C$23, $C$12, 100%, $E$12)</f>
        <v>5.6623999999999999</v>
      </c>
      <c r="G274" s="66">
        <f>5.6693 * CHOOSE(CONTROL!$C$23, $C$12, 100%, $E$12)</f>
        <v>5.6692999999999998</v>
      </c>
      <c r="H274" s="66">
        <f>10.0935* CHOOSE(CONTROL!$C$23, $C$12, 100%, $E$12)</f>
        <v>10.093500000000001</v>
      </c>
      <c r="I274" s="66">
        <f>10.1004 * CHOOSE(CONTROL!$C$23, $C$12, 100%, $E$12)</f>
        <v>10.1004</v>
      </c>
      <c r="J274" s="66">
        <f>10.0935 * CHOOSE(CONTROL!$C$23, $C$12, 100%, $E$12)</f>
        <v>10.093500000000001</v>
      </c>
      <c r="K274" s="66">
        <f>10.1004 * CHOOSE(CONTROL!$C$23, $C$12, 100%, $E$12)</f>
        <v>10.1004</v>
      </c>
      <c r="L274" s="66">
        <f>5.6624 * CHOOSE(CONTROL!$C$23, $C$12, 100%, $E$12)</f>
        <v>5.6623999999999999</v>
      </c>
      <c r="M274" s="66">
        <f>5.6693 * CHOOSE(CONTROL!$C$23, $C$12, 100%, $E$12)</f>
        <v>5.6692999999999998</v>
      </c>
      <c r="N274" s="66">
        <f>5.6624 * CHOOSE(CONTROL!$C$23, $C$12, 100%, $E$12)</f>
        <v>5.6623999999999999</v>
      </c>
      <c r="O274" s="66">
        <f>5.6693 * CHOOSE(CONTROL!$C$23, $C$12, 100%, $E$12)</f>
        <v>5.6692999999999998</v>
      </c>
    </row>
    <row r="275" spans="1:15" ht="15">
      <c r="A275" s="13">
        <v>49522</v>
      </c>
      <c r="B275" s="65">
        <f>4.5975 * CHOOSE(CONTROL!$C$23, $C$12, 100%, $E$12)</f>
        <v>4.5975000000000001</v>
      </c>
      <c r="C275" s="65">
        <f>4.5975 * CHOOSE(CONTROL!$C$23, $C$12, 100%, $E$12)</f>
        <v>4.5975000000000001</v>
      </c>
      <c r="D275" s="65">
        <f>4.6032 * CHOOSE(CONTROL!$C$23, $C$12, 100%, $E$12)</f>
        <v>4.6032000000000002</v>
      </c>
      <c r="E275" s="66">
        <f>5.5851 * CHOOSE(CONTROL!$C$23, $C$12, 100%, $E$12)</f>
        <v>5.5850999999999997</v>
      </c>
      <c r="F275" s="66">
        <f>5.5851 * CHOOSE(CONTROL!$C$23, $C$12, 100%, $E$12)</f>
        <v>5.5850999999999997</v>
      </c>
      <c r="G275" s="66">
        <f>5.592 * CHOOSE(CONTROL!$C$23, $C$12, 100%, $E$12)</f>
        <v>5.5919999999999996</v>
      </c>
      <c r="H275" s="66">
        <f>10.1145* CHOOSE(CONTROL!$C$23, $C$12, 100%, $E$12)</f>
        <v>10.1145</v>
      </c>
      <c r="I275" s="66">
        <f>10.1214 * CHOOSE(CONTROL!$C$23, $C$12, 100%, $E$12)</f>
        <v>10.1214</v>
      </c>
      <c r="J275" s="66">
        <f>10.1145 * CHOOSE(CONTROL!$C$23, $C$12, 100%, $E$12)</f>
        <v>10.1145</v>
      </c>
      <c r="K275" s="66">
        <f>10.1214 * CHOOSE(CONTROL!$C$23, $C$12, 100%, $E$12)</f>
        <v>10.1214</v>
      </c>
      <c r="L275" s="66">
        <f>5.5851 * CHOOSE(CONTROL!$C$23, $C$12, 100%, $E$12)</f>
        <v>5.5850999999999997</v>
      </c>
      <c r="M275" s="66">
        <f>5.592 * CHOOSE(CONTROL!$C$23, $C$12, 100%, $E$12)</f>
        <v>5.5919999999999996</v>
      </c>
      <c r="N275" s="66">
        <f>5.5851 * CHOOSE(CONTROL!$C$23, $C$12, 100%, $E$12)</f>
        <v>5.5850999999999997</v>
      </c>
      <c r="O275" s="66">
        <f>5.592 * CHOOSE(CONTROL!$C$23, $C$12, 100%, $E$12)</f>
        <v>5.5919999999999996</v>
      </c>
    </row>
    <row r="276" spans="1:15" ht="15">
      <c r="A276" s="13">
        <v>49553</v>
      </c>
      <c r="B276" s="65">
        <f>4.5945 * CHOOSE(CONTROL!$C$23, $C$12, 100%, $E$12)</f>
        <v>4.5945</v>
      </c>
      <c r="C276" s="65">
        <f>4.5945 * CHOOSE(CONTROL!$C$23, $C$12, 100%, $E$12)</f>
        <v>4.5945</v>
      </c>
      <c r="D276" s="65">
        <f>4.6001 * CHOOSE(CONTROL!$C$23, $C$12, 100%, $E$12)</f>
        <v>4.6001000000000003</v>
      </c>
      <c r="E276" s="66">
        <f>5.5739 * CHOOSE(CONTROL!$C$23, $C$12, 100%, $E$12)</f>
        <v>5.5739000000000001</v>
      </c>
      <c r="F276" s="66">
        <f>5.5739 * CHOOSE(CONTROL!$C$23, $C$12, 100%, $E$12)</f>
        <v>5.5739000000000001</v>
      </c>
      <c r="G276" s="66">
        <f>5.5808 * CHOOSE(CONTROL!$C$23, $C$12, 100%, $E$12)</f>
        <v>5.5808</v>
      </c>
      <c r="H276" s="66">
        <f>10.1356* CHOOSE(CONTROL!$C$23, $C$12, 100%, $E$12)</f>
        <v>10.1356</v>
      </c>
      <c r="I276" s="66">
        <f>10.1425 * CHOOSE(CONTROL!$C$23, $C$12, 100%, $E$12)</f>
        <v>10.1425</v>
      </c>
      <c r="J276" s="66">
        <f>10.1356 * CHOOSE(CONTROL!$C$23, $C$12, 100%, $E$12)</f>
        <v>10.1356</v>
      </c>
      <c r="K276" s="66">
        <f>10.1425 * CHOOSE(CONTROL!$C$23, $C$12, 100%, $E$12)</f>
        <v>10.1425</v>
      </c>
      <c r="L276" s="66">
        <f>5.5739 * CHOOSE(CONTROL!$C$23, $C$12, 100%, $E$12)</f>
        <v>5.5739000000000001</v>
      </c>
      <c r="M276" s="66">
        <f>5.5808 * CHOOSE(CONTROL!$C$23, $C$12, 100%, $E$12)</f>
        <v>5.5808</v>
      </c>
      <c r="N276" s="66">
        <f>5.5739 * CHOOSE(CONTROL!$C$23, $C$12, 100%, $E$12)</f>
        <v>5.5739000000000001</v>
      </c>
      <c r="O276" s="66">
        <f>5.5808 * CHOOSE(CONTROL!$C$23, $C$12, 100%, $E$12)</f>
        <v>5.5808</v>
      </c>
    </row>
    <row r="277" spans="1:15" ht="15">
      <c r="A277" s="13">
        <v>49583</v>
      </c>
      <c r="B277" s="65">
        <f>4.5915 * CHOOSE(CONTROL!$C$23, $C$12, 100%, $E$12)</f>
        <v>4.5914999999999999</v>
      </c>
      <c r="C277" s="65">
        <f>4.5915 * CHOOSE(CONTROL!$C$23, $C$12, 100%, $E$12)</f>
        <v>4.5914999999999999</v>
      </c>
      <c r="D277" s="65">
        <f>4.5955 * CHOOSE(CONTROL!$C$23, $C$12, 100%, $E$12)</f>
        <v>4.5955000000000004</v>
      </c>
      <c r="E277" s="66">
        <f>5.5969 * CHOOSE(CONTROL!$C$23, $C$12, 100%, $E$12)</f>
        <v>5.5968999999999998</v>
      </c>
      <c r="F277" s="66">
        <f>5.5969 * CHOOSE(CONTROL!$C$23, $C$12, 100%, $E$12)</f>
        <v>5.5968999999999998</v>
      </c>
      <c r="G277" s="66">
        <f>5.6018 * CHOOSE(CONTROL!$C$23, $C$12, 100%, $E$12)</f>
        <v>5.6017999999999999</v>
      </c>
      <c r="H277" s="66">
        <f>10.1567* CHOOSE(CONTROL!$C$23, $C$12, 100%, $E$12)</f>
        <v>10.156700000000001</v>
      </c>
      <c r="I277" s="66">
        <f>10.1617 * CHOOSE(CONTROL!$C$23, $C$12, 100%, $E$12)</f>
        <v>10.1617</v>
      </c>
      <c r="J277" s="66">
        <f>10.1567 * CHOOSE(CONTROL!$C$23, $C$12, 100%, $E$12)</f>
        <v>10.156700000000001</v>
      </c>
      <c r="K277" s="66">
        <f>10.1617 * CHOOSE(CONTROL!$C$23, $C$12, 100%, $E$12)</f>
        <v>10.1617</v>
      </c>
      <c r="L277" s="66">
        <f>5.5969 * CHOOSE(CONTROL!$C$23, $C$12, 100%, $E$12)</f>
        <v>5.5968999999999998</v>
      </c>
      <c r="M277" s="66">
        <f>5.6018 * CHOOSE(CONTROL!$C$23, $C$12, 100%, $E$12)</f>
        <v>5.6017999999999999</v>
      </c>
      <c r="N277" s="66">
        <f>5.5969 * CHOOSE(CONTROL!$C$23, $C$12, 100%, $E$12)</f>
        <v>5.5968999999999998</v>
      </c>
      <c r="O277" s="66">
        <f>5.6018 * CHOOSE(CONTROL!$C$23, $C$12, 100%, $E$12)</f>
        <v>5.6017999999999999</v>
      </c>
    </row>
    <row r="278" spans="1:15" ht="15">
      <c r="A278" s="13">
        <v>49614</v>
      </c>
      <c r="B278" s="65">
        <f>4.5946 * CHOOSE(CONTROL!$C$23, $C$12, 100%, $E$12)</f>
        <v>4.5945999999999998</v>
      </c>
      <c r="C278" s="65">
        <f>4.5946 * CHOOSE(CONTROL!$C$23, $C$12, 100%, $E$12)</f>
        <v>4.5945999999999998</v>
      </c>
      <c r="D278" s="65">
        <f>4.5986 * CHOOSE(CONTROL!$C$23, $C$12, 100%, $E$12)</f>
        <v>4.5986000000000002</v>
      </c>
      <c r="E278" s="66">
        <f>5.6172 * CHOOSE(CONTROL!$C$23, $C$12, 100%, $E$12)</f>
        <v>5.6172000000000004</v>
      </c>
      <c r="F278" s="66">
        <f>5.6172 * CHOOSE(CONTROL!$C$23, $C$12, 100%, $E$12)</f>
        <v>5.6172000000000004</v>
      </c>
      <c r="G278" s="66">
        <f>5.6221 * CHOOSE(CONTROL!$C$23, $C$12, 100%, $E$12)</f>
        <v>5.6220999999999997</v>
      </c>
      <c r="H278" s="66">
        <f>10.1779* CHOOSE(CONTROL!$C$23, $C$12, 100%, $E$12)</f>
        <v>10.177899999999999</v>
      </c>
      <c r="I278" s="66">
        <f>10.1828 * CHOOSE(CONTROL!$C$23, $C$12, 100%, $E$12)</f>
        <v>10.1828</v>
      </c>
      <c r="J278" s="66">
        <f>10.1779 * CHOOSE(CONTROL!$C$23, $C$12, 100%, $E$12)</f>
        <v>10.177899999999999</v>
      </c>
      <c r="K278" s="66">
        <f>10.1828 * CHOOSE(CONTROL!$C$23, $C$12, 100%, $E$12)</f>
        <v>10.1828</v>
      </c>
      <c r="L278" s="66">
        <f>5.6172 * CHOOSE(CONTROL!$C$23, $C$12, 100%, $E$12)</f>
        <v>5.6172000000000004</v>
      </c>
      <c r="M278" s="66">
        <f>5.6221 * CHOOSE(CONTROL!$C$23, $C$12, 100%, $E$12)</f>
        <v>5.6220999999999997</v>
      </c>
      <c r="N278" s="66">
        <f>5.6172 * CHOOSE(CONTROL!$C$23, $C$12, 100%, $E$12)</f>
        <v>5.6172000000000004</v>
      </c>
      <c r="O278" s="66">
        <f>5.6221 * CHOOSE(CONTROL!$C$23, $C$12, 100%, $E$12)</f>
        <v>5.6220999999999997</v>
      </c>
    </row>
    <row r="279" spans="1:15" ht="15">
      <c r="A279" s="13">
        <v>49644</v>
      </c>
      <c r="B279" s="65">
        <f>4.5946 * CHOOSE(CONTROL!$C$23, $C$12, 100%, $E$12)</f>
        <v>4.5945999999999998</v>
      </c>
      <c r="C279" s="65">
        <f>4.5946 * CHOOSE(CONTROL!$C$23, $C$12, 100%, $E$12)</f>
        <v>4.5945999999999998</v>
      </c>
      <c r="D279" s="65">
        <f>4.5986 * CHOOSE(CONTROL!$C$23, $C$12, 100%, $E$12)</f>
        <v>4.5986000000000002</v>
      </c>
      <c r="E279" s="66">
        <f>5.5717 * CHOOSE(CONTROL!$C$23, $C$12, 100%, $E$12)</f>
        <v>5.5716999999999999</v>
      </c>
      <c r="F279" s="66">
        <f>5.5717 * CHOOSE(CONTROL!$C$23, $C$12, 100%, $E$12)</f>
        <v>5.5716999999999999</v>
      </c>
      <c r="G279" s="66">
        <f>5.5766 * CHOOSE(CONTROL!$C$23, $C$12, 100%, $E$12)</f>
        <v>5.5766</v>
      </c>
      <c r="H279" s="66">
        <f>10.1991* CHOOSE(CONTROL!$C$23, $C$12, 100%, $E$12)</f>
        <v>10.1991</v>
      </c>
      <c r="I279" s="66">
        <f>10.204 * CHOOSE(CONTROL!$C$23, $C$12, 100%, $E$12)</f>
        <v>10.204000000000001</v>
      </c>
      <c r="J279" s="66">
        <f>10.1991 * CHOOSE(CONTROL!$C$23, $C$12, 100%, $E$12)</f>
        <v>10.1991</v>
      </c>
      <c r="K279" s="66">
        <f>10.204 * CHOOSE(CONTROL!$C$23, $C$12, 100%, $E$12)</f>
        <v>10.204000000000001</v>
      </c>
      <c r="L279" s="66">
        <f>5.5717 * CHOOSE(CONTROL!$C$23, $C$12, 100%, $E$12)</f>
        <v>5.5716999999999999</v>
      </c>
      <c r="M279" s="66">
        <f>5.5766 * CHOOSE(CONTROL!$C$23, $C$12, 100%, $E$12)</f>
        <v>5.5766</v>
      </c>
      <c r="N279" s="66">
        <f>5.5717 * CHOOSE(CONTROL!$C$23, $C$12, 100%, $E$12)</f>
        <v>5.5716999999999999</v>
      </c>
      <c r="O279" s="66">
        <f>5.5766 * CHOOSE(CONTROL!$C$23, $C$12, 100%, $E$12)</f>
        <v>5.5766</v>
      </c>
    </row>
    <row r="280" spans="1:15" ht="15">
      <c r="A280" s="13">
        <v>49675</v>
      </c>
      <c r="B280" s="65">
        <f>4.6362 * CHOOSE(CONTROL!$C$23, $C$12, 100%, $E$12)</f>
        <v>4.6361999999999997</v>
      </c>
      <c r="C280" s="65">
        <f>4.6362 * CHOOSE(CONTROL!$C$23, $C$12, 100%, $E$12)</f>
        <v>4.6361999999999997</v>
      </c>
      <c r="D280" s="65">
        <f>4.6402 * CHOOSE(CONTROL!$C$23, $C$12, 100%, $E$12)</f>
        <v>4.6402000000000001</v>
      </c>
      <c r="E280" s="66">
        <f>5.6558 * CHOOSE(CONTROL!$C$23, $C$12, 100%, $E$12)</f>
        <v>5.6558000000000002</v>
      </c>
      <c r="F280" s="66">
        <f>5.6558 * CHOOSE(CONTROL!$C$23, $C$12, 100%, $E$12)</f>
        <v>5.6558000000000002</v>
      </c>
      <c r="G280" s="66">
        <f>5.6608 * CHOOSE(CONTROL!$C$23, $C$12, 100%, $E$12)</f>
        <v>5.6608000000000001</v>
      </c>
      <c r="H280" s="66">
        <f>10.2203* CHOOSE(CONTROL!$C$23, $C$12, 100%, $E$12)</f>
        <v>10.2203</v>
      </c>
      <c r="I280" s="66">
        <f>10.2253 * CHOOSE(CONTROL!$C$23, $C$12, 100%, $E$12)</f>
        <v>10.225300000000001</v>
      </c>
      <c r="J280" s="66">
        <f>10.2203 * CHOOSE(CONTROL!$C$23, $C$12, 100%, $E$12)</f>
        <v>10.2203</v>
      </c>
      <c r="K280" s="66">
        <f>10.2253 * CHOOSE(CONTROL!$C$23, $C$12, 100%, $E$12)</f>
        <v>10.225300000000001</v>
      </c>
      <c r="L280" s="66">
        <f>5.6558 * CHOOSE(CONTROL!$C$23, $C$12, 100%, $E$12)</f>
        <v>5.6558000000000002</v>
      </c>
      <c r="M280" s="66">
        <f>5.6608 * CHOOSE(CONTROL!$C$23, $C$12, 100%, $E$12)</f>
        <v>5.6608000000000001</v>
      </c>
      <c r="N280" s="66">
        <f>5.6558 * CHOOSE(CONTROL!$C$23, $C$12, 100%, $E$12)</f>
        <v>5.6558000000000002</v>
      </c>
      <c r="O280" s="66">
        <f>5.6608 * CHOOSE(CONTROL!$C$23, $C$12, 100%, $E$12)</f>
        <v>5.6608000000000001</v>
      </c>
    </row>
    <row r="281" spans="1:15" ht="15">
      <c r="A281" s="13">
        <v>49706</v>
      </c>
      <c r="B281" s="65">
        <f>4.6332 * CHOOSE(CONTROL!$C$23, $C$12, 100%, $E$12)</f>
        <v>4.6332000000000004</v>
      </c>
      <c r="C281" s="65">
        <f>4.6332 * CHOOSE(CONTROL!$C$23, $C$12, 100%, $E$12)</f>
        <v>4.6332000000000004</v>
      </c>
      <c r="D281" s="65">
        <f>4.6372 * CHOOSE(CONTROL!$C$23, $C$12, 100%, $E$12)</f>
        <v>4.6372</v>
      </c>
      <c r="E281" s="66">
        <f>5.5653 * CHOOSE(CONTROL!$C$23, $C$12, 100%, $E$12)</f>
        <v>5.5652999999999997</v>
      </c>
      <c r="F281" s="66">
        <f>5.5653 * CHOOSE(CONTROL!$C$23, $C$12, 100%, $E$12)</f>
        <v>5.5652999999999997</v>
      </c>
      <c r="G281" s="66">
        <f>5.5703 * CHOOSE(CONTROL!$C$23, $C$12, 100%, $E$12)</f>
        <v>5.5702999999999996</v>
      </c>
      <c r="H281" s="66">
        <f>10.2416* CHOOSE(CONTROL!$C$23, $C$12, 100%, $E$12)</f>
        <v>10.2416</v>
      </c>
      <c r="I281" s="66">
        <f>10.2466 * CHOOSE(CONTROL!$C$23, $C$12, 100%, $E$12)</f>
        <v>10.246600000000001</v>
      </c>
      <c r="J281" s="66">
        <f>10.2416 * CHOOSE(CONTROL!$C$23, $C$12, 100%, $E$12)</f>
        <v>10.2416</v>
      </c>
      <c r="K281" s="66">
        <f>10.2466 * CHOOSE(CONTROL!$C$23, $C$12, 100%, $E$12)</f>
        <v>10.246600000000001</v>
      </c>
      <c r="L281" s="66">
        <f>5.5653 * CHOOSE(CONTROL!$C$23, $C$12, 100%, $E$12)</f>
        <v>5.5652999999999997</v>
      </c>
      <c r="M281" s="66">
        <f>5.5703 * CHOOSE(CONTROL!$C$23, $C$12, 100%, $E$12)</f>
        <v>5.5702999999999996</v>
      </c>
      <c r="N281" s="66">
        <f>5.5653 * CHOOSE(CONTROL!$C$23, $C$12, 100%, $E$12)</f>
        <v>5.5652999999999997</v>
      </c>
      <c r="O281" s="66">
        <f>5.5703 * CHOOSE(CONTROL!$C$23, $C$12, 100%, $E$12)</f>
        <v>5.5702999999999996</v>
      </c>
    </row>
    <row r="282" spans="1:15" ht="15">
      <c r="A282" s="13">
        <v>49735</v>
      </c>
      <c r="B282" s="65">
        <f>4.6301 * CHOOSE(CONTROL!$C$23, $C$12, 100%, $E$12)</f>
        <v>4.6300999999999997</v>
      </c>
      <c r="C282" s="65">
        <f>4.6301 * CHOOSE(CONTROL!$C$23, $C$12, 100%, $E$12)</f>
        <v>4.6300999999999997</v>
      </c>
      <c r="D282" s="65">
        <f>4.6341 * CHOOSE(CONTROL!$C$23, $C$12, 100%, $E$12)</f>
        <v>4.6341000000000001</v>
      </c>
      <c r="E282" s="66">
        <f>5.6329 * CHOOSE(CONTROL!$C$23, $C$12, 100%, $E$12)</f>
        <v>5.6329000000000002</v>
      </c>
      <c r="F282" s="66">
        <f>5.6329 * CHOOSE(CONTROL!$C$23, $C$12, 100%, $E$12)</f>
        <v>5.6329000000000002</v>
      </c>
      <c r="G282" s="66">
        <f>5.6378 * CHOOSE(CONTROL!$C$23, $C$12, 100%, $E$12)</f>
        <v>5.6378000000000004</v>
      </c>
      <c r="H282" s="66">
        <f>10.263* CHOOSE(CONTROL!$C$23, $C$12, 100%, $E$12)</f>
        <v>10.263</v>
      </c>
      <c r="I282" s="66">
        <f>10.2679 * CHOOSE(CONTROL!$C$23, $C$12, 100%, $E$12)</f>
        <v>10.267899999999999</v>
      </c>
      <c r="J282" s="66">
        <f>10.263 * CHOOSE(CONTROL!$C$23, $C$12, 100%, $E$12)</f>
        <v>10.263</v>
      </c>
      <c r="K282" s="66">
        <f>10.2679 * CHOOSE(CONTROL!$C$23, $C$12, 100%, $E$12)</f>
        <v>10.267899999999999</v>
      </c>
      <c r="L282" s="66">
        <f>5.6329 * CHOOSE(CONTROL!$C$23, $C$12, 100%, $E$12)</f>
        <v>5.6329000000000002</v>
      </c>
      <c r="M282" s="66">
        <f>5.6378 * CHOOSE(CONTROL!$C$23, $C$12, 100%, $E$12)</f>
        <v>5.6378000000000004</v>
      </c>
      <c r="N282" s="66">
        <f>5.6329 * CHOOSE(CONTROL!$C$23, $C$12, 100%, $E$12)</f>
        <v>5.6329000000000002</v>
      </c>
      <c r="O282" s="66">
        <f>5.6378 * CHOOSE(CONTROL!$C$23, $C$12, 100%, $E$12)</f>
        <v>5.6378000000000004</v>
      </c>
    </row>
    <row r="283" spans="1:15" ht="15">
      <c r="A283" s="13">
        <v>49766</v>
      </c>
      <c r="B283" s="65">
        <f>4.6283 * CHOOSE(CONTROL!$C$23, $C$12, 100%, $E$12)</f>
        <v>4.6283000000000003</v>
      </c>
      <c r="C283" s="65">
        <f>4.6283 * CHOOSE(CONTROL!$C$23, $C$12, 100%, $E$12)</f>
        <v>4.6283000000000003</v>
      </c>
      <c r="D283" s="65">
        <f>4.6323 * CHOOSE(CONTROL!$C$23, $C$12, 100%, $E$12)</f>
        <v>4.6322999999999999</v>
      </c>
      <c r="E283" s="66">
        <f>5.7035 * CHOOSE(CONTROL!$C$23, $C$12, 100%, $E$12)</f>
        <v>5.7035</v>
      </c>
      <c r="F283" s="66">
        <f>5.7035 * CHOOSE(CONTROL!$C$23, $C$12, 100%, $E$12)</f>
        <v>5.7035</v>
      </c>
      <c r="G283" s="66">
        <f>5.7084 * CHOOSE(CONTROL!$C$23, $C$12, 100%, $E$12)</f>
        <v>5.7084000000000001</v>
      </c>
      <c r="H283" s="66">
        <f>10.2844* CHOOSE(CONTROL!$C$23, $C$12, 100%, $E$12)</f>
        <v>10.2844</v>
      </c>
      <c r="I283" s="66">
        <f>10.2893 * CHOOSE(CONTROL!$C$23, $C$12, 100%, $E$12)</f>
        <v>10.289300000000001</v>
      </c>
      <c r="J283" s="66">
        <f>10.2844 * CHOOSE(CONTROL!$C$23, $C$12, 100%, $E$12)</f>
        <v>10.2844</v>
      </c>
      <c r="K283" s="66">
        <f>10.2893 * CHOOSE(CONTROL!$C$23, $C$12, 100%, $E$12)</f>
        <v>10.289300000000001</v>
      </c>
      <c r="L283" s="66">
        <f>5.7035 * CHOOSE(CONTROL!$C$23, $C$12, 100%, $E$12)</f>
        <v>5.7035</v>
      </c>
      <c r="M283" s="66">
        <f>5.7084 * CHOOSE(CONTROL!$C$23, $C$12, 100%, $E$12)</f>
        <v>5.7084000000000001</v>
      </c>
      <c r="N283" s="66">
        <f>5.7035 * CHOOSE(CONTROL!$C$23, $C$12, 100%, $E$12)</f>
        <v>5.7035</v>
      </c>
      <c r="O283" s="66">
        <f>5.7084 * CHOOSE(CONTROL!$C$23, $C$12, 100%, $E$12)</f>
        <v>5.7084000000000001</v>
      </c>
    </row>
    <row r="284" spans="1:15" ht="15">
      <c r="A284" s="13">
        <v>49796</v>
      </c>
      <c r="B284" s="65">
        <f>4.6283 * CHOOSE(CONTROL!$C$23, $C$12, 100%, $E$12)</f>
        <v>4.6283000000000003</v>
      </c>
      <c r="C284" s="65">
        <f>4.6283 * CHOOSE(CONTROL!$C$23, $C$12, 100%, $E$12)</f>
        <v>4.6283000000000003</v>
      </c>
      <c r="D284" s="65">
        <f>4.6339 * CHOOSE(CONTROL!$C$23, $C$12, 100%, $E$12)</f>
        <v>4.6338999999999997</v>
      </c>
      <c r="E284" s="66">
        <f>5.7315 * CHOOSE(CONTROL!$C$23, $C$12, 100%, $E$12)</f>
        <v>5.7314999999999996</v>
      </c>
      <c r="F284" s="66">
        <f>5.7315 * CHOOSE(CONTROL!$C$23, $C$12, 100%, $E$12)</f>
        <v>5.7314999999999996</v>
      </c>
      <c r="G284" s="66">
        <f>5.7384 * CHOOSE(CONTROL!$C$23, $C$12, 100%, $E$12)</f>
        <v>5.7384000000000004</v>
      </c>
      <c r="H284" s="66">
        <f>10.3058* CHOOSE(CONTROL!$C$23, $C$12, 100%, $E$12)</f>
        <v>10.3058</v>
      </c>
      <c r="I284" s="66">
        <f>10.3127 * CHOOSE(CONTROL!$C$23, $C$12, 100%, $E$12)</f>
        <v>10.3127</v>
      </c>
      <c r="J284" s="66">
        <f>10.3058 * CHOOSE(CONTROL!$C$23, $C$12, 100%, $E$12)</f>
        <v>10.3058</v>
      </c>
      <c r="K284" s="66">
        <f>10.3127 * CHOOSE(CONTROL!$C$23, $C$12, 100%, $E$12)</f>
        <v>10.3127</v>
      </c>
      <c r="L284" s="66">
        <f>5.7315 * CHOOSE(CONTROL!$C$23, $C$12, 100%, $E$12)</f>
        <v>5.7314999999999996</v>
      </c>
      <c r="M284" s="66">
        <f>5.7384 * CHOOSE(CONTROL!$C$23, $C$12, 100%, $E$12)</f>
        <v>5.7384000000000004</v>
      </c>
      <c r="N284" s="66">
        <f>5.7315 * CHOOSE(CONTROL!$C$23, $C$12, 100%, $E$12)</f>
        <v>5.7314999999999996</v>
      </c>
      <c r="O284" s="66">
        <f>5.7384 * CHOOSE(CONTROL!$C$23, $C$12, 100%, $E$12)</f>
        <v>5.7384000000000004</v>
      </c>
    </row>
    <row r="285" spans="1:15" ht="15">
      <c r="A285" s="13">
        <v>49827</v>
      </c>
      <c r="B285" s="65">
        <f>4.6344 * CHOOSE(CONTROL!$C$23, $C$12, 100%, $E$12)</f>
        <v>4.6344000000000003</v>
      </c>
      <c r="C285" s="65">
        <f>4.6344 * CHOOSE(CONTROL!$C$23, $C$12, 100%, $E$12)</f>
        <v>4.6344000000000003</v>
      </c>
      <c r="D285" s="65">
        <f>4.64 * CHOOSE(CONTROL!$C$23, $C$12, 100%, $E$12)</f>
        <v>4.6399999999999997</v>
      </c>
      <c r="E285" s="66">
        <f>5.7077 * CHOOSE(CONTROL!$C$23, $C$12, 100%, $E$12)</f>
        <v>5.7077</v>
      </c>
      <c r="F285" s="66">
        <f>5.7077 * CHOOSE(CONTROL!$C$23, $C$12, 100%, $E$12)</f>
        <v>5.7077</v>
      </c>
      <c r="G285" s="66">
        <f>5.7146 * CHOOSE(CONTROL!$C$23, $C$12, 100%, $E$12)</f>
        <v>5.7145999999999999</v>
      </c>
      <c r="H285" s="66">
        <f>10.3273* CHOOSE(CONTROL!$C$23, $C$12, 100%, $E$12)</f>
        <v>10.327299999999999</v>
      </c>
      <c r="I285" s="66">
        <f>10.3341 * CHOOSE(CONTROL!$C$23, $C$12, 100%, $E$12)</f>
        <v>10.334099999999999</v>
      </c>
      <c r="J285" s="66">
        <f>10.3273 * CHOOSE(CONTROL!$C$23, $C$12, 100%, $E$12)</f>
        <v>10.327299999999999</v>
      </c>
      <c r="K285" s="66">
        <f>10.3341 * CHOOSE(CONTROL!$C$23, $C$12, 100%, $E$12)</f>
        <v>10.334099999999999</v>
      </c>
      <c r="L285" s="66">
        <f>5.7077 * CHOOSE(CONTROL!$C$23, $C$12, 100%, $E$12)</f>
        <v>5.7077</v>
      </c>
      <c r="M285" s="66">
        <f>5.7146 * CHOOSE(CONTROL!$C$23, $C$12, 100%, $E$12)</f>
        <v>5.7145999999999999</v>
      </c>
      <c r="N285" s="66">
        <f>5.7077 * CHOOSE(CONTROL!$C$23, $C$12, 100%, $E$12)</f>
        <v>5.7077</v>
      </c>
      <c r="O285" s="66">
        <f>5.7146 * CHOOSE(CONTROL!$C$23, $C$12, 100%, $E$12)</f>
        <v>5.7145999999999999</v>
      </c>
    </row>
    <row r="286" spans="1:15" ht="15">
      <c r="A286" s="13">
        <v>49857</v>
      </c>
      <c r="B286" s="65">
        <f>4.7122 * CHOOSE(CONTROL!$C$23, $C$12, 100%, $E$12)</f>
        <v>4.7122000000000002</v>
      </c>
      <c r="C286" s="65">
        <f>4.7122 * CHOOSE(CONTROL!$C$23, $C$12, 100%, $E$12)</f>
        <v>4.7122000000000002</v>
      </c>
      <c r="D286" s="65">
        <f>4.7178 * CHOOSE(CONTROL!$C$23, $C$12, 100%, $E$12)</f>
        <v>4.7178000000000004</v>
      </c>
      <c r="E286" s="66">
        <f>5.8199 * CHOOSE(CONTROL!$C$23, $C$12, 100%, $E$12)</f>
        <v>5.8198999999999996</v>
      </c>
      <c r="F286" s="66">
        <f>5.8199 * CHOOSE(CONTROL!$C$23, $C$12, 100%, $E$12)</f>
        <v>5.8198999999999996</v>
      </c>
      <c r="G286" s="66">
        <f>5.8268 * CHOOSE(CONTROL!$C$23, $C$12, 100%, $E$12)</f>
        <v>5.8268000000000004</v>
      </c>
      <c r="H286" s="66">
        <f>10.3488* CHOOSE(CONTROL!$C$23, $C$12, 100%, $E$12)</f>
        <v>10.348800000000001</v>
      </c>
      <c r="I286" s="66">
        <f>10.3557 * CHOOSE(CONTROL!$C$23, $C$12, 100%, $E$12)</f>
        <v>10.355700000000001</v>
      </c>
      <c r="J286" s="66">
        <f>10.3488 * CHOOSE(CONTROL!$C$23, $C$12, 100%, $E$12)</f>
        <v>10.348800000000001</v>
      </c>
      <c r="K286" s="66">
        <f>10.3557 * CHOOSE(CONTROL!$C$23, $C$12, 100%, $E$12)</f>
        <v>10.355700000000001</v>
      </c>
      <c r="L286" s="66">
        <f>5.8199 * CHOOSE(CONTROL!$C$23, $C$12, 100%, $E$12)</f>
        <v>5.8198999999999996</v>
      </c>
      <c r="M286" s="66">
        <f>5.8268 * CHOOSE(CONTROL!$C$23, $C$12, 100%, $E$12)</f>
        <v>5.8268000000000004</v>
      </c>
      <c r="N286" s="66">
        <f>5.8199 * CHOOSE(CONTROL!$C$23, $C$12, 100%, $E$12)</f>
        <v>5.8198999999999996</v>
      </c>
      <c r="O286" s="66">
        <f>5.8268 * CHOOSE(CONTROL!$C$23, $C$12, 100%, $E$12)</f>
        <v>5.8268000000000004</v>
      </c>
    </row>
    <row r="287" spans="1:15" ht="15">
      <c r="A287" s="13">
        <v>49888</v>
      </c>
      <c r="B287" s="65">
        <f>4.7188 * CHOOSE(CONTROL!$C$23, $C$12, 100%, $E$12)</f>
        <v>4.7187999999999999</v>
      </c>
      <c r="C287" s="65">
        <f>4.7188 * CHOOSE(CONTROL!$C$23, $C$12, 100%, $E$12)</f>
        <v>4.7187999999999999</v>
      </c>
      <c r="D287" s="65">
        <f>4.7245 * CHOOSE(CONTROL!$C$23, $C$12, 100%, $E$12)</f>
        <v>4.7244999999999999</v>
      </c>
      <c r="E287" s="66">
        <f>5.7404 * CHOOSE(CONTROL!$C$23, $C$12, 100%, $E$12)</f>
        <v>5.7404000000000002</v>
      </c>
      <c r="F287" s="66">
        <f>5.7404 * CHOOSE(CONTROL!$C$23, $C$12, 100%, $E$12)</f>
        <v>5.7404000000000002</v>
      </c>
      <c r="G287" s="66">
        <f>5.7472 * CHOOSE(CONTROL!$C$23, $C$12, 100%, $E$12)</f>
        <v>5.7472000000000003</v>
      </c>
      <c r="H287" s="66">
        <f>10.3703* CHOOSE(CONTROL!$C$23, $C$12, 100%, $E$12)</f>
        <v>10.3703</v>
      </c>
      <c r="I287" s="66">
        <f>10.3772 * CHOOSE(CONTROL!$C$23, $C$12, 100%, $E$12)</f>
        <v>10.3772</v>
      </c>
      <c r="J287" s="66">
        <f>10.3703 * CHOOSE(CONTROL!$C$23, $C$12, 100%, $E$12)</f>
        <v>10.3703</v>
      </c>
      <c r="K287" s="66">
        <f>10.3772 * CHOOSE(CONTROL!$C$23, $C$12, 100%, $E$12)</f>
        <v>10.3772</v>
      </c>
      <c r="L287" s="66">
        <f>5.7404 * CHOOSE(CONTROL!$C$23, $C$12, 100%, $E$12)</f>
        <v>5.7404000000000002</v>
      </c>
      <c r="M287" s="66">
        <f>5.7472 * CHOOSE(CONTROL!$C$23, $C$12, 100%, $E$12)</f>
        <v>5.7472000000000003</v>
      </c>
      <c r="N287" s="66">
        <f>5.7404 * CHOOSE(CONTROL!$C$23, $C$12, 100%, $E$12)</f>
        <v>5.7404000000000002</v>
      </c>
      <c r="O287" s="66">
        <f>5.7472 * CHOOSE(CONTROL!$C$23, $C$12, 100%, $E$12)</f>
        <v>5.7472000000000003</v>
      </c>
    </row>
    <row r="288" spans="1:15" ht="15">
      <c r="A288" s="13">
        <v>49919</v>
      </c>
      <c r="B288" s="65">
        <f>4.7158 * CHOOSE(CONTROL!$C$23, $C$12, 100%, $E$12)</f>
        <v>4.7157999999999998</v>
      </c>
      <c r="C288" s="65">
        <f>4.7158 * CHOOSE(CONTROL!$C$23, $C$12, 100%, $E$12)</f>
        <v>4.7157999999999998</v>
      </c>
      <c r="D288" s="65">
        <f>4.7214 * CHOOSE(CONTROL!$C$23, $C$12, 100%, $E$12)</f>
        <v>4.7214</v>
      </c>
      <c r="E288" s="66">
        <f>5.7289 * CHOOSE(CONTROL!$C$23, $C$12, 100%, $E$12)</f>
        <v>5.7289000000000003</v>
      </c>
      <c r="F288" s="66">
        <f>5.7289 * CHOOSE(CONTROL!$C$23, $C$12, 100%, $E$12)</f>
        <v>5.7289000000000003</v>
      </c>
      <c r="G288" s="66">
        <f>5.7358 * CHOOSE(CONTROL!$C$23, $C$12, 100%, $E$12)</f>
        <v>5.7358000000000002</v>
      </c>
      <c r="H288" s="66">
        <f>10.3919* CHOOSE(CONTROL!$C$23, $C$12, 100%, $E$12)</f>
        <v>10.3919</v>
      </c>
      <c r="I288" s="66">
        <f>10.3988 * CHOOSE(CONTROL!$C$23, $C$12, 100%, $E$12)</f>
        <v>10.3988</v>
      </c>
      <c r="J288" s="66">
        <f>10.3919 * CHOOSE(CONTROL!$C$23, $C$12, 100%, $E$12)</f>
        <v>10.3919</v>
      </c>
      <c r="K288" s="66">
        <f>10.3988 * CHOOSE(CONTROL!$C$23, $C$12, 100%, $E$12)</f>
        <v>10.3988</v>
      </c>
      <c r="L288" s="66">
        <f>5.7289 * CHOOSE(CONTROL!$C$23, $C$12, 100%, $E$12)</f>
        <v>5.7289000000000003</v>
      </c>
      <c r="M288" s="66">
        <f>5.7358 * CHOOSE(CONTROL!$C$23, $C$12, 100%, $E$12)</f>
        <v>5.7358000000000002</v>
      </c>
      <c r="N288" s="66">
        <f>5.7289 * CHOOSE(CONTROL!$C$23, $C$12, 100%, $E$12)</f>
        <v>5.7289000000000003</v>
      </c>
      <c r="O288" s="66">
        <f>5.7358 * CHOOSE(CONTROL!$C$23, $C$12, 100%, $E$12)</f>
        <v>5.7358000000000002</v>
      </c>
    </row>
    <row r="289" spans="1:15" ht="15">
      <c r="A289" s="13">
        <v>49949</v>
      </c>
      <c r="B289" s="65">
        <f>4.7132 * CHOOSE(CONTROL!$C$23, $C$12, 100%, $E$12)</f>
        <v>4.7131999999999996</v>
      </c>
      <c r="C289" s="65">
        <f>4.7132 * CHOOSE(CONTROL!$C$23, $C$12, 100%, $E$12)</f>
        <v>4.7131999999999996</v>
      </c>
      <c r="D289" s="65">
        <f>4.7172 * CHOOSE(CONTROL!$C$23, $C$12, 100%, $E$12)</f>
        <v>4.7172000000000001</v>
      </c>
      <c r="E289" s="66">
        <f>5.7529 * CHOOSE(CONTROL!$C$23, $C$12, 100%, $E$12)</f>
        <v>5.7529000000000003</v>
      </c>
      <c r="F289" s="66">
        <f>5.7529 * CHOOSE(CONTROL!$C$23, $C$12, 100%, $E$12)</f>
        <v>5.7529000000000003</v>
      </c>
      <c r="G289" s="66">
        <f>5.7578 * CHOOSE(CONTROL!$C$23, $C$12, 100%, $E$12)</f>
        <v>5.7577999999999996</v>
      </c>
      <c r="H289" s="66">
        <f>10.4136* CHOOSE(CONTROL!$C$23, $C$12, 100%, $E$12)</f>
        <v>10.413600000000001</v>
      </c>
      <c r="I289" s="66">
        <f>10.4185 * CHOOSE(CONTROL!$C$23, $C$12, 100%, $E$12)</f>
        <v>10.4185</v>
      </c>
      <c r="J289" s="66">
        <f>10.4136 * CHOOSE(CONTROL!$C$23, $C$12, 100%, $E$12)</f>
        <v>10.413600000000001</v>
      </c>
      <c r="K289" s="66">
        <f>10.4185 * CHOOSE(CONTROL!$C$23, $C$12, 100%, $E$12)</f>
        <v>10.4185</v>
      </c>
      <c r="L289" s="66">
        <f>5.7529 * CHOOSE(CONTROL!$C$23, $C$12, 100%, $E$12)</f>
        <v>5.7529000000000003</v>
      </c>
      <c r="M289" s="66">
        <f>5.7578 * CHOOSE(CONTROL!$C$23, $C$12, 100%, $E$12)</f>
        <v>5.7577999999999996</v>
      </c>
      <c r="N289" s="66">
        <f>5.7529 * CHOOSE(CONTROL!$C$23, $C$12, 100%, $E$12)</f>
        <v>5.7529000000000003</v>
      </c>
      <c r="O289" s="66">
        <f>5.7578 * CHOOSE(CONTROL!$C$23, $C$12, 100%, $E$12)</f>
        <v>5.7577999999999996</v>
      </c>
    </row>
    <row r="290" spans="1:15" ht="15">
      <c r="A290" s="13">
        <v>49980</v>
      </c>
      <c r="B290" s="65">
        <f>4.7163 * CHOOSE(CONTROL!$C$23, $C$12, 100%, $E$12)</f>
        <v>4.7163000000000004</v>
      </c>
      <c r="C290" s="65">
        <f>4.7163 * CHOOSE(CONTROL!$C$23, $C$12, 100%, $E$12)</f>
        <v>4.7163000000000004</v>
      </c>
      <c r="D290" s="65">
        <f>4.7203 * CHOOSE(CONTROL!$C$23, $C$12, 100%, $E$12)</f>
        <v>4.7202999999999999</v>
      </c>
      <c r="E290" s="66">
        <f>5.7737 * CHOOSE(CONTROL!$C$23, $C$12, 100%, $E$12)</f>
        <v>5.7736999999999998</v>
      </c>
      <c r="F290" s="66">
        <f>5.7737 * CHOOSE(CONTROL!$C$23, $C$12, 100%, $E$12)</f>
        <v>5.7736999999999998</v>
      </c>
      <c r="G290" s="66">
        <f>5.7786 * CHOOSE(CONTROL!$C$23, $C$12, 100%, $E$12)</f>
        <v>5.7786</v>
      </c>
      <c r="H290" s="66">
        <f>10.4353* CHOOSE(CONTROL!$C$23, $C$12, 100%, $E$12)</f>
        <v>10.4353</v>
      </c>
      <c r="I290" s="66">
        <f>10.4402 * CHOOSE(CONTROL!$C$23, $C$12, 100%, $E$12)</f>
        <v>10.440200000000001</v>
      </c>
      <c r="J290" s="66">
        <f>10.4353 * CHOOSE(CONTROL!$C$23, $C$12, 100%, $E$12)</f>
        <v>10.4353</v>
      </c>
      <c r="K290" s="66">
        <f>10.4402 * CHOOSE(CONTROL!$C$23, $C$12, 100%, $E$12)</f>
        <v>10.440200000000001</v>
      </c>
      <c r="L290" s="66">
        <f>5.7737 * CHOOSE(CONTROL!$C$23, $C$12, 100%, $E$12)</f>
        <v>5.7736999999999998</v>
      </c>
      <c r="M290" s="66">
        <f>5.7786 * CHOOSE(CONTROL!$C$23, $C$12, 100%, $E$12)</f>
        <v>5.7786</v>
      </c>
      <c r="N290" s="66">
        <f>5.7737 * CHOOSE(CONTROL!$C$23, $C$12, 100%, $E$12)</f>
        <v>5.7736999999999998</v>
      </c>
      <c r="O290" s="66">
        <f>5.7786 * CHOOSE(CONTROL!$C$23, $C$12, 100%, $E$12)</f>
        <v>5.7786</v>
      </c>
    </row>
    <row r="291" spans="1:15" ht="15">
      <c r="A291" s="13">
        <v>50010</v>
      </c>
      <c r="B291" s="65">
        <f>4.7163 * CHOOSE(CONTROL!$C$23, $C$12, 100%, $E$12)</f>
        <v>4.7163000000000004</v>
      </c>
      <c r="C291" s="65">
        <f>4.7163 * CHOOSE(CONTROL!$C$23, $C$12, 100%, $E$12)</f>
        <v>4.7163000000000004</v>
      </c>
      <c r="D291" s="65">
        <f>4.7203 * CHOOSE(CONTROL!$C$23, $C$12, 100%, $E$12)</f>
        <v>4.7202999999999999</v>
      </c>
      <c r="E291" s="66">
        <f>5.7269 * CHOOSE(CONTROL!$C$23, $C$12, 100%, $E$12)</f>
        <v>5.7268999999999997</v>
      </c>
      <c r="F291" s="66">
        <f>5.7269 * CHOOSE(CONTROL!$C$23, $C$12, 100%, $E$12)</f>
        <v>5.7268999999999997</v>
      </c>
      <c r="G291" s="66">
        <f>5.7319 * CHOOSE(CONTROL!$C$23, $C$12, 100%, $E$12)</f>
        <v>5.7319000000000004</v>
      </c>
      <c r="H291" s="66">
        <f>10.457* CHOOSE(CONTROL!$C$23, $C$12, 100%, $E$12)</f>
        <v>10.457000000000001</v>
      </c>
      <c r="I291" s="66">
        <f>10.4619 * CHOOSE(CONTROL!$C$23, $C$12, 100%, $E$12)</f>
        <v>10.4619</v>
      </c>
      <c r="J291" s="66">
        <f>10.457 * CHOOSE(CONTROL!$C$23, $C$12, 100%, $E$12)</f>
        <v>10.457000000000001</v>
      </c>
      <c r="K291" s="66">
        <f>10.4619 * CHOOSE(CONTROL!$C$23, $C$12, 100%, $E$12)</f>
        <v>10.4619</v>
      </c>
      <c r="L291" s="66">
        <f>5.7269 * CHOOSE(CONTROL!$C$23, $C$12, 100%, $E$12)</f>
        <v>5.7268999999999997</v>
      </c>
      <c r="M291" s="66">
        <f>5.7319 * CHOOSE(CONTROL!$C$23, $C$12, 100%, $E$12)</f>
        <v>5.7319000000000004</v>
      </c>
      <c r="N291" s="66">
        <f>5.7269 * CHOOSE(CONTROL!$C$23, $C$12, 100%, $E$12)</f>
        <v>5.7268999999999997</v>
      </c>
      <c r="O291" s="66">
        <f>5.7319 * CHOOSE(CONTROL!$C$23, $C$12, 100%, $E$12)</f>
        <v>5.7319000000000004</v>
      </c>
    </row>
    <row r="292" spans="1:15" ht="15">
      <c r="A292" s="13">
        <v>50041</v>
      </c>
      <c r="B292" s="65">
        <f>4.7586 * CHOOSE(CONTROL!$C$23, $C$12, 100%, $E$12)</f>
        <v>4.7586000000000004</v>
      </c>
      <c r="C292" s="65">
        <f>4.7586 * CHOOSE(CONTROL!$C$23, $C$12, 100%, $E$12)</f>
        <v>4.7586000000000004</v>
      </c>
      <c r="D292" s="65">
        <f>4.7625 * CHOOSE(CONTROL!$C$23, $C$12, 100%, $E$12)</f>
        <v>4.7625000000000002</v>
      </c>
      <c r="E292" s="66">
        <f>5.8119 * CHOOSE(CONTROL!$C$23, $C$12, 100%, $E$12)</f>
        <v>5.8118999999999996</v>
      </c>
      <c r="F292" s="66">
        <f>5.8119 * CHOOSE(CONTROL!$C$23, $C$12, 100%, $E$12)</f>
        <v>5.8118999999999996</v>
      </c>
      <c r="G292" s="66">
        <f>5.8168 * CHOOSE(CONTROL!$C$23, $C$12, 100%, $E$12)</f>
        <v>5.8167999999999997</v>
      </c>
      <c r="H292" s="66">
        <f>10.4788* CHOOSE(CONTROL!$C$23, $C$12, 100%, $E$12)</f>
        <v>10.4788</v>
      </c>
      <c r="I292" s="66">
        <f>10.4837 * CHOOSE(CONTROL!$C$23, $C$12, 100%, $E$12)</f>
        <v>10.483700000000001</v>
      </c>
      <c r="J292" s="66">
        <f>10.4788 * CHOOSE(CONTROL!$C$23, $C$12, 100%, $E$12)</f>
        <v>10.4788</v>
      </c>
      <c r="K292" s="66">
        <f>10.4837 * CHOOSE(CONTROL!$C$23, $C$12, 100%, $E$12)</f>
        <v>10.483700000000001</v>
      </c>
      <c r="L292" s="66">
        <f>5.8119 * CHOOSE(CONTROL!$C$23, $C$12, 100%, $E$12)</f>
        <v>5.8118999999999996</v>
      </c>
      <c r="M292" s="66">
        <f>5.8168 * CHOOSE(CONTROL!$C$23, $C$12, 100%, $E$12)</f>
        <v>5.8167999999999997</v>
      </c>
      <c r="N292" s="66">
        <f>5.8119 * CHOOSE(CONTROL!$C$23, $C$12, 100%, $E$12)</f>
        <v>5.8118999999999996</v>
      </c>
      <c r="O292" s="66">
        <f>5.8168 * CHOOSE(CONTROL!$C$23, $C$12, 100%, $E$12)</f>
        <v>5.8167999999999997</v>
      </c>
    </row>
    <row r="293" spans="1:15" ht="15">
      <c r="A293" s="13">
        <v>50072</v>
      </c>
      <c r="B293" s="65">
        <f>4.7555 * CHOOSE(CONTROL!$C$23, $C$12, 100%, $E$12)</f>
        <v>4.7554999999999996</v>
      </c>
      <c r="C293" s="65">
        <f>4.7555 * CHOOSE(CONTROL!$C$23, $C$12, 100%, $E$12)</f>
        <v>4.7554999999999996</v>
      </c>
      <c r="D293" s="65">
        <f>4.7595 * CHOOSE(CONTROL!$C$23, $C$12, 100%, $E$12)</f>
        <v>4.7595000000000001</v>
      </c>
      <c r="E293" s="66">
        <f>5.719 * CHOOSE(CONTROL!$C$23, $C$12, 100%, $E$12)</f>
        <v>5.7190000000000003</v>
      </c>
      <c r="F293" s="66">
        <f>5.719 * CHOOSE(CONTROL!$C$23, $C$12, 100%, $E$12)</f>
        <v>5.7190000000000003</v>
      </c>
      <c r="G293" s="66">
        <f>5.7239 * CHOOSE(CONTROL!$C$23, $C$12, 100%, $E$12)</f>
        <v>5.7239000000000004</v>
      </c>
      <c r="H293" s="66">
        <f>10.5006* CHOOSE(CONTROL!$C$23, $C$12, 100%, $E$12)</f>
        <v>10.5006</v>
      </c>
      <c r="I293" s="66">
        <f>10.5056 * CHOOSE(CONTROL!$C$23, $C$12, 100%, $E$12)</f>
        <v>10.505599999999999</v>
      </c>
      <c r="J293" s="66">
        <f>10.5006 * CHOOSE(CONTROL!$C$23, $C$12, 100%, $E$12)</f>
        <v>10.5006</v>
      </c>
      <c r="K293" s="66">
        <f>10.5056 * CHOOSE(CONTROL!$C$23, $C$12, 100%, $E$12)</f>
        <v>10.505599999999999</v>
      </c>
      <c r="L293" s="66">
        <f>5.719 * CHOOSE(CONTROL!$C$23, $C$12, 100%, $E$12)</f>
        <v>5.7190000000000003</v>
      </c>
      <c r="M293" s="66">
        <f>5.7239 * CHOOSE(CONTROL!$C$23, $C$12, 100%, $E$12)</f>
        <v>5.7239000000000004</v>
      </c>
      <c r="N293" s="66">
        <f>5.719 * CHOOSE(CONTROL!$C$23, $C$12, 100%, $E$12)</f>
        <v>5.7190000000000003</v>
      </c>
      <c r="O293" s="66">
        <f>5.7239 * CHOOSE(CONTROL!$C$23, $C$12, 100%, $E$12)</f>
        <v>5.7239000000000004</v>
      </c>
    </row>
    <row r="294" spans="1:15" ht="15">
      <c r="A294" s="13">
        <v>50100</v>
      </c>
      <c r="B294" s="65">
        <f>4.7525 * CHOOSE(CONTROL!$C$23, $C$12, 100%, $E$12)</f>
        <v>4.7525000000000004</v>
      </c>
      <c r="C294" s="65">
        <f>4.7525 * CHOOSE(CONTROL!$C$23, $C$12, 100%, $E$12)</f>
        <v>4.7525000000000004</v>
      </c>
      <c r="D294" s="65">
        <f>4.7565 * CHOOSE(CONTROL!$C$23, $C$12, 100%, $E$12)</f>
        <v>4.7565</v>
      </c>
      <c r="E294" s="66">
        <f>5.7884 * CHOOSE(CONTROL!$C$23, $C$12, 100%, $E$12)</f>
        <v>5.7884000000000002</v>
      </c>
      <c r="F294" s="66">
        <f>5.7884 * CHOOSE(CONTROL!$C$23, $C$12, 100%, $E$12)</f>
        <v>5.7884000000000002</v>
      </c>
      <c r="G294" s="66">
        <f>5.7934 * CHOOSE(CONTROL!$C$23, $C$12, 100%, $E$12)</f>
        <v>5.7934000000000001</v>
      </c>
      <c r="H294" s="66">
        <f>10.5225* CHOOSE(CONTROL!$C$23, $C$12, 100%, $E$12)</f>
        <v>10.522500000000001</v>
      </c>
      <c r="I294" s="66">
        <f>10.5274 * CHOOSE(CONTROL!$C$23, $C$12, 100%, $E$12)</f>
        <v>10.5274</v>
      </c>
      <c r="J294" s="66">
        <f>10.5225 * CHOOSE(CONTROL!$C$23, $C$12, 100%, $E$12)</f>
        <v>10.522500000000001</v>
      </c>
      <c r="K294" s="66">
        <f>10.5274 * CHOOSE(CONTROL!$C$23, $C$12, 100%, $E$12)</f>
        <v>10.5274</v>
      </c>
      <c r="L294" s="66">
        <f>5.7884 * CHOOSE(CONTROL!$C$23, $C$12, 100%, $E$12)</f>
        <v>5.7884000000000002</v>
      </c>
      <c r="M294" s="66">
        <f>5.7934 * CHOOSE(CONTROL!$C$23, $C$12, 100%, $E$12)</f>
        <v>5.7934000000000001</v>
      </c>
      <c r="N294" s="66">
        <f>5.7884 * CHOOSE(CONTROL!$C$23, $C$12, 100%, $E$12)</f>
        <v>5.7884000000000002</v>
      </c>
      <c r="O294" s="66">
        <f>5.7934 * CHOOSE(CONTROL!$C$23, $C$12, 100%, $E$12)</f>
        <v>5.7934000000000001</v>
      </c>
    </row>
    <row r="295" spans="1:15" ht="15">
      <c r="A295" s="13">
        <v>50131</v>
      </c>
      <c r="B295" s="65">
        <f>4.7508 * CHOOSE(CONTROL!$C$23, $C$12, 100%, $E$12)</f>
        <v>4.7507999999999999</v>
      </c>
      <c r="C295" s="65">
        <f>4.7508 * CHOOSE(CONTROL!$C$23, $C$12, 100%, $E$12)</f>
        <v>4.7507999999999999</v>
      </c>
      <c r="D295" s="65">
        <f>4.7548 * CHOOSE(CONTROL!$C$23, $C$12, 100%, $E$12)</f>
        <v>4.7548000000000004</v>
      </c>
      <c r="E295" s="66">
        <f>5.861 * CHOOSE(CONTROL!$C$23, $C$12, 100%, $E$12)</f>
        <v>5.8609999999999998</v>
      </c>
      <c r="F295" s="66">
        <f>5.861 * CHOOSE(CONTROL!$C$23, $C$12, 100%, $E$12)</f>
        <v>5.8609999999999998</v>
      </c>
      <c r="G295" s="66">
        <f>5.866 * CHOOSE(CONTROL!$C$23, $C$12, 100%, $E$12)</f>
        <v>5.8659999999999997</v>
      </c>
      <c r="H295" s="66">
        <f>10.5444* CHOOSE(CONTROL!$C$23, $C$12, 100%, $E$12)</f>
        <v>10.5444</v>
      </c>
      <c r="I295" s="66">
        <f>10.5494 * CHOOSE(CONTROL!$C$23, $C$12, 100%, $E$12)</f>
        <v>10.5494</v>
      </c>
      <c r="J295" s="66">
        <f>10.5444 * CHOOSE(CONTROL!$C$23, $C$12, 100%, $E$12)</f>
        <v>10.5444</v>
      </c>
      <c r="K295" s="66">
        <f>10.5494 * CHOOSE(CONTROL!$C$23, $C$12, 100%, $E$12)</f>
        <v>10.5494</v>
      </c>
      <c r="L295" s="66">
        <f>5.861 * CHOOSE(CONTROL!$C$23, $C$12, 100%, $E$12)</f>
        <v>5.8609999999999998</v>
      </c>
      <c r="M295" s="66">
        <f>5.866 * CHOOSE(CONTROL!$C$23, $C$12, 100%, $E$12)</f>
        <v>5.8659999999999997</v>
      </c>
      <c r="N295" s="66">
        <f>5.861 * CHOOSE(CONTROL!$C$23, $C$12, 100%, $E$12)</f>
        <v>5.8609999999999998</v>
      </c>
      <c r="O295" s="66">
        <f>5.866 * CHOOSE(CONTROL!$C$23, $C$12, 100%, $E$12)</f>
        <v>5.8659999999999997</v>
      </c>
    </row>
    <row r="296" spans="1:15" ht="15">
      <c r="A296" s="13">
        <v>50161</v>
      </c>
      <c r="B296" s="65">
        <f>4.7508 * CHOOSE(CONTROL!$C$23, $C$12, 100%, $E$12)</f>
        <v>4.7507999999999999</v>
      </c>
      <c r="C296" s="65">
        <f>4.7508 * CHOOSE(CONTROL!$C$23, $C$12, 100%, $E$12)</f>
        <v>4.7507999999999999</v>
      </c>
      <c r="D296" s="65">
        <f>4.7564 * CHOOSE(CONTROL!$C$23, $C$12, 100%, $E$12)</f>
        <v>4.7564000000000002</v>
      </c>
      <c r="E296" s="66">
        <f>5.8898 * CHOOSE(CONTROL!$C$23, $C$12, 100%, $E$12)</f>
        <v>5.8898000000000001</v>
      </c>
      <c r="F296" s="66">
        <f>5.8898 * CHOOSE(CONTROL!$C$23, $C$12, 100%, $E$12)</f>
        <v>5.8898000000000001</v>
      </c>
      <c r="G296" s="66">
        <f>5.8967 * CHOOSE(CONTROL!$C$23, $C$12, 100%, $E$12)</f>
        <v>5.8967000000000001</v>
      </c>
      <c r="H296" s="66">
        <f>10.5664* CHOOSE(CONTROL!$C$23, $C$12, 100%, $E$12)</f>
        <v>10.5664</v>
      </c>
      <c r="I296" s="66">
        <f>10.5733 * CHOOSE(CONTROL!$C$23, $C$12, 100%, $E$12)</f>
        <v>10.5733</v>
      </c>
      <c r="J296" s="66">
        <f>10.5664 * CHOOSE(CONTROL!$C$23, $C$12, 100%, $E$12)</f>
        <v>10.5664</v>
      </c>
      <c r="K296" s="66">
        <f>10.5733 * CHOOSE(CONTROL!$C$23, $C$12, 100%, $E$12)</f>
        <v>10.5733</v>
      </c>
      <c r="L296" s="66">
        <f>5.8898 * CHOOSE(CONTROL!$C$23, $C$12, 100%, $E$12)</f>
        <v>5.8898000000000001</v>
      </c>
      <c r="M296" s="66">
        <f>5.8967 * CHOOSE(CONTROL!$C$23, $C$12, 100%, $E$12)</f>
        <v>5.8967000000000001</v>
      </c>
      <c r="N296" s="66">
        <f>5.8898 * CHOOSE(CONTROL!$C$23, $C$12, 100%, $E$12)</f>
        <v>5.8898000000000001</v>
      </c>
      <c r="O296" s="66">
        <f>5.8967 * CHOOSE(CONTROL!$C$23, $C$12, 100%, $E$12)</f>
        <v>5.8967000000000001</v>
      </c>
    </row>
    <row r="297" spans="1:15" ht="15">
      <c r="A297" s="13">
        <v>50192</v>
      </c>
      <c r="B297" s="65">
        <f>4.7569 * CHOOSE(CONTROL!$C$23, $C$12, 100%, $E$12)</f>
        <v>4.7568999999999999</v>
      </c>
      <c r="C297" s="65">
        <f>4.7569 * CHOOSE(CONTROL!$C$23, $C$12, 100%, $E$12)</f>
        <v>4.7568999999999999</v>
      </c>
      <c r="D297" s="65">
        <f>4.7625 * CHOOSE(CONTROL!$C$23, $C$12, 100%, $E$12)</f>
        <v>4.7625000000000002</v>
      </c>
      <c r="E297" s="66">
        <f>5.8653 * CHOOSE(CONTROL!$C$23, $C$12, 100%, $E$12)</f>
        <v>5.8653000000000004</v>
      </c>
      <c r="F297" s="66">
        <f>5.8653 * CHOOSE(CONTROL!$C$23, $C$12, 100%, $E$12)</f>
        <v>5.8653000000000004</v>
      </c>
      <c r="G297" s="66">
        <f>5.8722 * CHOOSE(CONTROL!$C$23, $C$12, 100%, $E$12)</f>
        <v>5.8722000000000003</v>
      </c>
      <c r="H297" s="66">
        <f>10.5884* CHOOSE(CONTROL!$C$23, $C$12, 100%, $E$12)</f>
        <v>10.5884</v>
      </c>
      <c r="I297" s="66">
        <f>10.5953 * CHOOSE(CONTROL!$C$23, $C$12, 100%, $E$12)</f>
        <v>10.5953</v>
      </c>
      <c r="J297" s="66">
        <f>10.5884 * CHOOSE(CONTROL!$C$23, $C$12, 100%, $E$12)</f>
        <v>10.5884</v>
      </c>
      <c r="K297" s="66">
        <f>10.5953 * CHOOSE(CONTROL!$C$23, $C$12, 100%, $E$12)</f>
        <v>10.5953</v>
      </c>
      <c r="L297" s="66">
        <f>5.8653 * CHOOSE(CONTROL!$C$23, $C$12, 100%, $E$12)</f>
        <v>5.8653000000000004</v>
      </c>
      <c r="M297" s="66">
        <f>5.8722 * CHOOSE(CONTROL!$C$23, $C$12, 100%, $E$12)</f>
        <v>5.8722000000000003</v>
      </c>
      <c r="N297" s="66">
        <f>5.8653 * CHOOSE(CONTROL!$C$23, $C$12, 100%, $E$12)</f>
        <v>5.8653000000000004</v>
      </c>
      <c r="O297" s="66">
        <f>5.8722 * CHOOSE(CONTROL!$C$23, $C$12, 100%, $E$12)</f>
        <v>5.8722000000000003</v>
      </c>
    </row>
    <row r="298" spans="1:15" ht="15">
      <c r="A298" s="13">
        <v>50222</v>
      </c>
      <c r="B298" s="65">
        <f>4.836 * CHOOSE(CONTROL!$C$23, $C$12, 100%, $E$12)</f>
        <v>4.8360000000000003</v>
      </c>
      <c r="C298" s="65">
        <f>4.836 * CHOOSE(CONTROL!$C$23, $C$12, 100%, $E$12)</f>
        <v>4.8360000000000003</v>
      </c>
      <c r="D298" s="65">
        <f>4.8416 * CHOOSE(CONTROL!$C$23, $C$12, 100%, $E$12)</f>
        <v>4.8415999999999997</v>
      </c>
      <c r="E298" s="66">
        <f>5.9773 * CHOOSE(CONTROL!$C$23, $C$12, 100%, $E$12)</f>
        <v>5.9772999999999996</v>
      </c>
      <c r="F298" s="66">
        <f>5.9773 * CHOOSE(CONTROL!$C$23, $C$12, 100%, $E$12)</f>
        <v>5.9772999999999996</v>
      </c>
      <c r="G298" s="66">
        <f>5.9841 * CHOOSE(CONTROL!$C$23, $C$12, 100%, $E$12)</f>
        <v>5.9840999999999998</v>
      </c>
      <c r="H298" s="66">
        <f>10.6105* CHOOSE(CONTROL!$C$23, $C$12, 100%, $E$12)</f>
        <v>10.6105</v>
      </c>
      <c r="I298" s="66">
        <f>10.6174 * CHOOSE(CONTROL!$C$23, $C$12, 100%, $E$12)</f>
        <v>10.6174</v>
      </c>
      <c r="J298" s="66">
        <f>10.6105 * CHOOSE(CONTROL!$C$23, $C$12, 100%, $E$12)</f>
        <v>10.6105</v>
      </c>
      <c r="K298" s="66">
        <f>10.6174 * CHOOSE(CONTROL!$C$23, $C$12, 100%, $E$12)</f>
        <v>10.6174</v>
      </c>
      <c r="L298" s="66">
        <f>5.9773 * CHOOSE(CONTROL!$C$23, $C$12, 100%, $E$12)</f>
        <v>5.9772999999999996</v>
      </c>
      <c r="M298" s="66">
        <f>5.9841 * CHOOSE(CONTROL!$C$23, $C$12, 100%, $E$12)</f>
        <v>5.9840999999999998</v>
      </c>
      <c r="N298" s="66">
        <f>5.9773 * CHOOSE(CONTROL!$C$23, $C$12, 100%, $E$12)</f>
        <v>5.9772999999999996</v>
      </c>
      <c r="O298" s="66">
        <f>5.9841 * CHOOSE(CONTROL!$C$23, $C$12, 100%, $E$12)</f>
        <v>5.9840999999999998</v>
      </c>
    </row>
    <row r="299" spans="1:15" ht="15">
      <c r="A299" s="13">
        <v>50253</v>
      </c>
      <c r="B299" s="65">
        <f>4.8427 * CHOOSE(CONTROL!$C$23, $C$12, 100%, $E$12)</f>
        <v>4.8426999999999998</v>
      </c>
      <c r="C299" s="65">
        <f>4.8427 * CHOOSE(CONTROL!$C$23, $C$12, 100%, $E$12)</f>
        <v>4.8426999999999998</v>
      </c>
      <c r="D299" s="65">
        <f>4.8483 * CHOOSE(CONTROL!$C$23, $C$12, 100%, $E$12)</f>
        <v>4.8483000000000001</v>
      </c>
      <c r="E299" s="66">
        <f>5.8955 * CHOOSE(CONTROL!$C$23, $C$12, 100%, $E$12)</f>
        <v>5.8955000000000002</v>
      </c>
      <c r="F299" s="66">
        <f>5.8955 * CHOOSE(CONTROL!$C$23, $C$12, 100%, $E$12)</f>
        <v>5.8955000000000002</v>
      </c>
      <c r="G299" s="66">
        <f>5.9024 * CHOOSE(CONTROL!$C$23, $C$12, 100%, $E$12)</f>
        <v>5.9024000000000001</v>
      </c>
      <c r="H299" s="66">
        <f>10.6326* CHOOSE(CONTROL!$C$23, $C$12, 100%, $E$12)</f>
        <v>10.6326</v>
      </c>
      <c r="I299" s="66">
        <f>10.6395 * CHOOSE(CONTROL!$C$23, $C$12, 100%, $E$12)</f>
        <v>10.6395</v>
      </c>
      <c r="J299" s="66">
        <f>10.6326 * CHOOSE(CONTROL!$C$23, $C$12, 100%, $E$12)</f>
        <v>10.6326</v>
      </c>
      <c r="K299" s="66">
        <f>10.6395 * CHOOSE(CONTROL!$C$23, $C$12, 100%, $E$12)</f>
        <v>10.6395</v>
      </c>
      <c r="L299" s="66">
        <f>5.8955 * CHOOSE(CONTROL!$C$23, $C$12, 100%, $E$12)</f>
        <v>5.8955000000000002</v>
      </c>
      <c r="M299" s="66">
        <f>5.9024 * CHOOSE(CONTROL!$C$23, $C$12, 100%, $E$12)</f>
        <v>5.9024000000000001</v>
      </c>
      <c r="N299" s="66">
        <f>5.8955 * CHOOSE(CONTROL!$C$23, $C$12, 100%, $E$12)</f>
        <v>5.8955000000000002</v>
      </c>
      <c r="O299" s="66">
        <f>5.9024 * CHOOSE(CONTROL!$C$23, $C$12, 100%, $E$12)</f>
        <v>5.9024000000000001</v>
      </c>
    </row>
    <row r="300" spans="1:15" ht="15">
      <c r="A300" s="13">
        <v>50284</v>
      </c>
      <c r="B300" s="65">
        <f>4.8396 * CHOOSE(CONTROL!$C$23, $C$12, 100%, $E$12)</f>
        <v>4.8395999999999999</v>
      </c>
      <c r="C300" s="65">
        <f>4.8396 * CHOOSE(CONTROL!$C$23, $C$12, 100%, $E$12)</f>
        <v>4.8395999999999999</v>
      </c>
      <c r="D300" s="65">
        <f>4.8453 * CHOOSE(CONTROL!$C$23, $C$12, 100%, $E$12)</f>
        <v>4.8452999999999999</v>
      </c>
      <c r="E300" s="66">
        <f>5.8837 * CHOOSE(CONTROL!$C$23, $C$12, 100%, $E$12)</f>
        <v>5.8837000000000002</v>
      </c>
      <c r="F300" s="66">
        <f>5.8837 * CHOOSE(CONTROL!$C$23, $C$12, 100%, $E$12)</f>
        <v>5.8837000000000002</v>
      </c>
      <c r="G300" s="66">
        <f>5.8906 * CHOOSE(CONTROL!$C$23, $C$12, 100%, $E$12)</f>
        <v>5.8906000000000001</v>
      </c>
      <c r="H300" s="66">
        <f>10.6547* CHOOSE(CONTROL!$C$23, $C$12, 100%, $E$12)</f>
        <v>10.6547</v>
      </c>
      <c r="I300" s="66">
        <f>10.6616 * CHOOSE(CONTROL!$C$23, $C$12, 100%, $E$12)</f>
        <v>10.6616</v>
      </c>
      <c r="J300" s="66">
        <f>10.6547 * CHOOSE(CONTROL!$C$23, $C$12, 100%, $E$12)</f>
        <v>10.6547</v>
      </c>
      <c r="K300" s="66">
        <f>10.6616 * CHOOSE(CONTROL!$C$23, $C$12, 100%, $E$12)</f>
        <v>10.6616</v>
      </c>
      <c r="L300" s="66">
        <f>5.8837 * CHOOSE(CONTROL!$C$23, $C$12, 100%, $E$12)</f>
        <v>5.8837000000000002</v>
      </c>
      <c r="M300" s="66">
        <f>5.8906 * CHOOSE(CONTROL!$C$23, $C$12, 100%, $E$12)</f>
        <v>5.8906000000000001</v>
      </c>
      <c r="N300" s="66">
        <f>5.8837 * CHOOSE(CONTROL!$C$23, $C$12, 100%, $E$12)</f>
        <v>5.8837000000000002</v>
      </c>
      <c r="O300" s="66">
        <f>5.8906 * CHOOSE(CONTROL!$C$23, $C$12, 100%, $E$12)</f>
        <v>5.8906000000000001</v>
      </c>
    </row>
    <row r="301" spans="1:15" ht="15">
      <c r="A301" s="13">
        <v>50314</v>
      </c>
      <c r="B301" s="65">
        <f>4.8375 * CHOOSE(CONTROL!$C$23, $C$12, 100%, $E$12)</f>
        <v>4.8375000000000004</v>
      </c>
      <c r="C301" s="65">
        <f>4.8375 * CHOOSE(CONTROL!$C$23, $C$12, 100%, $E$12)</f>
        <v>4.8375000000000004</v>
      </c>
      <c r="D301" s="65">
        <f>4.8415 * CHOOSE(CONTROL!$C$23, $C$12, 100%, $E$12)</f>
        <v>4.8414999999999999</v>
      </c>
      <c r="E301" s="66">
        <f>5.9087 * CHOOSE(CONTROL!$C$23, $C$12, 100%, $E$12)</f>
        <v>5.9086999999999996</v>
      </c>
      <c r="F301" s="66">
        <f>5.9087 * CHOOSE(CONTROL!$C$23, $C$12, 100%, $E$12)</f>
        <v>5.9086999999999996</v>
      </c>
      <c r="G301" s="66">
        <f>5.9137 * CHOOSE(CONTROL!$C$23, $C$12, 100%, $E$12)</f>
        <v>5.9137000000000004</v>
      </c>
      <c r="H301" s="66">
        <f>10.6769* CHOOSE(CONTROL!$C$23, $C$12, 100%, $E$12)</f>
        <v>10.6769</v>
      </c>
      <c r="I301" s="66">
        <f>10.6818 * CHOOSE(CONTROL!$C$23, $C$12, 100%, $E$12)</f>
        <v>10.681800000000001</v>
      </c>
      <c r="J301" s="66">
        <f>10.6769 * CHOOSE(CONTROL!$C$23, $C$12, 100%, $E$12)</f>
        <v>10.6769</v>
      </c>
      <c r="K301" s="66">
        <f>10.6818 * CHOOSE(CONTROL!$C$23, $C$12, 100%, $E$12)</f>
        <v>10.681800000000001</v>
      </c>
      <c r="L301" s="66">
        <f>5.9087 * CHOOSE(CONTROL!$C$23, $C$12, 100%, $E$12)</f>
        <v>5.9086999999999996</v>
      </c>
      <c r="M301" s="66">
        <f>5.9137 * CHOOSE(CONTROL!$C$23, $C$12, 100%, $E$12)</f>
        <v>5.9137000000000004</v>
      </c>
      <c r="N301" s="66">
        <f>5.9087 * CHOOSE(CONTROL!$C$23, $C$12, 100%, $E$12)</f>
        <v>5.9086999999999996</v>
      </c>
      <c r="O301" s="66">
        <f>5.9137 * CHOOSE(CONTROL!$C$23, $C$12, 100%, $E$12)</f>
        <v>5.9137000000000004</v>
      </c>
    </row>
    <row r="302" spans="1:15" ht="15">
      <c r="A302" s="13">
        <v>50345</v>
      </c>
      <c r="B302" s="65">
        <f>4.8405 * CHOOSE(CONTROL!$C$23, $C$12, 100%, $E$12)</f>
        <v>4.8404999999999996</v>
      </c>
      <c r="C302" s="65">
        <f>4.8405 * CHOOSE(CONTROL!$C$23, $C$12, 100%, $E$12)</f>
        <v>4.8404999999999996</v>
      </c>
      <c r="D302" s="65">
        <f>4.8445 * CHOOSE(CONTROL!$C$23, $C$12, 100%, $E$12)</f>
        <v>4.8445</v>
      </c>
      <c r="E302" s="66">
        <f>5.9301 * CHOOSE(CONTROL!$C$23, $C$12, 100%, $E$12)</f>
        <v>5.9301000000000004</v>
      </c>
      <c r="F302" s="66">
        <f>5.9301 * CHOOSE(CONTROL!$C$23, $C$12, 100%, $E$12)</f>
        <v>5.9301000000000004</v>
      </c>
      <c r="G302" s="66">
        <f>5.935 * CHOOSE(CONTROL!$C$23, $C$12, 100%, $E$12)</f>
        <v>5.9349999999999996</v>
      </c>
      <c r="H302" s="66">
        <f>10.6992* CHOOSE(CONTROL!$C$23, $C$12, 100%, $E$12)</f>
        <v>10.699199999999999</v>
      </c>
      <c r="I302" s="66">
        <f>10.7041 * CHOOSE(CONTROL!$C$23, $C$12, 100%, $E$12)</f>
        <v>10.7041</v>
      </c>
      <c r="J302" s="66">
        <f>10.6992 * CHOOSE(CONTROL!$C$23, $C$12, 100%, $E$12)</f>
        <v>10.699199999999999</v>
      </c>
      <c r="K302" s="66">
        <f>10.7041 * CHOOSE(CONTROL!$C$23, $C$12, 100%, $E$12)</f>
        <v>10.7041</v>
      </c>
      <c r="L302" s="66">
        <f>5.9301 * CHOOSE(CONTROL!$C$23, $C$12, 100%, $E$12)</f>
        <v>5.9301000000000004</v>
      </c>
      <c r="M302" s="66">
        <f>5.935 * CHOOSE(CONTROL!$C$23, $C$12, 100%, $E$12)</f>
        <v>5.9349999999999996</v>
      </c>
      <c r="N302" s="66">
        <f>5.9301 * CHOOSE(CONTROL!$C$23, $C$12, 100%, $E$12)</f>
        <v>5.9301000000000004</v>
      </c>
      <c r="O302" s="66">
        <f>5.935 * CHOOSE(CONTROL!$C$23, $C$12, 100%, $E$12)</f>
        <v>5.9349999999999996</v>
      </c>
    </row>
    <row r="303" spans="1:15" ht="15">
      <c r="A303" s="13">
        <v>50375</v>
      </c>
      <c r="B303" s="65">
        <f>4.8405 * CHOOSE(CONTROL!$C$23, $C$12, 100%, $E$12)</f>
        <v>4.8404999999999996</v>
      </c>
      <c r="C303" s="65">
        <f>4.8405 * CHOOSE(CONTROL!$C$23, $C$12, 100%, $E$12)</f>
        <v>4.8404999999999996</v>
      </c>
      <c r="D303" s="65">
        <f>4.8445 * CHOOSE(CONTROL!$C$23, $C$12, 100%, $E$12)</f>
        <v>4.8445</v>
      </c>
      <c r="E303" s="66">
        <f>5.8821 * CHOOSE(CONTROL!$C$23, $C$12, 100%, $E$12)</f>
        <v>5.8821000000000003</v>
      </c>
      <c r="F303" s="66">
        <f>5.8821 * CHOOSE(CONTROL!$C$23, $C$12, 100%, $E$12)</f>
        <v>5.8821000000000003</v>
      </c>
      <c r="G303" s="66">
        <f>5.887 * CHOOSE(CONTROL!$C$23, $C$12, 100%, $E$12)</f>
        <v>5.8869999999999996</v>
      </c>
      <c r="H303" s="66">
        <f>10.7215* CHOOSE(CONTROL!$C$23, $C$12, 100%, $E$12)</f>
        <v>10.721500000000001</v>
      </c>
      <c r="I303" s="66">
        <f>10.7264 * CHOOSE(CONTROL!$C$23, $C$12, 100%, $E$12)</f>
        <v>10.7264</v>
      </c>
      <c r="J303" s="66">
        <f>10.7215 * CHOOSE(CONTROL!$C$23, $C$12, 100%, $E$12)</f>
        <v>10.721500000000001</v>
      </c>
      <c r="K303" s="66">
        <f>10.7264 * CHOOSE(CONTROL!$C$23, $C$12, 100%, $E$12)</f>
        <v>10.7264</v>
      </c>
      <c r="L303" s="66">
        <f>5.8821 * CHOOSE(CONTROL!$C$23, $C$12, 100%, $E$12)</f>
        <v>5.8821000000000003</v>
      </c>
      <c r="M303" s="66">
        <f>5.887 * CHOOSE(CONTROL!$C$23, $C$12, 100%, $E$12)</f>
        <v>5.8869999999999996</v>
      </c>
      <c r="N303" s="66">
        <f>5.8821 * CHOOSE(CONTROL!$C$23, $C$12, 100%, $E$12)</f>
        <v>5.8821000000000003</v>
      </c>
      <c r="O303" s="66">
        <f>5.887 * CHOOSE(CONTROL!$C$23, $C$12, 100%, $E$12)</f>
        <v>5.8869999999999996</v>
      </c>
    </row>
    <row r="304" spans="1:15" ht="15">
      <c r="A304" s="13">
        <v>50406</v>
      </c>
      <c r="B304" s="65">
        <f>4.8843 * CHOOSE(CONTROL!$C$23, $C$12, 100%, $E$12)</f>
        <v>4.8842999999999996</v>
      </c>
      <c r="C304" s="65">
        <f>4.8843 * CHOOSE(CONTROL!$C$23, $C$12, 100%, $E$12)</f>
        <v>4.8842999999999996</v>
      </c>
      <c r="D304" s="65">
        <f>4.8883 * CHOOSE(CONTROL!$C$23, $C$12, 100%, $E$12)</f>
        <v>4.8883000000000001</v>
      </c>
      <c r="E304" s="66">
        <f>5.9668 * CHOOSE(CONTROL!$C$23, $C$12, 100%, $E$12)</f>
        <v>5.9668000000000001</v>
      </c>
      <c r="F304" s="66">
        <f>5.9668 * CHOOSE(CONTROL!$C$23, $C$12, 100%, $E$12)</f>
        <v>5.9668000000000001</v>
      </c>
      <c r="G304" s="66">
        <f>5.9717 * CHOOSE(CONTROL!$C$23, $C$12, 100%, $E$12)</f>
        <v>5.9717000000000002</v>
      </c>
      <c r="H304" s="66">
        <f>10.7438* CHOOSE(CONTROL!$C$23, $C$12, 100%, $E$12)</f>
        <v>10.7438</v>
      </c>
      <c r="I304" s="66">
        <f>10.7487 * CHOOSE(CONTROL!$C$23, $C$12, 100%, $E$12)</f>
        <v>10.748699999999999</v>
      </c>
      <c r="J304" s="66">
        <f>10.7438 * CHOOSE(CONTROL!$C$23, $C$12, 100%, $E$12)</f>
        <v>10.7438</v>
      </c>
      <c r="K304" s="66">
        <f>10.7487 * CHOOSE(CONTROL!$C$23, $C$12, 100%, $E$12)</f>
        <v>10.748699999999999</v>
      </c>
      <c r="L304" s="66">
        <f>5.9668 * CHOOSE(CONTROL!$C$23, $C$12, 100%, $E$12)</f>
        <v>5.9668000000000001</v>
      </c>
      <c r="M304" s="66">
        <f>5.9717 * CHOOSE(CONTROL!$C$23, $C$12, 100%, $E$12)</f>
        <v>5.9717000000000002</v>
      </c>
      <c r="N304" s="66">
        <f>5.9668 * CHOOSE(CONTROL!$C$23, $C$12, 100%, $E$12)</f>
        <v>5.9668000000000001</v>
      </c>
      <c r="O304" s="66">
        <f>5.9717 * CHOOSE(CONTROL!$C$23, $C$12, 100%, $E$12)</f>
        <v>5.9717000000000002</v>
      </c>
    </row>
    <row r="305" spans="1:15" ht="15">
      <c r="A305" s="13">
        <v>50437</v>
      </c>
      <c r="B305" s="65">
        <f>4.8813 * CHOOSE(CONTROL!$C$23, $C$12, 100%, $E$12)</f>
        <v>4.8813000000000004</v>
      </c>
      <c r="C305" s="65">
        <f>4.8813 * CHOOSE(CONTROL!$C$23, $C$12, 100%, $E$12)</f>
        <v>4.8813000000000004</v>
      </c>
      <c r="D305" s="65">
        <f>4.8853 * CHOOSE(CONTROL!$C$23, $C$12, 100%, $E$12)</f>
        <v>4.8853</v>
      </c>
      <c r="E305" s="66">
        <f>5.8715 * CHOOSE(CONTROL!$C$23, $C$12, 100%, $E$12)</f>
        <v>5.8715000000000002</v>
      </c>
      <c r="F305" s="66">
        <f>5.8715 * CHOOSE(CONTROL!$C$23, $C$12, 100%, $E$12)</f>
        <v>5.8715000000000002</v>
      </c>
      <c r="G305" s="66">
        <f>5.8764 * CHOOSE(CONTROL!$C$23, $C$12, 100%, $E$12)</f>
        <v>5.8764000000000003</v>
      </c>
      <c r="H305" s="66">
        <f>10.7662* CHOOSE(CONTROL!$C$23, $C$12, 100%, $E$12)</f>
        <v>10.7662</v>
      </c>
      <c r="I305" s="66">
        <f>10.7711 * CHOOSE(CONTROL!$C$23, $C$12, 100%, $E$12)</f>
        <v>10.771100000000001</v>
      </c>
      <c r="J305" s="66">
        <f>10.7662 * CHOOSE(CONTROL!$C$23, $C$12, 100%, $E$12)</f>
        <v>10.7662</v>
      </c>
      <c r="K305" s="66">
        <f>10.7711 * CHOOSE(CONTROL!$C$23, $C$12, 100%, $E$12)</f>
        <v>10.771100000000001</v>
      </c>
      <c r="L305" s="66">
        <f>5.8715 * CHOOSE(CONTROL!$C$23, $C$12, 100%, $E$12)</f>
        <v>5.8715000000000002</v>
      </c>
      <c r="M305" s="66">
        <f>5.8764 * CHOOSE(CONTROL!$C$23, $C$12, 100%, $E$12)</f>
        <v>5.8764000000000003</v>
      </c>
      <c r="N305" s="66">
        <f>5.8715 * CHOOSE(CONTROL!$C$23, $C$12, 100%, $E$12)</f>
        <v>5.8715000000000002</v>
      </c>
      <c r="O305" s="66">
        <f>5.8764 * CHOOSE(CONTROL!$C$23, $C$12, 100%, $E$12)</f>
        <v>5.8764000000000003</v>
      </c>
    </row>
    <row r="306" spans="1:15" ht="15">
      <c r="A306" s="13">
        <v>50465</v>
      </c>
      <c r="B306" s="65">
        <f>4.8783 * CHOOSE(CONTROL!$C$23, $C$12, 100%, $E$12)</f>
        <v>4.8783000000000003</v>
      </c>
      <c r="C306" s="65">
        <f>4.8783 * CHOOSE(CONTROL!$C$23, $C$12, 100%, $E$12)</f>
        <v>4.8783000000000003</v>
      </c>
      <c r="D306" s="65">
        <f>4.8823 * CHOOSE(CONTROL!$C$23, $C$12, 100%, $E$12)</f>
        <v>4.8822999999999999</v>
      </c>
      <c r="E306" s="66">
        <f>5.9428 * CHOOSE(CONTROL!$C$23, $C$12, 100%, $E$12)</f>
        <v>5.9428000000000001</v>
      </c>
      <c r="F306" s="66">
        <f>5.9428 * CHOOSE(CONTROL!$C$23, $C$12, 100%, $E$12)</f>
        <v>5.9428000000000001</v>
      </c>
      <c r="G306" s="66">
        <f>5.9478 * CHOOSE(CONTROL!$C$23, $C$12, 100%, $E$12)</f>
        <v>5.9478</v>
      </c>
      <c r="H306" s="66">
        <f>10.7886* CHOOSE(CONTROL!$C$23, $C$12, 100%, $E$12)</f>
        <v>10.788600000000001</v>
      </c>
      <c r="I306" s="66">
        <f>10.7935 * CHOOSE(CONTROL!$C$23, $C$12, 100%, $E$12)</f>
        <v>10.7935</v>
      </c>
      <c r="J306" s="66">
        <f>10.7886 * CHOOSE(CONTROL!$C$23, $C$12, 100%, $E$12)</f>
        <v>10.788600000000001</v>
      </c>
      <c r="K306" s="66">
        <f>10.7935 * CHOOSE(CONTROL!$C$23, $C$12, 100%, $E$12)</f>
        <v>10.7935</v>
      </c>
      <c r="L306" s="66">
        <f>5.9428 * CHOOSE(CONTROL!$C$23, $C$12, 100%, $E$12)</f>
        <v>5.9428000000000001</v>
      </c>
      <c r="M306" s="66">
        <f>5.9478 * CHOOSE(CONTROL!$C$23, $C$12, 100%, $E$12)</f>
        <v>5.9478</v>
      </c>
      <c r="N306" s="66">
        <f>5.9428 * CHOOSE(CONTROL!$C$23, $C$12, 100%, $E$12)</f>
        <v>5.9428000000000001</v>
      </c>
      <c r="O306" s="66">
        <f>5.9478 * CHOOSE(CONTROL!$C$23, $C$12, 100%, $E$12)</f>
        <v>5.9478</v>
      </c>
    </row>
    <row r="307" spans="1:15" ht="15">
      <c r="A307" s="13">
        <v>50496</v>
      </c>
      <c r="B307" s="65">
        <f>4.8767 * CHOOSE(CONTROL!$C$23, $C$12, 100%, $E$12)</f>
        <v>4.8766999999999996</v>
      </c>
      <c r="C307" s="65">
        <f>4.8767 * CHOOSE(CONTROL!$C$23, $C$12, 100%, $E$12)</f>
        <v>4.8766999999999996</v>
      </c>
      <c r="D307" s="65">
        <f>4.8807 * CHOOSE(CONTROL!$C$23, $C$12, 100%, $E$12)</f>
        <v>4.8807</v>
      </c>
      <c r="E307" s="66">
        <f>6.0175 * CHOOSE(CONTROL!$C$23, $C$12, 100%, $E$12)</f>
        <v>6.0175000000000001</v>
      </c>
      <c r="F307" s="66">
        <f>6.0175 * CHOOSE(CONTROL!$C$23, $C$12, 100%, $E$12)</f>
        <v>6.0175000000000001</v>
      </c>
      <c r="G307" s="66">
        <f>6.0224 * CHOOSE(CONTROL!$C$23, $C$12, 100%, $E$12)</f>
        <v>6.0224000000000002</v>
      </c>
      <c r="H307" s="66">
        <f>10.8111* CHOOSE(CONTROL!$C$23, $C$12, 100%, $E$12)</f>
        <v>10.8111</v>
      </c>
      <c r="I307" s="66">
        <f>10.816 * CHOOSE(CONTROL!$C$23, $C$12, 100%, $E$12)</f>
        <v>10.816000000000001</v>
      </c>
      <c r="J307" s="66">
        <f>10.8111 * CHOOSE(CONTROL!$C$23, $C$12, 100%, $E$12)</f>
        <v>10.8111</v>
      </c>
      <c r="K307" s="66">
        <f>10.816 * CHOOSE(CONTROL!$C$23, $C$12, 100%, $E$12)</f>
        <v>10.816000000000001</v>
      </c>
      <c r="L307" s="66">
        <f>6.0175 * CHOOSE(CONTROL!$C$23, $C$12, 100%, $E$12)</f>
        <v>6.0175000000000001</v>
      </c>
      <c r="M307" s="66">
        <f>6.0224 * CHOOSE(CONTROL!$C$23, $C$12, 100%, $E$12)</f>
        <v>6.0224000000000002</v>
      </c>
      <c r="N307" s="66">
        <f>6.0175 * CHOOSE(CONTROL!$C$23, $C$12, 100%, $E$12)</f>
        <v>6.0175000000000001</v>
      </c>
      <c r="O307" s="66">
        <f>6.0224 * CHOOSE(CONTROL!$C$23, $C$12, 100%, $E$12)</f>
        <v>6.0224000000000002</v>
      </c>
    </row>
    <row r="308" spans="1:15" ht="15">
      <c r="A308" s="13">
        <v>50526</v>
      </c>
      <c r="B308" s="65">
        <f>4.8767 * CHOOSE(CONTROL!$C$23, $C$12, 100%, $E$12)</f>
        <v>4.8766999999999996</v>
      </c>
      <c r="C308" s="65">
        <f>4.8767 * CHOOSE(CONTROL!$C$23, $C$12, 100%, $E$12)</f>
        <v>4.8766999999999996</v>
      </c>
      <c r="D308" s="65">
        <f>4.8823 * CHOOSE(CONTROL!$C$23, $C$12, 100%, $E$12)</f>
        <v>4.8822999999999999</v>
      </c>
      <c r="E308" s="66">
        <f>6.047 * CHOOSE(CONTROL!$C$23, $C$12, 100%, $E$12)</f>
        <v>6.0469999999999997</v>
      </c>
      <c r="F308" s="66">
        <f>6.047 * CHOOSE(CONTROL!$C$23, $C$12, 100%, $E$12)</f>
        <v>6.0469999999999997</v>
      </c>
      <c r="G308" s="66">
        <f>6.0539 * CHOOSE(CONTROL!$C$23, $C$12, 100%, $E$12)</f>
        <v>6.0538999999999996</v>
      </c>
      <c r="H308" s="66">
        <f>10.8336* CHOOSE(CONTROL!$C$23, $C$12, 100%, $E$12)</f>
        <v>10.833600000000001</v>
      </c>
      <c r="I308" s="66">
        <f>10.8405 * CHOOSE(CONTROL!$C$23, $C$12, 100%, $E$12)</f>
        <v>10.8405</v>
      </c>
      <c r="J308" s="66">
        <f>10.8336 * CHOOSE(CONTROL!$C$23, $C$12, 100%, $E$12)</f>
        <v>10.833600000000001</v>
      </c>
      <c r="K308" s="66">
        <f>10.8405 * CHOOSE(CONTROL!$C$23, $C$12, 100%, $E$12)</f>
        <v>10.8405</v>
      </c>
      <c r="L308" s="66">
        <f>6.047 * CHOOSE(CONTROL!$C$23, $C$12, 100%, $E$12)</f>
        <v>6.0469999999999997</v>
      </c>
      <c r="M308" s="66">
        <f>6.0539 * CHOOSE(CONTROL!$C$23, $C$12, 100%, $E$12)</f>
        <v>6.0538999999999996</v>
      </c>
      <c r="N308" s="66">
        <f>6.047 * CHOOSE(CONTROL!$C$23, $C$12, 100%, $E$12)</f>
        <v>6.0469999999999997</v>
      </c>
      <c r="O308" s="66">
        <f>6.0539 * CHOOSE(CONTROL!$C$23, $C$12, 100%, $E$12)</f>
        <v>6.0538999999999996</v>
      </c>
    </row>
    <row r="309" spans="1:15" ht="15">
      <c r="A309" s="13">
        <v>50557</v>
      </c>
      <c r="B309" s="65">
        <f>4.8827 * CHOOSE(CONTROL!$C$23, $C$12, 100%, $E$12)</f>
        <v>4.8826999999999998</v>
      </c>
      <c r="C309" s="65">
        <f>4.8827 * CHOOSE(CONTROL!$C$23, $C$12, 100%, $E$12)</f>
        <v>4.8826999999999998</v>
      </c>
      <c r="D309" s="65">
        <f>4.8884 * CHOOSE(CONTROL!$C$23, $C$12, 100%, $E$12)</f>
        <v>4.8883999999999999</v>
      </c>
      <c r="E309" s="66">
        <f>6.0217 * CHOOSE(CONTROL!$C$23, $C$12, 100%, $E$12)</f>
        <v>6.0217000000000001</v>
      </c>
      <c r="F309" s="66">
        <f>6.0217 * CHOOSE(CONTROL!$C$23, $C$12, 100%, $E$12)</f>
        <v>6.0217000000000001</v>
      </c>
      <c r="G309" s="66">
        <f>6.0286 * CHOOSE(CONTROL!$C$23, $C$12, 100%, $E$12)</f>
        <v>6.0286</v>
      </c>
      <c r="H309" s="66">
        <f>10.8562* CHOOSE(CONTROL!$C$23, $C$12, 100%, $E$12)</f>
        <v>10.856199999999999</v>
      </c>
      <c r="I309" s="66">
        <f>10.8631 * CHOOSE(CONTROL!$C$23, $C$12, 100%, $E$12)</f>
        <v>10.863099999999999</v>
      </c>
      <c r="J309" s="66">
        <f>10.8562 * CHOOSE(CONTROL!$C$23, $C$12, 100%, $E$12)</f>
        <v>10.856199999999999</v>
      </c>
      <c r="K309" s="66">
        <f>10.8631 * CHOOSE(CONTROL!$C$23, $C$12, 100%, $E$12)</f>
        <v>10.863099999999999</v>
      </c>
      <c r="L309" s="66">
        <f>6.0217 * CHOOSE(CONTROL!$C$23, $C$12, 100%, $E$12)</f>
        <v>6.0217000000000001</v>
      </c>
      <c r="M309" s="66">
        <f>6.0286 * CHOOSE(CONTROL!$C$23, $C$12, 100%, $E$12)</f>
        <v>6.0286</v>
      </c>
      <c r="N309" s="66">
        <f>6.0217 * CHOOSE(CONTROL!$C$23, $C$12, 100%, $E$12)</f>
        <v>6.0217000000000001</v>
      </c>
      <c r="O309" s="66">
        <f>6.0286 * CHOOSE(CONTROL!$C$23, $C$12, 100%, $E$12)</f>
        <v>6.0286</v>
      </c>
    </row>
    <row r="310" spans="1:15" ht="15">
      <c r="A310" s="13">
        <v>50587</v>
      </c>
      <c r="B310" s="65">
        <f>4.9646 * CHOOSE(CONTROL!$C$23, $C$12, 100%, $E$12)</f>
        <v>4.9645999999999999</v>
      </c>
      <c r="C310" s="65">
        <f>4.9646 * CHOOSE(CONTROL!$C$23, $C$12, 100%, $E$12)</f>
        <v>4.9645999999999999</v>
      </c>
      <c r="D310" s="65">
        <f>4.9703 * CHOOSE(CONTROL!$C$23, $C$12, 100%, $E$12)</f>
        <v>4.9702999999999999</v>
      </c>
      <c r="E310" s="66">
        <f>6.1322 * CHOOSE(CONTROL!$C$23, $C$12, 100%, $E$12)</f>
        <v>6.1322000000000001</v>
      </c>
      <c r="F310" s="66">
        <f>6.1322 * CHOOSE(CONTROL!$C$23, $C$12, 100%, $E$12)</f>
        <v>6.1322000000000001</v>
      </c>
      <c r="G310" s="66">
        <f>6.1391 * CHOOSE(CONTROL!$C$23, $C$12, 100%, $E$12)</f>
        <v>6.1391</v>
      </c>
      <c r="H310" s="66">
        <f>10.8788* CHOOSE(CONTROL!$C$23, $C$12, 100%, $E$12)</f>
        <v>10.8788</v>
      </c>
      <c r="I310" s="66">
        <f>10.8857 * CHOOSE(CONTROL!$C$23, $C$12, 100%, $E$12)</f>
        <v>10.8857</v>
      </c>
      <c r="J310" s="66">
        <f>10.8788 * CHOOSE(CONTROL!$C$23, $C$12, 100%, $E$12)</f>
        <v>10.8788</v>
      </c>
      <c r="K310" s="66">
        <f>10.8857 * CHOOSE(CONTROL!$C$23, $C$12, 100%, $E$12)</f>
        <v>10.8857</v>
      </c>
      <c r="L310" s="66">
        <f>6.1322 * CHOOSE(CONTROL!$C$23, $C$12, 100%, $E$12)</f>
        <v>6.1322000000000001</v>
      </c>
      <c r="M310" s="66">
        <f>6.1391 * CHOOSE(CONTROL!$C$23, $C$12, 100%, $E$12)</f>
        <v>6.1391</v>
      </c>
      <c r="N310" s="66">
        <f>6.1322 * CHOOSE(CONTROL!$C$23, $C$12, 100%, $E$12)</f>
        <v>6.1322000000000001</v>
      </c>
      <c r="O310" s="66">
        <f>6.1391 * CHOOSE(CONTROL!$C$23, $C$12, 100%, $E$12)</f>
        <v>6.1391</v>
      </c>
    </row>
    <row r="311" spans="1:15" ht="15">
      <c r="A311" s="13">
        <v>50618</v>
      </c>
      <c r="B311" s="65">
        <f>4.9713 * CHOOSE(CONTROL!$C$23, $C$12, 100%, $E$12)</f>
        <v>4.9713000000000003</v>
      </c>
      <c r="C311" s="65">
        <f>4.9713 * CHOOSE(CONTROL!$C$23, $C$12, 100%, $E$12)</f>
        <v>4.9713000000000003</v>
      </c>
      <c r="D311" s="65">
        <f>4.977 * CHOOSE(CONTROL!$C$23, $C$12, 100%, $E$12)</f>
        <v>4.9770000000000003</v>
      </c>
      <c r="E311" s="66">
        <f>6.0481 * CHOOSE(CONTROL!$C$23, $C$12, 100%, $E$12)</f>
        <v>6.0480999999999998</v>
      </c>
      <c r="F311" s="66">
        <f>6.0481 * CHOOSE(CONTROL!$C$23, $C$12, 100%, $E$12)</f>
        <v>6.0480999999999998</v>
      </c>
      <c r="G311" s="66">
        <f>6.055 * CHOOSE(CONTROL!$C$23, $C$12, 100%, $E$12)</f>
        <v>6.0549999999999997</v>
      </c>
      <c r="H311" s="66">
        <f>10.9015* CHOOSE(CONTROL!$C$23, $C$12, 100%, $E$12)</f>
        <v>10.9015</v>
      </c>
      <c r="I311" s="66">
        <f>10.9083 * CHOOSE(CONTROL!$C$23, $C$12, 100%, $E$12)</f>
        <v>10.908300000000001</v>
      </c>
      <c r="J311" s="66">
        <f>10.9015 * CHOOSE(CONTROL!$C$23, $C$12, 100%, $E$12)</f>
        <v>10.9015</v>
      </c>
      <c r="K311" s="66">
        <f>10.9083 * CHOOSE(CONTROL!$C$23, $C$12, 100%, $E$12)</f>
        <v>10.908300000000001</v>
      </c>
      <c r="L311" s="66">
        <f>6.0481 * CHOOSE(CONTROL!$C$23, $C$12, 100%, $E$12)</f>
        <v>6.0480999999999998</v>
      </c>
      <c r="M311" s="66">
        <f>6.055 * CHOOSE(CONTROL!$C$23, $C$12, 100%, $E$12)</f>
        <v>6.0549999999999997</v>
      </c>
      <c r="N311" s="66">
        <f>6.0481 * CHOOSE(CONTROL!$C$23, $C$12, 100%, $E$12)</f>
        <v>6.0480999999999998</v>
      </c>
      <c r="O311" s="66">
        <f>6.055 * CHOOSE(CONTROL!$C$23, $C$12, 100%, $E$12)</f>
        <v>6.0549999999999997</v>
      </c>
    </row>
    <row r="312" spans="1:15" ht="15">
      <c r="A312" s="13">
        <v>50649</v>
      </c>
      <c r="B312" s="65">
        <f>4.9683 * CHOOSE(CONTROL!$C$23, $C$12, 100%, $E$12)</f>
        <v>4.9683000000000002</v>
      </c>
      <c r="C312" s="65">
        <f>4.9683 * CHOOSE(CONTROL!$C$23, $C$12, 100%, $E$12)</f>
        <v>4.9683000000000002</v>
      </c>
      <c r="D312" s="65">
        <f>4.9739 * CHOOSE(CONTROL!$C$23, $C$12, 100%, $E$12)</f>
        <v>4.9739000000000004</v>
      </c>
      <c r="E312" s="66">
        <f>6.0361 * CHOOSE(CONTROL!$C$23, $C$12, 100%, $E$12)</f>
        <v>6.0361000000000002</v>
      </c>
      <c r="F312" s="66">
        <f>6.0361 * CHOOSE(CONTROL!$C$23, $C$12, 100%, $E$12)</f>
        <v>6.0361000000000002</v>
      </c>
      <c r="G312" s="66">
        <f>6.043 * CHOOSE(CONTROL!$C$23, $C$12, 100%, $E$12)</f>
        <v>6.0430000000000001</v>
      </c>
      <c r="H312" s="66">
        <f>10.9242* CHOOSE(CONTROL!$C$23, $C$12, 100%, $E$12)</f>
        <v>10.924200000000001</v>
      </c>
      <c r="I312" s="66">
        <f>10.9311 * CHOOSE(CONTROL!$C$23, $C$12, 100%, $E$12)</f>
        <v>10.931100000000001</v>
      </c>
      <c r="J312" s="66">
        <f>10.9242 * CHOOSE(CONTROL!$C$23, $C$12, 100%, $E$12)</f>
        <v>10.924200000000001</v>
      </c>
      <c r="K312" s="66">
        <f>10.9311 * CHOOSE(CONTROL!$C$23, $C$12, 100%, $E$12)</f>
        <v>10.931100000000001</v>
      </c>
      <c r="L312" s="66">
        <f>6.0361 * CHOOSE(CONTROL!$C$23, $C$12, 100%, $E$12)</f>
        <v>6.0361000000000002</v>
      </c>
      <c r="M312" s="66">
        <f>6.043 * CHOOSE(CONTROL!$C$23, $C$12, 100%, $E$12)</f>
        <v>6.0430000000000001</v>
      </c>
      <c r="N312" s="66">
        <f>6.0361 * CHOOSE(CONTROL!$C$23, $C$12, 100%, $E$12)</f>
        <v>6.0361000000000002</v>
      </c>
      <c r="O312" s="66">
        <f>6.043 * CHOOSE(CONTROL!$C$23, $C$12, 100%, $E$12)</f>
        <v>6.0430000000000001</v>
      </c>
    </row>
    <row r="313" spans="1:15" ht="15">
      <c r="A313" s="13">
        <v>50679</v>
      </c>
      <c r="B313" s="65">
        <f>4.9666 * CHOOSE(CONTROL!$C$23, $C$12, 100%, $E$12)</f>
        <v>4.9665999999999997</v>
      </c>
      <c r="C313" s="65">
        <f>4.9666 * CHOOSE(CONTROL!$C$23, $C$12, 100%, $E$12)</f>
        <v>4.9665999999999997</v>
      </c>
      <c r="D313" s="65">
        <f>4.9706 * CHOOSE(CONTROL!$C$23, $C$12, 100%, $E$12)</f>
        <v>4.9706000000000001</v>
      </c>
      <c r="E313" s="66">
        <f>6.0622 * CHOOSE(CONTROL!$C$23, $C$12, 100%, $E$12)</f>
        <v>6.0621999999999998</v>
      </c>
      <c r="F313" s="66">
        <f>6.0622 * CHOOSE(CONTROL!$C$23, $C$12, 100%, $E$12)</f>
        <v>6.0621999999999998</v>
      </c>
      <c r="G313" s="66">
        <f>6.0671 * CHOOSE(CONTROL!$C$23, $C$12, 100%, $E$12)</f>
        <v>6.0670999999999999</v>
      </c>
      <c r="H313" s="66">
        <f>10.9469* CHOOSE(CONTROL!$C$23, $C$12, 100%, $E$12)</f>
        <v>10.946899999999999</v>
      </c>
      <c r="I313" s="66">
        <f>10.9518 * CHOOSE(CONTROL!$C$23, $C$12, 100%, $E$12)</f>
        <v>10.9518</v>
      </c>
      <c r="J313" s="66">
        <f>10.9469 * CHOOSE(CONTROL!$C$23, $C$12, 100%, $E$12)</f>
        <v>10.946899999999999</v>
      </c>
      <c r="K313" s="66">
        <f>10.9518 * CHOOSE(CONTROL!$C$23, $C$12, 100%, $E$12)</f>
        <v>10.9518</v>
      </c>
      <c r="L313" s="66">
        <f>6.0622 * CHOOSE(CONTROL!$C$23, $C$12, 100%, $E$12)</f>
        <v>6.0621999999999998</v>
      </c>
      <c r="M313" s="66">
        <f>6.0671 * CHOOSE(CONTROL!$C$23, $C$12, 100%, $E$12)</f>
        <v>6.0670999999999999</v>
      </c>
      <c r="N313" s="66">
        <f>6.0622 * CHOOSE(CONTROL!$C$23, $C$12, 100%, $E$12)</f>
        <v>6.0621999999999998</v>
      </c>
      <c r="O313" s="66">
        <f>6.0671 * CHOOSE(CONTROL!$C$23, $C$12, 100%, $E$12)</f>
        <v>6.0670999999999999</v>
      </c>
    </row>
    <row r="314" spans="1:15" ht="15">
      <c r="A314" s="13">
        <v>50710</v>
      </c>
      <c r="B314" s="65">
        <f>4.9696 * CHOOSE(CONTROL!$C$23, $C$12, 100%, $E$12)</f>
        <v>4.9695999999999998</v>
      </c>
      <c r="C314" s="65">
        <f>4.9696 * CHOOSE(CONTROL!$C$23, $C$12, 100%, $E$12)</f>
        <v>4.9695999999999998</v>
      </c>
      <c r="D314" s="65">
        <f>4.9736 * CHOOSE(CONTROL!$C$23, $C$12, 100%, $E$12)</f>
        <v>4.9736000000000002</v>
      </c>
      <c r="E314" s="66">
        <f>6.084 * CHOOSE(CONTROL!$C$23, $C$12, 100%, $E$12)</f>
        <v>6.0839999999999996</v>
      </c>
      <c r="F314" s="66">
        <f>6.084 * CHOOSE(CONTROL!$C$23, $C$12, 100%, $E$12)</f>
        <v>6.0839999999999996</v>
      </c>
      <c r="G314" s="66">
        <f>6.0889 * CHOOSE(CONTROL!$C$23, $C$12, 100%, $E$12)</f>
        <v>6.0888999999999998</v>
      </c>
      <c r="H314" s="66">
        <f>10.9697* CHOOSE(CONTROL!$C$23, $C$12, 100%, $E$12)</f>
        <v>10.9697</v>
      </c>
      <c r="I314" s="66">
        <f>10.9747 * CHOOSE(CONTROL!$C$23, $C$12, 100%, $E$12)</f>
        <v>10.9747</v>
      </c>
      <c r="J314" s="66">
        <f>10.9697 * CHOOSE(CONTROL!$C$23, $C$12, 100%, $E$12)</f>
        <v>10.9697</v>
      </c>
      <c r="K314" s="66">
        <f>10.9747 * CHOOSE(CONTROL!$C$23, $C$12, 100%, $E$12)</f>
        <v>10.9747</v>
      </c>
      <c r="L314" s="66">
        <f>6.084 * CHOOSE(CONTROL!$C$23, $C$12, 100%, $E$12)</f>
        <v>6.0839999999999996</v>
      </c>
      <c r="M314" s="66">
        <f>6.0889 * CHOOSE(CONTROL!$C$23, $C$12, 100%, $E$12)</f>
        <v>6.0888999999999998</v>
      </c>
      <c r="N314" s="66">
        <f>6.084 * CHOOSE(CONTROL!$C$23, $C$12, 100%, $E$12)</f>
        <v>6.0839999999999996</v>
      </c>
      <c r="O314" s="66">
        <f>6.0889 * CHOOSE(CONTROL!$C$23, $C$12, 100%, $E$12)</f>
        <v>6.0888999999999998</v>
      </c>
    </row>
    <row r="315" spans="1:15" ht="15">
      <c r="A315" s="13">
        <v>50740</v>
      </c>
      <c r="B315" s="65">
        <f>4.9696 * CHOOSE(CONTROL!$C$23, $C$12, 100%, $E$12)</f>
        <v>4.9695999999999998</v>
      </c>
      <c r="C315" s="65">
        <f>4.9696 * CHOOSE(CONTROL!$C$23, $C$12, 100%, $E$12)</f>
        <v>4.9695999999999998</v>
      </c>
      <c r="D315" s="65">
        <f>4.9736 * CHOOSE(CONTROL!$C$23, $C$12, 100%, $E$12)</f>
        <v>4.9736000000000002</v>
      </c>
      <c r="E315" s="66">
        <f>6.061 * CHOOSE(CONTROL!$C$23, $C$12, 100%, $E$12)</f>
        <v>6.0609999999999999</v>
      </c>
      <c r="F315" s="66">
        <f>6.061 * CHOOSE(CONTROL!$C$23, $C$12, 100%, $E$12)</f>
        <v>6.0609999999999999</v>
      </c>
      <c r="G315" s="66">
        <f>6.066 * CHOOSE(CONTROL!$C$23, $C$12, 100%, $E$12)</f>
        <v>6.0659999999999998</v>
      </c>
      <c r="H315" s="66">
        <f>10.9926* CHOOSE(CONTROL!$C$23, $C$12, 100%, $E$12)</f>
        <v>10.992599999999999</v>
      </c>
      <c r="I315" s="66">
        <f>10.9975 * CHOOSE(CONTROL!$C$23, $C$12, 100%, $E$12)</f>
        <v>10.9975</v>
      </c>
      <c r="J315" s="66">
        <f>10.9926 * CHOOSE(CONTROL!$C$23, $C$12, 100%, $E$12)</f>
        <v>10.992599999999999</v>
      </c>
      <c r="K315" s="66">
        <f>10.9975 * CHOOSE(CONTROL!$C$23, $C$12, 100%, $E$12)</f>
        <v>10.9975</v>
      </c>
      <c r="L315" s="66">
        <f>6.061 * CHOOSE(CONTROL!$C$23, $C$12, 100%, $E$12)</f>
        <v>6.0609999999999999</v>
      </c>
      <c r="M315" s="66">
        <f>6.066 * CHOOSE(CONTROL!$C$23, $C$12, 100%, $E$12)</f>
        <v>6.0659999999999998</v>
      </c>
      <c r="N315" s="66">
        <f>6.061 * CHOOSE(CONTROL!$C$23, $C$12, 100%, $E$12)</f>
        <v>6.0609999999999999</v>
      </c>
      <c r="O315" s="66">
        <f>6.066 * CHOOSE(CONTROL!$C$23, $C$12, 100%, $E$12)</f>
        <v>6.0659999999999998</v>
      </c>
    </row>
    <row r="316" spans="1:15" ht="15">
      <c r="A316" s="13">
        <v>50771</v>
      </c>
      <c r="B316" s="65">
        <f>5.014 * CHOOSE(CONTROL!$C$23, $C$12, 100%, $E$12)</f>
        <v>5.0140000000000002</v>
      </c>
      <c r="C316" s="65">
        <f>5.014 * CHOOSE(CONTROL!$C$23, $C$12, 100%, $E$12)</f>
        <v>5.0140000000000002</v>
      </c>
      <c r="D316" s="65">
        <f>5.018 * CHOOSE(CONTROL!$C$23, $C$12, 100%, $E$12)</f>
        <v>5.0179999999999998</v>
      </c>
      <c r="E316" s="66">
        <f>6.1195 * CHOOSE(CONTROL!$C$23, $C$12, 100%, $E$12)</f>
        <v>6.1195000000000004</v>
      </c>
      <c r="F316" s="66">
        <f>6.1195 * CHOOSE(CONTROL!$C$23, $C$12, 100%, $E$12)</f>
        <v>6.1195000000000004</v>
      </c>
      <c r="G316" s="66">
        <f>6.1244 * CHOOSE(CONTROL!$C$23, $C$12, 100%, $E$12)</f>
        <v>6.1243999999999996</v>
      </c>
      <c r="H316" s="66">
        <f>11.0155* CHOOSE(CONTROL!$C$23, $C$12, 100%, $E$12)</f>
        <v>11.015499999999999</v>
      </c>
      <c r="I316" s="66">
        <f>11.0204 * CHOOSE(CONTROL!$C$23, $C$12, 100%, $E$12)</f>
        <v>11.0204</v>
      </c>
      <c r="J316" s="66">
        <f>11.0155 * CHOOSE(CONTROL!$C$23, $C$12, 100%, $E$12)</f>
        <v>11.015499999999999</v>
      </c>
      <c r="K316" s="66">
        <f>11.0204 * CHOOSE(CONTROL!$C$23, $C$12, 100%, $E$12)</f>
        <v>11.0204</v>
      </c>
      <c r="L316" s="66">
        <f>6.1195 * CHOOSE(CONTROL!$C$23, $C$12, 100%, $E$12)</f>
        <v>6.1195000000000004</v>
      </c>
      <c r="M316" s="66">
        <f>6.1244 * CHOOSE(CONTROL!$C$23, $C$12, 100%, $E$12)</f>
        <v>6.1243999999999996</v>
      </c>
      <c r="N316" s="66">
        <f>6.1195 * CHOOSE(CONTROL!$C$23, $C$12, 100%, $E$12)</f>
        <v>6.1195000000000004</v>
      </c>
      <c r="O316" s="66">
        <f>6.1244 * CHOOSE(CONTROL!$C$23, $C$12, 100%, $E$12)</f>
        <v>6.1243999999999996</v>
      </c>
    </row>
    <row r="317" spans="1:15" ht="15">
      <c r="A317" s="13">
        <v>50802</v>
      </c>
      <c r="B317" s="65">
        <f>5.0109 * CHOOSE(CONTROL!$C$23, $C$12, 100%, $E$12)</f>
        <v>5.0109000000000004</v>
      </c>
      <c r="C317" s="65">
        <f>5.0109 * CHOOSE(CONTROL!$C$23, $C$12, 100%, $E$12)</f>
        <v>5.0109000000000004</v>
      </c>
      <c r="D317" s="65">
        <f>5.0149 * CHOOSE(CONTROL!$C$23, $C$12, 100%, $E$12)</f>
        <v>5.0148999999999999</v>
      </c>
      <c r="E317" s="66">
        <f>6.0216 * CHOOSE(CONTROL!$C$23, $C$12, 100%, $E$12)</f>
        <v>6.0216000000000003</v>
      </c>
      <c r="F317" s="66">
        <f>6.0216 * CHOOSE(CONTROL!$C$23, $C$12, 100%, $E$12)</f>
        <v>6.0216000000000003</v>
      </c>
      <c r="G317" s="66">
        <f>6.0266 * CHOOSE(CONTROL!$C$23, $C$12, 100%, $E$12)</f>
        <v>6.0266000000000002</v>
      </c>
      <c r="H317" s="66">
        <f>11.0384* CHOOSE(CONTROL!$C$23, $C$12, 100%, $E$12)</f>
        <v>11.038399999999999</v>
      </c>
      <c r="I317" s="66">
        <f>11.0434 * CHOOSE(CONTROL!$C$23, $C$12, 100%, $E$12)</f>
        <v>11.0434</v>
      </c>
      <c r="J317" s="66">
        <f>11.0384 * CHOOSE(CONTROL!$C$23, $C$12, 100%, $E$12)</f>
        <v>11.038399999999999</v>
      </c>
      <c r="K317" s="66">
        <f>11.0434 * CHOOSE(CONTROL!$C$23, $C$12, 100%, $E$12)</f>
        <v>11.0434</v>
      </c>
      <c r="L317" s="66">
        <f>6.0216 * CHOOSE(CONTROL!$C$23, $C$12, 100%, $E$12)</f>
        <v>6.0216000000000003</v>
      </c>
      <c r="M317" s="66">
        <f>6.0266 * CHOOSE(CONTROL!$C$23, $C$12, 100%, $E$12)</f>
        <v>6.0266000000000002</v>
      </c>
      <c r="N317" s="66">
        <f>6.0216 * CHOOSE(CONTROL!$C$23, $C$12, 100%, $E$12)</f>
        <v>6.0216000000000003</v>
      </c>
      <c r="O317" s="66">
        <f>6.0266 * CHOOSE(CONTROL!$C$23, $C$12, 100%, $E$12)</f>
        <v>6.0266000000000002</v>
      </c>
    </row>
    <row r="318" spans="1:15" ht="15">
      <c r="A318" s="13">
        <v>50830</v>
      </c>
      <c r="B318" s="65">
        <f>5.0079 * CHOOSE(CONTROL!$C$23, $C$12, 100%, $E$12)</f>
        <v>5.0079000000000002</v>
      </c>
      <c r="C318" s="65">
        <f>5.0079 * CHOOSE(CONTROL!$C$23, $C$12, 100%, $E$12)</f>
        <v>5.0079000000000002</v>
      </c>
      <c r="D318" s="65">
        <f>5.0119 * CHOOSE(CONTROL!$C$23, $C$12, 100%, $E$12)</f>
        <v>5.0118999999999998</v>
      </c>
      <c r="E318" s="66">
        <f>6.095 * CHOOSE(CONTROL!$C$23, $C$12, 100%, $E$12)</f>
        <v>6.0949999999999998</v>
      </c>
      <c r="F318" s="66">
        <f>6.095 * CHOOSE(CONTROL!$C$23, $C$12, 100%, $E$12)</f>
        <v>6.0949999999999998</v>
      </c>
      <c r="G318" s="66">
        <f>6.0999 * CHOOSE(CONTROL!$C$23, $C$12, 100%, $E$12)</f>
        <v>6.0998999999999999</v>
      </c>
      <c r="H318" s="66">
        <f>11.0614* CHOOSE(CONTROL!$C$23, $C$12, 100%, $E$12)</f>
        <v>11.061400000000001</v>
      </c>
      <c r="I318" s="66">
        <f>11.0664 * CHOOSE(CONTROL!$C$23, $C$12, 100%, $E$12)</f>
        <v>11.0664</v>
      </c>
      <c r="J318" s="66">
        <f>11.0614 * CHOOSE(CONTROL!$C$23, $C$12, 100%, $E$12)</f>
        <v>11.061400000000001</v>
      </c>
      <c r="K318" s="66">
        <f>11.0664 * CHOOSE(CONTROL!$C$23, $C$12, 100%, $E$12)</f>
        <v>11.0664</v>
      </c>
      <c r="L318" s="66">
        <f>6.095 * CHOOSE(CONTROL!$C$23, $C$12, 100%, $E$12)</f>
        <v>6.0949999999999998</v>
      </c>
      <c r="M318" s="66">
        <f>6.0999 * CHOOSE(CONTROL!$C$23, $C$12, 100%, $E$12)</f>
        <v>6.0998999999999999</v>
      </c>
      <c r="N318" s="66">
        <f>6.095 * CHOOSE(CONTROL!$C$23, $C$12, 100%, $E$12)</f>
        <v>6.0949999999999998</v>
      </c>
      <c r="O318" s="66">
        <f>6.0999 * CHOOSE(CONTROL!$C$23, $C$12, 100%, $E$12)</f>
        <v>6.0998999999999999</v>
      </c>
    </row>
    <row r="319" spans="1:15" ht="15">
      <c r="A319" s="13">
        <v>50861</v>
      </c>
      <c r="B319" s="65">
        <f>5.0064 * CHOOSE(CONTROL!$C$23, $C$12, 100%, $E$12)</f>
        <v>5.0064000000000002</v>
      </c>
      <c r="C319" s="65">
        <f>5.0064 * CHOOSE(CONTROL!$C$23, $C$12, 100%, $E$12)</f>
        <v>5.0064000000000002</v>
      </c>
      <c r="D319" s="65">
        <f>5.0104 * CHOOSE(CONTROL!$C$23, $C$12, 100%, $E$12)</f>
        <v>5.0103999999999997</v>
      </c>
      <c r="E319" s="66">
        <f>6.1718 * CHOOSE(CONTROL!$C$23, $C$12, 100%, $E$12)</f>
        <v>6.1718000000000002</v>
      </c>
      <c r="F319" s="66">
        <f>6.1718 * CHOOSE(CONTROL!$C$23, $C$12, 100%, $E$12)</f>
        <v>6.1718000000000002</v>
      </c>
      <c r="G319" s="66">
        <f>6.1767 * CHOOSE(CONTROL!$C$23, $C$12, 100%, $E$12)</f>
        <v>6.1767000000000003</v>
      </c>
      <c r="H319" s="66">
        <f>11.0845* CHOOSE(CONTROL!$C$23, $C$12, 100%, $E$12)</f>
        <v>11.0845</v>
      </c>
      <c r="I319" s="66">
        <f>11.0894 * CHOOSE(CONTROL!$C$23, $C$12, 100%, $E$12)</f>
        <v>11.089399999999999</v>
      </c>
      <c r="J319" s="66">
        <f>11.0845 * CHOOSE(CONTROL!$C$23, $C$12, 100%, $E$12)</f>
        <v>11.0845</v>
      </c>
      <c r="K319" s="66">
        <f>11.0894 * CHOOSE(CONTROL!$C$23, $C$12, 100%, $E$12)</f>
        <v>11.089399999999999</v>
      </c>
      <c r="L319" s="66">
        <f>6.1718 * CHOOSE(CONTROL!$C$23, $C$12, 100%, $E$12)</f>
        <v>6.1718000000000002</v>
      </c>
      <c r="M319" s="66">
        <f>6.1767 * CHOOSE(CONTROL!$C$23, $C$12, 100%, $E$12)</f>
        <v>6.1767000000000003</v>
      </c>
      <c r="N319" s="66">
        <f>6.1718 * CHOOSE(CONTROL!$C$23, $C$12, 100%, $E$12)</f>
        <v>6.1718000000000002</v>
      </c>
      <c r="O319" s="66">
        <f>6.1767 * CHOOSE(CONTROL!$C$23, $C$12, 100%, $E$12)</f>
        <v>6.1767000000000003</v>
      </c>
    </row>
    <row r="320" spans="1:15" ht="15">
      <c r="A320" s="13">
        <v>50891</v>
      </c>
      <c r="B320" s="65">
        <f>5.0064 * CHOOSE(CONTROL!$C$23, $C$12, 100%, $E$12)</f>
        <v>5.0064000000000002</v>
      </c>
      <c r="C320" s="65">
        <f>5.0064 * CHOOSE(CONTROL!$C$23, $C$12, 100%, $E$12)</f>
        <v>5.0064000000000002</v>
      </c>
      <c r="D320" s="65">
        <f>5.0121 * CHOOSE(CONTROL!$C$23, $C$12, 100%, $E$12)</f>
        <v>5.0121000000000002</v>
      </c>
      <c r="E320" s="66">
        <f>6.2021 * CHOOSE(CONTROL!$C$23, $C$12, 100%, $E$12)</f>
        <v>6.2020999999999997</v>
      </c>
      <c r="F320" s="66">
        <f>6.2021 * CHOOSE(CONTROL!$C$23, $C$12, 100%, $E$12)</f>
        <v>6.2020999999999997</v>
      </c>
      <c r="G320" s="66">
        <f>6.209 * CHOOSE(CONTROL!$C$23, $C$12, 100%, $E$12)</f>
        <v>6.2089999999999996</v>
      </c>
      <c r="H320" s="66">
        <f>11.1076* CHOOSE(CONTROL!$C$23, $C$12, 100%, $E$12)</f>
        <v>11.1076</v>
      </c>
      <c r="I320" s="66">
        <f>11.1145 * CHOOSE(CONTROL!$C$23, $C$12, 100%, $E$12)</f>
        <v>11.1145</v>
      </c>
      <c r="J320" s="66">
        <f>11.1076 * CHOOSE(CONTROL!$C$23, $C$12, 100%, $E$12)</f>
        <v>11.1076</v>
      </c>
      <c r="K320" s="66">
        <f>11.1145 * CHOOSE(CONTROL!$C$23, $C$12, 100%, $E$12)</f>
        <v>11.1145</v>
      </c>
      <c r="L320" s="66">
        <f>6.2021 * CHOOSE(CONTROL!$C$23, $C$12, 100%, $E$12)</f>
        <v>6.2020999999999997</v>
      </c>
      <c r="M320" s="66">
        <f>6.209 * CHOOSE(CONTROL!$C$23, $C$12, 100%, $E$12)</f>
        <v>6.2089999999999996</v>
      </c>
      <c r="N320" s="66">
        <f>6.2021 * CHOOSE(CONTROL!$C$23, $C$12, 100%, $E$12)</f>
        <v>6.2020999999999997</v>
      </c>
      <c r="O320" s="66">
        <f>6.209 * CHOOSE(CONTROL!$C$23, $C$12, 100%, $E$12)</f>
        <v>6.2089999999999996</v>
      </c>
    </row>
    <row r="321" spans="1:15" ht="15">
      <c r="A321" s="13">
        <v>50922</v>
      </c>
      <c r="B321" s="65">
        <f>5.0125 * CHOOSE(CONTROL!$C$23, $C$12, 100%, $E$12)</f>
        <v>5.0125000000000002</v>
      </c>
      <c r="C321" s="65">
        <f>5.0125 * CHOOSE(CONTROL!$C$23, $C$12, 100%, $E$12)</f>
        <v>5.0125000000000002</v>
      </c>
      <c r="D321" s="65">
        <f>5.0181 * CHOOSE(CONTROL!$C$23, $C$12, 100%, $E$12)</f>
        <v>5.0180999999999996</v>
      </c>
      <c r="E321" s="66">
        <f>6.176 * CHOOSE(CONTROL!$C$23, $C$12, 100%, $E$12)</f>
        <v>6.1760000000000002</v>
      </c>
      <c r="F321" s="66">
        <f>6.176 * CHOOSE(CONTROL!$C$23, $C$12, 100%, $E$12)</f>
        <v>6.1760000000000002</v>
      </c>
      <c r="G321" s="66">
        <f>6.1829 * CHOOSE(CONTROL!$C$23, $C$12, 100%, $E$12)</f>
        <v>6.1829000000000001</v>
      </c>
      <c r="H321" s="66">
        <f>11.1307* CHOOSE(CONTROL!$C$23, $C$12, 100%, $E$12)</f>
        <v>11.130699999999999</v>
      </c>
      <c r="I321" s="66">
        <f>11.1376 * CHOOSE(CONTROL!$C$23, $C$12, 100%, $E$12)</f>
        <v>11.137600000000001</v>
      </c>
      <c r="J321" s="66">
        <f>11.1307 * CHOOSE(CONTROL!$C$23, $C$12, 100%, $E$12)</f>
        <v>11.130699999999999</v>
      </c>
      <c r="K321" s="66">
        <f>11.1376 * CHOOSE(CONTROL!$C$23, $C$12, 100%, $E$12)</f>
        <v>11.137600000000001</v>
      </c>
      <c r="L321" s="66">
        <f>6.176 * CHOOSE(CONTROL!$C$23, $C$12, 100%, $E$12)</f>
        <v>6.1760000000000002</v>
      </c>
      <c r="M321" s="66">
        <f>6.1829 * CHOOSE(CONTROL!$C$23, $C$12, 100%, $E$12)</f>
        <v>6.1829000000000001</v>
      </c>
      <c r="N321" s="66">
        <f>6.176 * CHOOSE(CONTROL!$C$23, $C$12, 100%, $E$12)</f>
        <v>6.1760000000000002</v>
      </c>
      <c r="O321" s="66">
        <f>6.1829 * CHOOSE(CONTROL!$C$23, $C$12, 100%, $E$12)</f>
        <v>6.1829000000000001</v>
      </c>
    </row>
    <row r="322" spans="1:15" ht="15">
      <c r="A322" s="13">
        <v>50952</v>
      </c>
      <c r="B322" s="65">
        <f>5.0952 * CHOOSE(CONTROL!$C$23, $C$12, 100%, $E$12)</f>
        <v>5.0952000000000002</v>
      </c>
      <c r="C322" s="65">
        <f>5.0952 * CHOOSE(CONTROL!$C$23, $C$12, 100%, $E$12)</f>
        <v>5.0952000000000002</v>
      </c>
      <c r="D322" s="65">
        <f>5.1008 * CHOOSE(CONTROL!$C$23, $C$12, 100%, $E$12)</f>
        <v>5.1007999999999996</v>
      </c>
      <c r="E322" s="66">
        <f>6.2809 * CHOOSE(CONTROL!$C$23, $C$12, 100%, $E$12)</f>
        <v>6.2808999999999999</v>
      </c>
      <c r="F322" s="66">
        <f>6.2809 * CHOOSE(CONTROL!$C$23, $C$12, 100%, $E$12)</f>
        <v>6.2808999999999999</v>
      </c>
      <c r="G322" s="66">
        <f>6.2878 * CHOOSE(CONTROL!$C$23, $C$12, 100%, $E$12)</f>
        <v>6.2877999999999998</v>
      </c>
      <c r="H322" s="66">
        <f>11.1539* CHOOSE(CONTROL!$C$23, $C$12, 100%, $E$12)</f>
        <v>11.1539</v>
      </c>
      <c r="I322" s="66">
        <f>11.1608 * CHOOSE(CONTROL!$C$23, $C$12, 100%, $E$12)</f>
        <v>11.1608</v>
      </c>
      <c r="J322" s="66">
        <f>11.1539 * CHOOSE(CONTROL!$C$23, $C$12, 100%, $E$12)</f>
        <v>11.1539</v>
      </c>
      <c r="K322" s="66">
        <f>11.1608 * CHOOSE(CONTROL!$C$23, $C$12, 100%, $E$12)</f>
        <v>11.1608</v>
      </c>
      <c r="L322" s="66">
        <f>6.2809 * CHOOSE(CONTROL!$C$23, $C$12, 100%, $E$12)</f>
        <v>6.2808999999999999</v>
      </c>
      <c r="M322" s="66">
        <f>6.2878 * CHOOSE(CONTROL!$C$23, $C$12, 100%, $E$12)</f>
        <v>6.2877999999999998</v>
      </c>
      <c r="N322" s="66">
        <f>6.2809 * CHOOSE(CONTROL!$C$23, $C$12, 100%, $E$12)</f>
        <v>6.2808999999999999</v>
      </c>
      <c r="O322" s="66">
        <f>6.2878 * CHOOSE(CONTROL!$C$23, $C$12, 100%, $E$12)</f>
        <v>6.2877999999999998</v>
      </c>
    </row>
    <row r="323" spans="1:15" ht="15">
      <c r="A323" s="13">
        <v>50983</v>
      </c>
      <c r="B323" s="65">
        <f>5.1019 * CHOOSE(CONTROL!$C$23, $C$12, 100%, $E$12)</f>
        <v>5.1018999999999997</v>
      </c>
      <c r="C323" s="65">
        <f>5.1019 * CHOOSE(CONTROL!$C$23, $C$12, 100%, $E$12)</f>
        <v>5.1018999999999997</v>
      </c>
      <c r="D323" s="65">
        <f>5.1075 * CHOOSE(CONTROL!$C$23, $C$12, 100%, $E$12)</f>
        <v>5.1074999999999999</v>
      </c>
      <c r="E323" s="66">
        <f>6.1944 * CHOOSE(CONTROL!$C$23, $C$12, 100%, $E$12)</f>
        <v>6.1943999999999999</v>
      </c>
      <c r="F323" s="66">
        <f>6.1944 * CHOOSE(CONTROL!$C$23, $C$12, 100%, $E$12)</f>
        <v>6.1943999999999999</v>
      </c>
      <c r="G323" s="66">
        <f>6.2013 * CHOOSE(CONTROL!$C$23, $C$12, 100%, $E$12)</f>
        <v>6.2012999999999998</v>
      </c>
      <c r="H323" s="66">
        <f>11.1771* CHOOSE(CONTROL!$C$23, $C$12, 100%, $E$12)</f>
        <v>11.177099999999999</v>
      </c>
      <c r="I323" s="66">
        <f>11.184 * CHOOSE(CONTROL!$C$23, $C$12, 100%, $E$12)</f>
        <v>11.183999999999999</v>
      </c>
      <c r="J323" s="66">
        <f>11.1771 * CHOOSE(CONTROL!$C$23, $C$12, 100%, $E$12)</f>
        <v>11.177099999999999</v>
      </c>
      <c r="K323" s="66">
        <f>11.184 * CHOOSE(CONTROL!$C$23, $C$12, 100%, $E$12)</f>
        <v>11.183999999999999</v>
      </c>
      <c r="L323" s="66">
        <f>6.1944 * CHOOSE(CONTROL!$C$23, $C$12, 100%, $E$12)</f>
        <v>6.1943999999999999</v>
      </c>
      <c r="M323" s="66">
        <f>6.2013 * CHOOSE(CONTROL!$C$23, $C$12, 100%, $E$12)</f>
        <v>6.2012999999999998</v>
      </c>
      <c r="N323" s="66">
        <f>6.1944 * CHOOSE(CONTROL!$C$23, $C$12, 100%, $E$12)</f>
        <v>6.1943999999999999</v>
      </c>
      <c r="O323" s="66">
        <f>6.2013 * CHOOSE(CONTROL!$C$23, $C$12, 100%, $E$12)</f>
        <v>6.2012999999999998</v>
      </c>
    </row>
    <row r="324" spans="1:15" ht="15">
      <c r="A324" s="13">
        <v>51014</v>
      </c>
      <c r="B324" s="65">
        <f>5.0988 * CHOOSE(CONTROL!$C$23, $C$12, 100%, $E$12)</f>
        <v>5.0987999999999998</v>
      </c>
      <c r="C324" s="65">
        <f>5.0988 * CHOOSE(CONTROL!$C$23, $C$12, 100%, $E$12)</f>
        <v>5.0987999999999998</v>
      </c>
      <c r="D324" s="65">
        <f>5.1045 * CHOOSE(CONTROL!$C$23, $C$12, 100%, $E$12)</f>
        <v>5.1044999999999998</v>
      </c>
      <c r="E324" s="66">
        <f>6.1822 * CHOOSE(CONTROL!$C$23, $C$12, 100%, $E$12)</f>
        <v>6.1821999999999999</v>
      </c>
      <c r="F324" s="66">
        <f>6.1822 * CHOOSE(CONTROL!$C$23, $C$12, 100%, $E$12)</f>
        <v>6.1821999999999999</v>
      </c>
      <c r="G324" s="66">
        <f>6.1891 * CHOOSE(CONTROL!$C$23, $C$12, 100%, $E$12)</f>
        <v>6.1890999999999998</v>
      </c>
      <c r="H324" s="66">
        <f>11.2004* CHOOSE(CONTROL!$C$23, $C$12, 100%, $E$12)</f>
        <v>11.2004</v>
      </c>
      <c r="I324" s="66">
        <f>11.2073 * CHOOSE(CONTROL!$C$23, $C$12, 100%, $E$12)</f>
        <v>11.2073</v>
      </c>
      <c r="J324" s="66">
        <f>11.2004 * CHOOSE(CONTROL!$C$23, $C$12, 100%, $E$12)</f>
        <v>11.2004</v>
      </c>
      <c r="K324" s="66">
        <f>11.2073 * CHOOSE(CONTROL!$C$23, $C$12, 100%, $E$12)</f>
        <v>11.2073</v>
      </c>
      <c r="L324" s="66">
        <f>6.1822 * CHOOSE(CONTROL!$C$23, $C$12, 100%, $E$12)</f>
        <v>6.1821999999999999</v>
      </c>
      <c r="M324" s="66">
        <f>6.1891 * CHOOSE(CONTROL!$C$23, $C$12, 100%, $E$12)</f>
        <v>6.1890999999999998</v>
      </c>
      <c r="N324" s="66">
        <f>6.1822 * CHOOSE(CONTROL!$C$23, $C$12, 100%, $E$12)</f>
        <v>6.1821999999999999</v>
      </c>
      <c r="O324" s="66">
        <f>6.1891 * CHOOSE(CONTROL!$C$23, $C$12, 100%, $E$12)</f>
        <v>6.1890999999999998</v>
      </c>
    </row>
    <row r="325" spans="1:15" ht="15">
      <c r="A325" s="13">
        <v>51044</v>
      </c>
      <c r="B325" s="65">
        <f>5.0975 * CHOOSE(CONTROL!$C$23, $C$12, 100%, $E$12)</f>
        <v>5.0975000000000001</v>
      </c>
      <c r="C325" s="65">
        <f>5.0975 * CHOOSE(CONTROL!$C$23, $C$12, 100%, $E$12)</f>
        <v>5.0975000000000001</v>
      </c>
      <c r="D325" s="65">
        <f>5.1015 * CHOOSE(CONTROL!$C$23, $C$12, 100%, $E$12)</f>
        <v>5.1014999999999997</v>
      </c>
      <c r="E325" s="66">
        <f>6.2093 * CHOOSE(CONTROL!$C$23, $C$12, 100%, $E$12)</f>
        <v>6.2092999999999998</v>
      </c>
      <c r="F325" s="66">
        <f>6.2093 * CHOOSE(CONTROL!$C$23, $C$12, 100%, $E$12)</f>
        <v>6.2092999999999998</v>
      </c>
      <c r="G325" s="66">
        <f>6.2142 * CHOOSE(CONTROL!$C$23, $C$12, 100%, $E$12)</f>
        <v>6.2141999999999999</v>
      </c>
      <c r="H325" s="66">
        <f>11.2238* CHOOSE(CONTROL!$C$23, $C$12, 100%, $E$12)</f>
        <v>11.223800000000001</v>
      </c>
      <c r="I325" s="66">
        <f>11.2287 * CHOOSE(CONTROL!$C$23, $C$12, 100%, $E$12)</f>
        <v>11.2287</v>
      </c>
      <c r="J325" s="66">
        <f>11.2238 * CHOOSE(CONTROL!$C$23, $C$12, 100%, $E$12)</f>
        <v>11.223800000000001</v>
      </c>
      <c r="K325" s="66">
        <f>11.2287 * CHOOSE(CONTROL!$C$23, $C$12, 100%, $E$12)</f>
        <v>11.2287</v>
      </c>
      <c r="L325" s="66">
        <f>6.2093 * CHOOSE(CONTROL!$C$23, $C$12, 100%, $E$12)</f>
        <v>6.2092999999999998</v>
      </c>
      <c r="M325" s="66">
        <f>6.2142 * CHOOSE(CONTROL!$C$23, $C$12, 100%, $E$12)</f>
        <v>6.2141999999999999</v>
      </c>
      <c r="N325" s="66">
        <f>6.2093 * CHOOSE(CONTROL!$C$23, $C$12, 100%, $E$12)</f>
        <v>6.2092999999999998</v>
      </c>
      <c r="O325" s="66">
        <f>6.2142 * CHOOSE(CONTROL!$C$23, $C$12, 100%, $E$12)</f>
        <v>6.2141999999999999</v>
      </c>
    </row>
    <row r="326" spans="1:15" ht="15">
      <c r="A326" s="13">
        <v>51075</v>
      </c>
      <c r="B326" s="65">
        <f>5.1006 * CHOOSE(CONTROL!$C$23, $C$12, 100%, $E$12)</f>
        <v>5.1006</v>
      </c>
      <c r="C326" s="65">
        <f>5.1006 * CHOOSE(CONTROL!$C$23, $C$12, 100%, $E$12)</f>
        <v>5.1006</v>
      </c>
      <c r="D326" s="65">
        <f>5.1046 * CHOOSE(CONTROL!$C$23, $C$12, 100%, $E$12)</f>
        <v>5.1045999999999996</v>
      </c>
      <c r="E326" s="66">
        <f>6.2316 * CHOOSE(CONTROL!$C$23, $C$12, 100%, $E$12)</f>
        <v>6.2316000000000003</v>
      </c>
      <c r="F326" s="66">
        <f>6.2316 * CHOOSE(CONTROL!$C$23, $C$12, 100%, $E$12)</f>
        <v>6.2316000000000003</v>
      </c>
      <c r="G326" s="66">
        <f>6.2366 * CHOOSE(CONTROL!$C$23, $C$12, 100%, $E$12)</f>
        <v>6.2366000000000001</v>
      </c>
      <c r="H326" s="66">
        <f>11.2471* CHOOSE(CONTROL!$C$23, $C$12, 100%, $E$12)</f>
        <v>11.2471</v>
      </c>
      <c r="I326" s="66">
        <f>11.2521 * CHOOSE(CONTROL!$C$23, $C$12, 100%, $E$12)</f>
        <v>11.2521</v>
      </c>
      <c r="J326" s="66">
        <f>11.2471 * CHOOSE(CONTROL!$C$23, $C$12, 100%, $E$12)</f>
        <v>11.2471</v>
      </c>
      <c r="K326" s="66">
        <f>11.2521 * CHOOSE(CONTROL!$C$23, $C$12, 100%, $E$12)</f>
        <v>11.2521</v>
      </c>
      <c r="L326" s="66">
        <f>6.2316 * CHOOSE(CONTROL!$C$23, $C$12, 100%, $E$12)</f>
        <v>6.2316000000000003</v>
      </c>
      <c r="M326" s="66">
        <f>6.2366 * CHOOSE(CONTROL!$C$23, $C$12, 100%, $E$12)</f>
        <v>6.2366000000000001</v>
      </c>
      <c r="N326" s="66">
        <f>6.2316 * CHOOSE(CONTROL!$C$23, $C$12, 100%, $E$12)</f>
        <v>6.2316000000000003</v>
      </c>
      <c r="O326" s="66">
        <f>6.2366 * CHOOSE(CONTROL!$C$23, $C$12, 100%, $E$12)</f>
        <v>6.2366000000000001</v>
      </c>
    </row>
    <row r="327" spans="1:15" ht="15">
      <c r="A327" s="13">
        <v>51105</v>
      </c>
      <c r="B327" s="65">
        <f>5.1006 * CHOOSE(CONTROL!$C$23, $C$12, 100%, $E$12)</f>
        <v>5.1006</v>
      </c>
      <c r="C327" s="65">
        <f>5.1006 * CHOOSE(CONTROL!$C$23, $C$12, 100%, $E$12)</f>
        <v>5.1006</v>
      </c>
      <c r="D327" s="65">
        <f>5.1046 * CHOOSE(CONTROL!$C$23, $C$12, 100%, $E$12)</f>
        <v>5.1045999999999996</v>
      </c>
      <c r="E327" s="66">
        <f>6.181 * CHOOSE(CONTROL!$C$23, $C$12, 100%, $E$12)</f>
        <v>6.181</v>
      </c>
      <c r="F327" s="66">
        <f>6.181 * CHOOSE(CONTROL!$C$23, $C$12, 100%, $E$12)</f>
        <v>6.181</v>
      </c>
      <c r="G327" s="66">
        <f>6.1859 * CHOOSE(CONTROL!$C$23, $C$12, 100%, $E$12)</f>
        <v>6.1859000000000002</v>
      </c>
      <c r="H327" s="66">
        <f>11.2706* CHOOSE(CONTROL!$C$23, $C$12, 100%, $E$12)</f>
        <v>11.2706</v>
      </c>
      <c r="I327" s="66">
        <f>11.2755 * CHOOSE(CONTROL!$C$23, $C$12, 100%, $E$12)</f>
        <v>11.275499999999999</v>
      </c>
      <c r="J327" s="66">
        <f>11.2706 * CHOOSE(CONTROL!$C$23, $C$12, 100%, $E$12)</f>
        <v>11.2706</v>
      </c>
      <c r="K327" s="66">
        <f>11.2755 * CHOOSE(CONTROL!$C$23, $C$12, 100%, $E$12)</f>
        <v>11.275499999999999</v>
      </c>
      <c r="L327" s="66">
        <f>6.181 * CHOOSE(CONTROL!$C$23, $C$12, 100%, $E$12)</f>
        <v>6.181</v>
      </c>
      <c r="M327" s="66">
        <f>6.1859 * CHOOSE(CONTROL!$C$23, $C$12, 100%, $E$12)</f>
        <v>6.1859000000000002</v>
      </c>
      <c r="N327" s="66">
        <f>6.181 * CHOOSE(CONTROL!$C$23, $C$12, 100%, $E$12)</f>
        <v>6.181</v>
      </c>
      <c r="O327" s="66">
        <f>6.1859 * CHOOSE(CONTROL!$C$23, $C$12, 100%, $E$12)</f>
        <v>6.1859000000000002</v>
      </c>
    </row>
    <row r="328" spans="1:15" ht="15">
      <c r="A328" s="13">
        <v>51136</v>
      </c>
      <c r="B328" s="65">
        <f>5.146 * CHOOSE(CONTROL!$C$23, $C$12, 100%, $E$12)</f>
        <v>5.1459999999999999</v>
      </c>
      <c r="C328" s="65">
        <f>5.146 * CHOOSE(CONTROL!$C$23, $C$12, 100%, $E$12)</f>
        <v>5.1459999999999999</v>
      </c>
      <c r="D328" s="65">
        <f>5.1499 * CHOOSE(CONTROL!$C$23, $C$12, 100%, $E$12)</f>
        <v>5.1498999999999997</v>
      </c>
      <c r="E328" s="66">
        <f>6.2686 * CHOOSE(CONTROL!$C$23, $C$12, 100%, $E$12)</f>
        <v>6.2686000000000002</v>
      </c>
      <c r="F328" s="66">
        <f>6.2686 * CHOOSE(CONTROL!$C$23, $C$12, 100%, $E$12)</f>
        <v>6.2686000000000002</v>
      </c>
      <c r="G328" s="66">
        <f>6.2735 * CHOOSE(CONTROL!$C$23, $C$12, 100%, $E$12)</f>
        <v>6.2735000000000003</v>
      </c>
      <c r="H328" s="66">
        <f>11.2941* CHOOSE(CONTROL!$C$23, $C$12, 100%, $E$12)</f>
        <v>11.2941</v>
      </c>
      <c r="I328" s="66">
        <f>11.299 * CHOOSE(CONTROL!$C$23, $C$12, 100%, $E$12)</f>
        <v>11.298999999999999</v>
      </c>
      <c r="J328" s="66">
        <f>11.2941 * CHOOSE(CONTROL!$C$23, $C$12, 100%, $E$12)</f>
        <v>11.2941</v>
      </c>
      <c r="K328" s="66">
        <f>11.299 * CHOOSE(CONTROL!$C$23, $C$12, 100%, $E$12)</f>
        <v>11.298999999999999</v>
      </c>
      <c r="L328" s="66">
        <f>6.2686 * CHOOSE(CONTROL!$C$23, $C$12, 100%, $E$12)</f>
        <v>6.2686000000000002</v>
      </c>
      <c r="M328" s="66">
        <f>6.2735 * CHOOSE(CONTROL!$C$23, $C$12, 100%, $E$12)</f>
        <v>6.2735000000000003</v>
      </c>
      <c r="N328" s="66">
        <f>6.2686 * CHOOSE(CONTROL!$C$23, $C$12, 100%, $E$12)</f>
        <v>6.2686000000000002</v>
      </c>
      <c r="O328" s="66">
        <f>6.2735 * CHOOSE(CONTROL!$C$23, $C$12, 100%, $E$12)</f>
        <v>6.2735000000000003</v>
      </c>
    </row>
    <row r="329" spans="1:15" ht="15">
      <c r="A329" s="13">
        <v>51167</v>
      </c>
      <c r="B329" s="65">
        <f>5.1429 * CHOOSE(CONTROL!$C$23, $C$12, 100%, $E$12)</f>
        <v>5.1429</v>
      </c>
      <c r="C329" s="65">
        <f>5.1429 * CHOOSE(CONTROL!$C$23, $C$12, 100%, $E$12)</f>
        <v>5.1429</v>
      </c>
      <c r="D329" s="65">
        <f>5.1469 * CHOOSE(CONTROL!$C$23, $C$12, 100%, $E$12)</f>
        <v>5.1468999999999996</v>
      </c>
      <c r="E329" s="66">
        <f>6.1681 * CHOOSE(CONTROL!$C$23, $C$12, 100%, $E$12)</f>
        <v>6.1680999999999999</v>
      </c>
      <c r="F329" s="66">
        <f>6.1681 * CHOOSE(CONTROL!$C$23, $C$12, 100%, $E$12)</f>
        <v>6.1680999999999999</v>
      </c>
      <c r="G329" s="66">
        <f>6.173 * CHOOSE(CONTROL!$C$23, $C$12, 100%, $E$12)</f>
        <v>6.173</v>
      </c>
      <c r="H329" s="66">
        <f>11.3176* CHOOSE(CONTROL!$C$23, $C$12, 100%, $E$12)</f>
        <v>11.317600000000001</v>
      </c>
      <c r="I329" s="66">
        <f>11.3225 * CHOOSE(CONTROL!$C$23, $C$12, 100%, $E$12)</f>
        <v>11.3225</v>
      </c>
      <c r="J329" s="66">
        <f>11.3176 * CHOOSE(CONTROL!$C$23, $C$12, 100%, $E$12)</f>
        <v>11.317600000000001</v>
      </c>
      <c r="K329" s="66">
        <f>11.3225 * CHOOSE(CONTROL!$C$23, $C$12, 100%, $E$12)</f>
        <v>11.3225</v>
      </c>
      <c r="L329" s="66">
        <f>6.1681 * CHOOSE(CONTROL!$C$23, $C$12, 100%, $E$12)</f>
        <v>6.1680999999999999</v>
      </c>
      <c r="M329" s="66">
        <f>6.173 * CHOOSE(CONTROL!$C$23, $C$12, 100%, $E$12)</f>
        <v>6.173</v>
      </c>
      <c r="N329" s="66">
        <f>6.1681 * CHOOSE(CONTROL!$C$23, $C$12, 100%, $E$12)</f>
        <v>6.1680999999999999</v>
      </c>
      <c r="O329" s="66">
        <f>6.173 * CHOOSE(CONTROL!$C$23, $C$12, 100%, $E$12)</f>
        <v>6.173</v>
      </c>
    </row>
    <row r="330" spans="1:15" ht="15">
      <c r="A330" s="13">
        <v>51196</v>
      </c>
      <c r="B330" s="65">
        <f>5.1399 * CHOOSE(CONTROL!$C$23, $C$12, 100%, $E$12)</f>
        <v>5.1398999999999999</v>
      </c>
      <c r="C330" s="65">
        <f>5.1399 * CHOOSE(CONTROL!$C$23, $C$12, 100%, $E$12)</f>
        <v>5.1398999999999999</v>
      </c>
      <c r="D330" s="65">
        <f>5.1439 * CHOOSE(CONTROL!$C$23, $C$12, 100%, $E$12)</f>
        <v>5.1439000000000004</v>
      </c>
      <c r="E330" s="66">
        <f>6.2435 * CHOOSE(CONTROL!$C$23, $C$12, 100%, $E$12)</f>
        <v>6.2435</v>
      </c>
      <c r="F330" s="66">
        <f>6.2435 * CHOOSE(CONTROL!$C$23, $C$12, 100%, $E$12)</f>
        <v>6.2435</v>
      </c>
      <c r="G330" s="66">
        <f>6.2485 * CHOOSE(CONTROL!$C$23, $C$12, 100%, $E$12)</f>
        <v>6.2484999999999999</v>
      </c>
      <c r="H330" s="66">
        <f>11.3412* CHOOSE(CONTROL!$C$23, $C$12, 100%, $E$12)</f>
        <v>11.341200000000001</v>
      </c>
      <c r="I330" s="66">
        <f>11.3461 * CHOOSE(CONTROL!$C$23, $C$12, 100%, $E$12)</f>
        <v>11.3461</v>
      </c>
      <c r="J330" s="66">
        <f>11.3412 * CHOOSE(CONTROL!$C$23, $C$12, 100%, $E$12)</f>
        <v>11.341200000000001</v>
      </c>
      <c r="K330" s="66">
        <f>11.3461 * CHOOSE(CONTROL!$C$23, $C$12, 100%, $E$12)</f>
        <v>11.3461</v>
      </c>
      <c r="L330" s="66">
        <f>6.2435 * CHOOSE(CONTROL!$C$23, $C$12, 100%, $E$12)</f>
        <v>6.2435</v>
      </c>
      <c r="M330" s="66">
        <f>6.2485 * CHOOSE(CONTROL!$C$23, $C$12, 100%, $E$12)</f>
        <v>6.2484999999999999</v>
      </c>
      <c r="N330" s="66">
        <f>6.2435 * CHOOSE(CONTROL!$C$23, $C$12, 100%, $E$12)</f>
        <v>6.2435</v>
      </c>
      <c r="O330" s="66">
        <f>6.2485 * CHOOSE(CONTROL!$C$23, $C$12, 100%, $E$12)</f>
        <v>6.2484999999999999</v>
      </c>
    </row>
    <row r="331" spans="1:15" ht="15">
      <c r="A331" s="13">
        <v>51227</v>
      </c>
      <c r="B331" s="65">
        <f>5.1385 * CHOOSE(CONTROL!$C$23, $C$12, 100%, $E$12)</f>
        <v>5.1384999999999996</v>
      </c>
      <c r="C331" s="65">
        <f>5.1385 * CHOOSE(CONTROL!$C$23, $C$12, 100%, $E$12)</f>
        <v>5.1384999999999996</v>
      </c>
      <c r="D331" s="65">
        <f>5.1425 * CHOOSE(CONTROL!$C$23, $C$12, 100%, $E$12)</f>
        <v>5.1425000000000001</v>
      </c>
      <c r="E331" s="66">
        <f>6.3226 * CHOOSE(CONTROL!$C$23, $C$12, 100%, $E$12)</f>
        <v>6.3226000000000004</v>
      </c>
      <c r="F331" s="66">
        <f>6.3226 * CHOOSE(CONTROL!$C$23, $C$12, 100%, $E$12)</f>
        <v>6.3226000000000004</v>
      </c>
      <c r="G331" s="66">
        <f>6.3275 * CHOOSE(CONTROL!$C$23, $C$12, 100%, $E$12)</f>
        <v>6.3274999999999997</v>
      </c>
      <c r="H331" s="66">
        <f>11.3648* CHOOSE(CONTROL!$C$23, $C$12, 100%, $E$12)</f>
        <v>11.364800000000001</v>
      </c>
      <c r="I331" s="66">
        <f>11.3697 * CHOOSE(CONTROL!$C$23, $C$12, 100%, $E$12)</f>
        <v>11.3697</v>
      </c>
      <c r="J331" s="66">
        <f>11.3648 * CHOOSE(CONTROL!$C$23, $C$12, 100%, $E$12)</f>
        <v>11.364800000000001</v>
      </c>
      <c r="K331" s="66">
        <f>11.3697 * CHOOSE(CONTROL!$C$23, $C$12, 100%, $E$12)</f>
        <v>11.3697</v>
      </c>
      <c r="L331" s="66">
        <f>6.3226 * CHOOSE(CONTROL!$C$23, $C$12, 100%, $E$12)</f>
        <v>6.3226000000000004</v>
      </c>
      <c r="M331" s="66">
        <f>6.3275 * CHOOSE(CONTROL!$C$23, $C$12, 100%, $E$12)</f>
        <v>6.3274999999999997</v>
      </c>
      <c r="N331" s="66">
        <f>6.3226 * CHOOSE(CONTROL!$C$23, $C$12, 100%, $E$12)</f>
        <v>6.3226000000000004</v>
      </c>
      <c r="O331" s="66">
        <f>6.3275 * CHOOSE(CONTROL!$C$23, $C$12, 100%, $E$12)</f>
        <v>6.3274999999999997</v>
      </c>
    </row>
    <row r="332" spans="1:15" ht="15">
      <c r="A332" s="13">
        <v>51257</v>
      </c>
      <c r="B332" s="65">
        <f>5.1385 * CHOOSE(CONTROL!$C$23, $C$12, 100%, $E$12)</f>
        <v>5.1384999999999996</v>
      </c>
      <c r="C332" s="65">
        <f>5.1385 * CHOOSE(CONTROL!$C$23, $C$12, 100%, $E$12)</f>
        <v>5.1384999999999996</v>
      </c>
      <c r="D332" s="65">
        <f>5.1441 * CHOOSE(CONTROL!$C$23, $C$12, 100%, $E$12)</f>
        <v>5.1440999999999999</v>
      </c>
      <c r="E332" s="66">
        <f>6.3538 * CHOOSE(CONTROL!$C$23, $C$12, 100%, $E$12)</f>
        <v>6.3537999999999997</v>
      </c>
      <c r="F332" s="66">
        <f>6.3538 * CHOOSE(CONTROL!$C$23, $C$12, 100%, $E$12)</f>
        <v>6.3537999999999997</v>
      </c>
      <c r="G332" s="66">
        <f>6.3607 * CHOOSE(CONTROL!$C$23, $C$12, 100%, $E$12)</f>
        <v>6.3606999999999996</v>
      </c>
      <c r="H332" s="66">
        <f>11.3885* CHOOSE(CONTROL!$C$23, $C$12, 100%, $E$12)</f>
        <v>11.388500000000001</v>
      </c>
      <c r="I332" s="66">
        <f>11.3954 * CHOOSE(CONTROL!$C$23, $C$12, 100%, $E$12)</f>
        <v>11.3954</v>
      </c>
      <c r="J332" s="66">
        <f>11.3885 * CHOOSE(CONTROL!$C$23, $C$12, 100%, $E$12)</f>
        <v>11.388500000000001</v>
      </c>
      <c r="K332" s="66">
        <f>11.3954 * CHOOSE(CONTROL!$C$23, $C$12, 100%, $E$12)</f>
        <v>11.3954</v>
      </c>
      <c r="L332" s="66">
        <f>6.3538 * CHOOSE(CONTROL!$C$23, $C$12, 100%, $E$12)</f>
        <v>6.3537999999999997</v>
      </c>
      <c r="M332" s="66">
        <f>6.3607 * CHOOSE(CONTROL!$C$23, $C$12, 100%, $E$12)</f>
        <v>6.3606999999999996</v>
      </c>
      <c r="N332" s="66">
        <f>6.3538 * CHOOSE(CONTROL!$C$23, $C$12, 100%, $E$12)</f>
        <v>6.3537999999999997</v>
      </c>
      <c r="O332" s="66">
        <f>6.3607 * CHOOSE(CONTROL!$C$23, $C$12, 100%, $E$12)</f>
        <v>6.3606999999999996</v>
      </c>
    </row>
    <row r="333" spans="1:15" ht="15">
      <c r="A333" s="13">
        <v>51288</v>
      </c>
      <c r="B333" s="65">
        <f>5.1446 * CHOOSE(CONTROL!$C$23, $C$12, 100%, $E$12)</f>
        <v>5.1445999999999996</v>
      </c>
      <c r="C333" s="65">
        <f>5.1446 * CHOOSE(CONTROL!$C$23, $C$12, 100%, $E$12)</f>
        <v>5.1445999999999996</v>
      </c>
      <c r="D333" s="65">
        <f>5.1502 * CHOOSE(CONTROL!$C$23, $C$12, 100%, $E$12)</f>
        <v>5.1501999999999999</v>
      </c>
      <c r="E333" s="66">
        <f>6.3268 * CHOOSE(CONTROL!$C$23, $C$12, 100%, $E$12)</f>
        <v>6.3268000000000004</v>
      </c>
      <c r="F333" s="66">
        <f>6.3268 * CHOOSE(CONTROL!$C$23, $C$12, 100%, $E$12)</f>
        <v>6.3268000000000004</v>
      </c>
      <c r="G333" s="66">
        <f>6.3337 * CHOOSE(CONTROL!$C$23, $C$12, 100%, $E$12)</f>
        <v>6.3337000000000003</v>
      </c>
      <c r="H333" s="66">
        <f>11.4122* CHOOSE(CONTROL!$C$23, $C$12, 100%, $E$12)</f>
        <v>11.4122</v>
      </c>
      <c r="I333" s="66">
        <f>11.4191 * CHOOSE(CONTROL!$C$23, $C$12, 100%, $E$12)</f>
        <v>11.4191</v>
      </c>
      <c r="J333" s="66">
        <f>11.4122 * CHOOSE(CONTROL!$C$23, $C$12, 100%, $E$12)</f>
        <v>11.4122</v>
      </c>
      <c r="K333" s="66">
        <f>11.4191 * CHOOSE(CONTROL!$C$23, $C$12, 100%, $E$12)</f>
        <v>11.4191</v>
      </c>
      <c r="L333" s="66">
        <f>6.3268 * CHOOSE(CONTROL!$C$23, $C$12, 100%, $E$12)</f>
        <v>6.3268000000000004</v>
      </c>
      <c r="M333" s="66">
        <f>6.3337 * CHOOSE(CONTROL!$C$23, $C$12, 100%, $E$12)</f>
        <v>6.3337000000000003</v>
      </c>
      <c r="N333" s="66">
        <f>6.3268 * CHOOSE(CONTROL!$C$23, $C$12, 100%, $E$12)</f>
        <v>6.3268000000000004</v>
      </c>
      <c r="O333" s="66">
        <f>6.3337 * CHOOSE(CONTROL!$C$23, $C$12, 100%, $E$12)</f>
        <v>6.3337000000000003</v>
      </c>
    </row>
    <row r="334" spans="1:15" ht="15">
      <c r="A334" s="13">
        <v>51318</v>
      </c>
      <c r="B334" s="65">
        <f>5.2293 * CHOOSE(CONTROL!$C$23, $C$12, 100%, $E$12)</f>
        <v>5.2293000000000003</v>
      </c>
      <c r="C334" s="65">
        <f>5.2293 * CHOOSE(CONTROL!$C$23, $C$12, 100%, $E$12)</f>
        <v>5.2293000000000003</v>
      </c>
      <c r="D334" s="65">
        <f>5.235 * CHOOSE(CONTROL!$C$23, $C$12, 100%, $E$12)</f>
        <v>5.2350000000000003</v>
      </c>
      <c r="E334" s="66">
        <f>6.4346 * CHOOSE(CONTROL!$C$23, $C$12, 100%, $E$12)</f>
        <v>6.4345999999999997</v>
      </c>
      <c r="F334" s="66">
        <f>6.4346 * CHOOSE(CONTROL!$C$23, $C$12, 100%, $E$12)</f>
        <v>6.4345999999999997</v>
      </c>
      <c r="G334" s="66">
        <f>6.4415 * CHOOSE(CONTROL!$C$23, $C$12, 100%, $E$12)</f>
        <v>6.4414999999999996</v>
      </c>
      <c r="H334" s="66">
        <f>11.436* CHOOSE(CONTROL!$C$23, $C$12, 100%, $E$12)</f>
        <v>11.436</v>
      </c>
      <c r="I334" s="66">
        <f>11.4429 * CHOOSE(CONTROL!$C$23, $C$12, 100%, $E$12)</f>
        <v>11.4429</v>
      </c>
      <c r="J334" s="66">
        <f>11.436 * CHOOSE(CONTROL!$C$23, $C$12, 100%, $E$12)</f>
        <v>11.436</v>
      </c>
      <c r="K334" s="66">
        <f>11.4429 * CHOOSE(CONTROL!$C$23, $C$12, 100%, $E$12)</f>
        <v>11.4429</v>
      </c>
      <c r="L334" s="66">
        <f>6.4346 * CHOOSE(CONTROL!$C$23, $C$12, 100%, $E$12)</f>
        <v>6.4345999999999997</v>
      </c>
      <c r="M334" s="66">
        <f>6.4415 * CHOOSE(CONTROL!$C$23, $C$12, 100%, $E$12)</f>
        <v>6.4414999999999996</v>
      </c>
      <c r="N334" s="66">
        <f>6.4346 * CHOOSE(CONTROL!$C$23, $C$12, 100%, $E$12)</f>
        <v>6.4345999999999997</v>
      </c>
      <c r="O334" s="66">
        <f>6.4415 * CHOOSE(CONTROL!$C$23, $C$12, 100%, $E$12)</f>
        <v>6.4414999999999996</v>
      </c>
    </row>
    <row r="335" spans="1:15" ht="15">
      <c r="A335" s="13">
        <v>51349</v>
      </c>
      <c r="B335" s="65">
        <f>5.236 * CHOOSE(CONTROL!$C$23, $C$12, 100%, $E$12)</f>
        <v>5.2359999999999998</v>
      </c>
      <c r="C335" s="65">
        <f>5.236 * CHOOSE(CONTROL!$C$23, $C$12, 100%, $E$12)</f>
        <v>5.2359999999999998</v>
      </c>
      <c r="D335" s="65">
        <f>5.2416 * CHOOSE(CONTROL!$C$23, $C$12, 100%, $E$12)</f>
        <v>5.2416</v>
      </c>
      <c r="E335" s="66">
        <f>6.3455 * CHOOSE(CONTROL!$C$23, $C$12, 100%, $E$12)</f>
        <v>6.3455000000000004</v>
      </c>
      <c r="F335" s="66">
        <f>6.3455 * CHOOSE(CONTROL!$C$23, $C$12, 100%, $E$12)</f>
        <v>6.3455000000000004</v>
      </c>
      <c r="G335" s="66">
        <f>6.3524 * CHOOSE(CONTROL!$C$23, $C$12, 100%, $E$12)</f>
        <v>6.3524000000000003</v>
      </c>
      <c r="H335" s="66">
        <f>11.4598* CHOOSE(CONTROL!$C$23, $C$12, 100%, $E$12)</f>
        <v>11.4598</v>
      </c>
      <c r="I335" s="66">
        <f>11.4667 * CHOOSE(CONTROL!$C$23, $C$12, 100%, $E$12)</f>
        <v>11.466699999999999</v>
      </c>
      <c r="J335" s="66">
        <f>11.4598 * CHOOSE(CONTROL!$C$23, $C$12, 100%, $E$12)</f>
        <v>11.4598</v>
      </c>
      <c r="K335" s="66">
        <f>11.4667 * CHOOSE(CONTROL!$C$23, $C$12, 100%, $E$12)</f>
        <v>11.466699999999999</v>
      </c>
      <c r="L335" s="66">
        <f>6.3455 * CHOOSE(CONTROL!$C$23, $C$12, 100%, $E$12)</f>
        <v>6.3455000000000004</v>
      </c>
      <c r="M335" s="66">
        <f>6.3524 * CHOOSE(CONTROL!$C$23, $C$12, 100%, $E$12)</f>
        <v>6.3524000000000003</v>
      </c>
      <c r="N335" s="66">
        <f>6.3455 * CHOOSE(CONTROL!$C$23, $C$12, 100%, $E$12)</f>
        <v>6.3455000000000004</v>
      </c>
      <c r="O335" s="66">
        <f>6.3524 * CHOOSE(CONTROL!$C$23, $C$12, 100%, $E$12)</f>
        <v>6.3524000000000003</v>
      </c>
    </row>
    <row r="336" spans="1:15" ht="15">
      <c r="A336" s="13">
        <v>51380</v>
      </c>
      <c r="B336" s="65">
        <f>5.233 * CHOOSE(CONTROL!$C$23, $C$12, 100%, $E$12)</f>
        <v>5.2329999999999997</v>
      </c>
      <c r="C336" s="65">
        <f>5.233 * CHOOSE(CONTROL!$C$23, $C$12, 100%, $E$12)</f>
        <v>5.2329999999999997</v>
      </c>
      <c r="D336" s="65">
        <f>5.2386 * CHOOSE(CONTROL!$C$23, $C$12, 100%, $E$12)</f>
        <v>5.2385999999999999</v>
      </c>
      <c r="E336" s="66">
        <f>6.333 * CHOOSE(CONTROL!$C$23, $C$12, 100%, $E$12)</f>
        <v>6.3330000000000002</v>
      </c>
      <c r="F336" s="66">
        <f>6.333 * CHOOSE(CONTROL!$C$23, $C$12, 100%, $E$12)</f>
        <v>6.3330000000000002</v>
      </c>
      <c r="G336" s="66">
        <f>6.3399 * CHOOSE(CONTROL!$C$23, $C$12, 100%, $E$12)</f>
        <v>6.3399000000000001</v>
      </c>
      <c r="H336" s="66">
        <f>11.4837* CHOOSE(CONTROL!$C$23, $C$12, 100%, $E$12)</f>
        <v>11.483700000000001</v>
      </c>
      <c r="I336" s="66">
        <f>11.4906 * CHOOSE(CONTROL!$C$23, $C$12, 100%, $E$12)</f>
        <v>11.490600000000001</v>
      </c>
      <c r="J336" s="66">
        <f>11.4837 * CHOOSE(CONTROL!$C$23, $C$12, 100%, $E$12)</f>
        <v>11.483700000000001</v>
      </c>
      <c r="K336" s="66">
        <f>11.4906 * CHOOSE(CONTROL!$C$23, $C$12, 100%, $E$12)</f>
        <v>11.490600000000001</v>
      </c>
      <c r="L336" s="66">
        <f>6.333 * CHOOSE(CONTROL!$C$23, $C$12, 100%, $E$12)</f>
        <v>6.3330000000000002</v>
      </c>
      <c r="M336" s="66">
        <f>6.3399 * CHOOSE(CONTROL!$C$23, $C$12, 100%, $E$12)</f>
        <v>6.3399000000000001</v>
      </c>
      <c r="N336" s="66">
        <f>6.333 * CHOOSE(CONTROL!$C$23, $C$12, 100%, $E$12)</f>
        <v>6.3330000000000002</v>
      </c>
      <c r="O336" s="66">
        <f>6.3399 * CHOOSE(CONTROL!$C$23, $C$12, 100%, $E$12)</f>
        <v>6.3399000000000001</v>
      </c>
    </row>
    <row r="337" spans="1:15" ht="15">
      <c r="A337" s="13">
        <v>51410</v>
      </c>
      <c r="B337" s="65">
        <f>5.2321 * CHOOSE(CONTROL!$C$23, $C$12, 100%, $E$12)</f>
        <v>5.2321</v>
      </c>
      <c r="C337" s="65">
        <f>5.2321 * CHOOSE(CONTROL!$C$23, $C$12, 100%, $E$12)</f>
        <v>5.2321</v>
      </c>
      <c r="D337" s="65">
        <f>5.2361 * CHOOSE(CONTROL!$C$23, $C$12, 100%, $E$12)</f>
        <v>5.2361000000000004</v>
      </c>
      <c r="E337" s="66">
        <f>6.3612 * CHOOSE(CONTROL!$C$23, $C$12, 100%, $E$12)</f>
        <v>6.3612000000000002</v>
      </c>
      <c r="F337" s="66">
        <f>6.3612 * CHOOSE(CONTROL!$C$23, $C$12, 100%, $E$12)</f>
        <v>6.3612000000000002</v>
      </c>
      <c r="G337" s="66">
        <f>6.3661 * CHOOSE(CONTROL!$C$23, $C$12, 100%, $E$12)</f>
        <v>6.3661000000000003</v>
      </c>
      <c r="H337" s="66">
        <f>11.5076* CHOOSE(CONTROL!$C$23, $C$12, 100%, $E$12)</f>
        <v>11.5076</v>
      </c>
      <c r="I337" s="66">
        <f>11.5125 * CHOOSE(CONTROL!$C$23, $C$12, 100%, $E$12)</f>
        <v>11.512499999999999</v>
      </c>
      <c r="J337" s="66">
        <f>11.5076 * CHOOSE(CONTROL!$C$23, $C$12, 100%, $E$12)</f>
        <v>11.5076</v>
      </c>
      <c r="K337" s="66">
        <f>11.5125 * CHOOSE(CONTROL!$C$23, $C$12, 100%, $E$12)</f>
        <v>11.512499999999999</v>
      </c>
      <c r="L337" s="66">
        <f>6.3612 * CHOOSE(CONTROL!$C$23, $C$12, 100%, $E$12)</f>
        <v>6.3612000000000002</v>
      </c>
      <c r="M337" s="66">
        <f>6.3661 * CHOOSE(CONTROL!$C$23, $C$12, 100%, $E$12)</f>
        <v>6.3661000000000003</v>
      </c>
      <c r="N337" s="66">
        <f>6.3612 * CHOOSE(CONTROL!$C$23, $C$12, 100%, $E$12)</f>
        <v>6.3612000000000002</v>
      </c>
      <c r="O337" s="66">
        <f>6.3661 * CHOOSE(CONTROL!$C$23, $C$12, 100%, $E$12)</f>
        <v>6.3661000000000003</v>
      </c>
    </row>
    <row r="338" spans="1:15" ht="15">
      <c r="A338" s="13">
        <v>51441</v>
      </c>
      <c r="B338" s="65">
        <f>5.2352 * CHOOSE(CONTROL!$C$23, $C$12, 100%, $E$12)</f>
        <v>5.2351999999999999</v>
      </c>
      <c r="C338" s="65">
        <f>5.2352 * CHOOSE(CONTROL!$C$23, $C$12, 100%, $E$12)</f>
        <v>5.2351999999999999</v>
      </c>
      <c r="D338" s="65">
        <f>5.2392 * CHOOSE(CONTROL!$C$23, $C$12, 100%, $E$12)</f>
        <v>5.2392000000000003</v>
      </c>
      <c r="E338" s="66">
        <f>6.3842 * CHOOSE(CONTROL!$C$23, $C$12, 100%, $E$12)</f>
        <v>6.3841999999999999</v>
      </c>
      <c r="F338" s="66">
        <f>6.3842 * CHOOSE(CONTROL!$C$23, $C$12, 100%, $E$12)</f>
        <v>6.3841999999999999</v>
      </c>
      <c r="G338" s="66">
        <f>6.3891 * CHOOSE(CONTROL!$C$23, $C$12, 100%, $E$12)</f>
        <v>6.3891</v>
      </c>
      <c r="H338" s="66">
        <f>11.5316* CHOOSE(CONTROL!$C$23, $C$12, 100%, $E$12)</f>
        <v>11.531599999999999</v>
      </c>
      <c r="I338" s="66">
        <f>11.5365 * CHOOSE(CONTROL!$C$23, $C$12, 100%, $E$12)</f>
        <v>11.5365</v>
      </c>
      <c r="J338" s="66">
        <f>11.5316 * CHOOSE(CONTROL!$C$23, $C$12, 100%, $E$12)</f>
        <v>11.531599999999999</v>
      </c>
      <c r="K338" s="66">
        <f>11.5365 * CHOOSE(CONTROL!$C$23, $C$12, 100%, $E$12)</f>
        <v>11.5365</v>
      </c>
      <c r="L338" s="66">
        <f>6.3842 * CHOOSE(CONTROL!$C$23, $C$12, 100%, $E$12)</f>
        <v>6.3841999999999999</v>
      </c>
      <c r="M338" s="66">
        <f>6.3891 * CHOOSE(CONTROL!$C$23, $C$12, 100%, $E$12)</f>
        <v>6.3891</v>
      </c>
      <c r="N338" s="66">
        <f>6.3842 * CHOOSE(CONTROL!$C$23, $C$12, 100%, $E$12)</f>
        <v>6.3841999999999999</v>
      </c>
      <c r="O338" s="66">
        <f>6.3891 * CHOOSE(CONTROL!$C$23, $C$12, 100%, $E$12)</f>
        <v>6.3891</v>
      </c>
    </row>
    <row r="339" spans="1:15" ht="15">
      <c r="A339" s="13">
        <v>51471</v>
      </c>
      <c r="B339" s="65">
        <f>5.2352 * CHOOSE(CONTROL!$C$23, $C$12, 100%, $E$12)</f>
        <v>5.2351999999999999</v>
      </c>
      <c r="C339" s="65">
        <f>5.2352 * CHOOSE(CONTROL!$C$23, $C$12, 100%, $E$12)</f>
        <v>5.2351999999999999</v>
      </c>
      <c r="D339" s="65">
        <f>5.2392 * CHOOSE(CONTROL!$C$23, $C$12, 100%, $E$12)</f>
        <v>5.2392000000000003</v>
      </c>
      <c r="E339" s="66">
        <f>6.3321 * CHOOSE(CONTROL!$C$23, $C$12, 100%, $E$12)</f>
        <v>6.3320999999999996</v>
      </c>
      <c r="F339" s="66">
        <f>6.3321 * CHOOSE(CONTROL!$C$23, $C$12, 100%, $E$12)</f>
        <v>6.3320999999999996</v>
      </c>
      <c r="G339" s="66">
        <f>6.337 * CHOOSE(CONTROL!$C$23, $C$12, 100%, $E$12)</f>
        <v>6.3369999999999997</v>
      </c>
      <c r="H339" s="66">
        <f>11.5556* CHOOSE(CONTROL!$C$23, $C$12, 100%, $E$12)</f>
        <v>11.5556</v>
      </c>
      <c r="I339" s="66">
        <f>11.5605 * CHOOSE(CONTROL!$C$23, $C$12, 100%, $E$12)</f>
        <v>11.560499999999999</v>
      </c>
      <c r="J339" s="66">
        <f>11.5556 * CHOOSE(CONTROL!$C$23, $C$12, 100%, $E$12)</f>
        <v>11.5556</v>
      </c>
      <c r="K339" s="66">
        <f>11.5605 * CHOOSE(CONTROL!$C$23, $C$12, 100%, $E$12)</f>
        <v>11.560499999999999</v>
      </c>
      <c r="L339" s="66">
        <f>6.3321 * CHOOSE(CONTROL!$C$23, $C$12, 100%, $E$12)</f>
        <v>6.3320999999999996</v>
      </c>
      <c r="M339" s="66">
        <f>6.337 * CHOOSE(CONTROL!$C$23, $C$12, 100%, $E$12)</f>
        <v>6.3369999999999997</v>
      </c>
      <c r="N339" s="66">
        <f>6.3321 * CHOOSE(CONTROL!$C$23, $C$12, 100%, $E$12)</f>
        <v>6.3320999999999996</v>
      </c>
      <c r="O339" s="66">
        <f>6.337 * CHOOSE(CONTROL!$C$23, $C$12, 100%, $E$12)</f>
        <v>6.3369999999999997</v>
      </c>
    </row>
    <row r="340" spans="1:15" ht="15">
      <c r="A340" s="13">
        <v>51502</v>
      </c>
      <c r="B340" s="65">
        <f>5.2816 * CHOOSE(CONTROL!$C$23, $C$12, 100%, $E$12)</f>
        <v>5.2816000000000001</v>
      </c>
      <c r="C340" s="65">
        <f>5.2816 * CHOOSE(CONTROL!$C$23, $C$12, 100%, $E$12)</f>
        <v>5.2816000000000001</v>
      </c>
      <c r="D340" s="65">
        <f>5.2856 * CHOOSE(CONTROL!$C$23, $C$12, 100%, $E$12)</f>
        <v>5.2855999999999996</v>
      </c>
      <c r="E340" s="66">
        <f>6.4218 * CHOOSE(CONTROL!$C$23, $C$12, 100%, $E$12)</f>
        <v>6.4218000000000002</v>
      </c>
      <c r="F340" s="66">
        <f>6.4218 * CHOOSE(CONTROL!$C$23, $C$12, 100%, $E$12)</f>
        <v>6.4218000000000002</v>
      </c>
      <c r="G340" s="66">
        <f>6.4267 * CHOOSE(CONTROL!$C$23, $C$12, 100%, $E$12)</f>
        <v>6.4267000000000003</v>
      </c>
      <c r="H340" s="66">
        <f>11.5797* CHOOSE(CONTROL!$C$23, $C$12, 100%, $E$12)</f>
        <v>11.579700000000001</v>
      </c>
      <c r="I340" s="66">
        <f>11.5846 * CHOOSE(CONTROL!$C$23, $C$12, 100%, $E$12)</f>
        <v>11.5846</v>
      </c>
      <c r="J340" s="66">
        <f>11.5797 * CHOOSE(CONTROL!$C$23, $C$12, 100%, $E$12)</f>
        <v>11.579700000000001</v>
      </c>
      <c r="K340" s="66">
        <f>11.5846 * CHOOSE(CONTROL!$C$23, $C$12, 100%, $E$12)</f>
        <v>11.5846</v>
      </c>
      <c r="L340" s="66">
        <f>6.4218 * CHOOSE(CONTROL!$C$23, $C$12, 100%, $E$12)</f>
        <v>6.4218000000000002</v>
      </c>
      <c r="M340" s="66">
        <f>6.4267 * CHOOSE(CONTROL!$C$23, $C$12, 100%, $E$12)</f>
        <v>6.4267000000000003</v>
      </c>
      <c r="N340" s="66">
        <f>6.4218 * CHOOSE(CONTROL!$C$23, $C$12, 100%, $E$12)</f>
        <v>6.4218000000000002</v>
      </c>
      <c r="O340" s="66">
        <f>6.4267 * CHOOSE(CONTROL!$C$23, $C$12, 100%, $E$12)</f>
        <v>6.4267000000000003</v>
      </c>
    </row>
    <row r="341" spans="1:15" ht="15">
      <c r="A341" s="13">
        <v>51533</v>
      </c>
      <c r="B341" s="65">
        <f>5.2786 * CHOOSE(CONTROL!$C$23, $C$12, 100%, $E$12)</f>
        <v>5.2786</v>
      </c>
      <c r="C341" s="65">
        <f>5.2786 * CHOOSE(CONTROL!$C$23, $C$12, 100%, $E$12)</f>
        <v>5.2786</v>
      </c>
      <c r="D341" s="65">
        <f>5.2826 * CHOOSE(CONTROL!$C$23, $C$12, 100%, $E$12)</f>
        <v>5.2826000000000004</v>
      </c>
      <c r="E341" s="66">
        <f>6.3185 * CHOOSE(CONTROL!$C$23, $C$12, 100%, $E$12)</f>
        <v>6.3185000000000002</v>
      </c>
      <c r="F341" s="66">
        <f>6.3185 * CHOOSE(CONTROL!$C$23, $C$12, 100%, $E$12)</f>
        <v>6.3185000000000002</v>
      </c>
      <c r="G341" s="66">
        <f>6.3234 * CHOOSE(CONTROL!$C$23, $C$12, 100%, $E$12)</f>
        <v>6.3234000000000004</v>
      </c>
      <c r="H341" s="66">
        <f>11.6038* CHOOSE(CONTROL!$C$23, $C$12, 100%, $E$12)</f>
        <v>11.6038</v>
      </c>
      <c r="I341" s="66">
        <f>11.6087 * CHOOSE(CONTROL!$C$23, $C$12, 100%, $E$12)</f>
        <v>11.608700000000001</v>
      </c>
      <c r="J341" s="66">
        <f>11.6038 * CHOOSE(CONTROL!$C$23, $C$12, 100%, $E$12)</f>
        <v>11.6038</v>
      </c>
      <c r="K341" s="66">
        <f>11.6087 * CHOOSE(CONTROL!$C$23, $C$12, 100%, $E$12)</f>
        <v>11.608700000000001</v>
      </c>
      <c r="L341" s="66">
        <f>6.3185 * CHOOSE(CONTROL!$C$23, $C$12, 100%, $E$12)</f>
        <v>6.3185000000000002</v>
      </c>
      <c r="M341" s="66">
        <f>6.3234 * CHOOSE(CONTROL!$C$23, $C$12, 100%, $E$12)</f>
        <v>6.3234000000000004</v>
      </c>
      <c r="N341" s="66">
        <f>6.3185 * CHOOSE(CONTROL!$C$23, $C$12, 100%, $E$12)</f>
        <v>6.3185000000000002</v>
      </c>
      <c r="O341" s="66">
        <f>6.3234 * CHOOSE(CONTROL!$C$23, $C$12, 100%, $E$12)</f>
        <v>6.3234000000000004</v>
      </c>
    </row>
    <row r="342" spans="1:15" ht="15">
      <c r="A342" s="13">
        <v>51561</v>
      </c>
      <c r="B342" s="65">
        <f>5.2755 * CHOOSE(CONTROL!$C$23, $C$12, 100%, $E$12)</f>
        <v>5.2755000000000001</v>
      </c>
      <c r="C342" s="65">
        <f>5.2755 * CHOOSE(CONTROL!$C$23, $C$12, 100%, $E$12)</f>
        <v>5.2755000000000001</v>
      </c>
      <c r="D342" s="65">
        <f>5.2795 * CHOOSE(CONTROL!$C$23, $C$12, 100%, $E$12)</f>
        <v>5.2794999999999996</v>
      </c>
      <c r="E342" s="66">
        <f>6.3961 * CHOOSE(CONTROL!$C$23, $C$12, 100%, $E$12)</f>
        <v>6.3960999999999997</v>
      </c>
      <c r="F342" s="66">
        <f>6.3961 * CHOOSE(CONTROL!$C$23, $C$12, 100%, $E$12)</f>
        <v>6.3960999999999997</v>
      </c>
      <c r="G342" s="66">
        <f>6.4011 * CHOOSE(CONTROL!$C$23, $C$12, 100%, $E$12)</f>
        <v>6.4010999999999996</v>
      </c>
      <c r="H342" s="66">
        <f>11.628* CHOOSE(CONTROL!$C$23, $C$12, 100%, $E$12)</f>
        <v>11.628</v>
      </c>
      <c r="I342" s="66">
        <f>11.6329 * CHOOSE(CONTROL!$C$23, $C$12, 100%, $E$12)</f>
        <v>11.632899999999999</v>
      </c>
      <c r="J342" s="66">
        <f>11.628 * CHOOSE(CONTROL!$C$23, $C$12, 100%, $E$12)</f>
        <v>11.628</v>
      </c>
      <c r="K342" s="66">
        <f>11.6329 * CHOOSE(CONTROL!$C$23, $C$12, 100%, $E$12)</f>
        <v>11.632899999999999</v>
      </c>
      <c r="L342" s="66">
        <f>6.3961 * CHOOSE(CONTROL!$C$23, $C$12, 100%, $E$12)</f>
        <v>6.3960999999999997</v>
      </c>
      <c r="M342" s="66">
        <f>6.4011 * CHOOSE(CONTROL!$C$23, $C$12, 100%, $E$12)</f>
        <v>6.4010999999999996</v>
      </c>
      <c r="N342" s="66">
        <f>6.3961 * CHOOSE(CONTROL!$C$23, $C$12, 100%, $E$12)</f>
        <v>6.3960999999999997</v>
      </c>
      <c r="O342" s="66">
        <f>6.4011 * CHOOSE(CONTROL!$C$23, $C$12, 100%, $E$12)</f>
        <v>6.4010999999999996</v>
      </c>
    </row>
    <row r="343" spans="1:15" ht="15">
      <c r="A343" s="13">
        <v>51592</v>
      </c>
      <c r="B343" s="65">
        <f>5.2743 * CHOOSE(CONTROL!$C$23, $C$12, 100%, $E$12)</f>
        <v>5.2743000000000002</v>
      </c>
      <c r="C343" s="65">
        <f>5.2743 * CHOOSE(CONTROL!$C$23, $C$12, 100%, $E$12)</f>
        <v>5.2743000000000002</v>
      </c>
      <c r="D343" s="65">
        <f>5.2783 * CHOOSE(CONTROL!$C$23, $C$12, 100%, $E$12)</f>
        <v>5.2782999999999998</v>
      </c>
      <c r="E343" s="66">
        <f>6.4775 * CHOOSE(CONTROL!$C$23, $C$12, 100%, $E$12)</f>
        <v>6.4775</v>
      </c>
      <c r="F343" s="66">
        <f>6.4775 * CHOOSE(CONTROL!$C$23, $C$12, 100%, $E$12)</f>
        <v>6.4775</v>
      </c>
      <c r="G343" s="66">
        <f>6.4825 * CHOOSE(CONTROL!$C$23, $C$12, 100%, $E$12)</f>
        <v>6.4824999999999999</v>
      </c>
      <c r="H343" s="66">
        <f>11.6522* CHOOSE(CONTROL!$C$23, $C$12, 100%, $E$12)</f>
        <v>11.652200000000001</v>
      </c>
      <c r="I343" s="66">
        <f>11.6571 * CHOOSE(CONTROL!$C$23, $C$12, 100%, $E$12)</f>
        <v>11.6571</v>
      </c>
      <c r="J343" s="66">
        <f>11.6522 * CHOOSE(CONTROL!$C$23, $C$12, 100%, $E$12)</f>
        <v>11.652200000000001</v>
      </c>
      <c r="K343" s="66">
        <f>11.6571 * CHOOSE(CONTROL!$C$23, $C$12, 100%, $E$12)</f>
        <v>11.6571</v>
      </c>
      <c r="L343" s="66">
        <f>6.4775 * CHOOSE(CONTROL!$C$23, $C$12, 100%, $E$12)</f>
        <v>6.4775</v>
      </c>
      <c r="M343" s="66">
        <f>6.4825 * CHOOSE(CONTROL!$C$23, $C$12, 100%, $E$12)</f>
        <v>6.4824999999999999</v>
      </c>
      <c r="N343" s="66">
        <f>6.4775 * CHOOSE(CONTROL!$C$23, $C$12, 100%, $E$12)</f>
        <v>6.4775</v>
      </c>
      <c r="O343" s="66">
        <f>6.4825 * CHOOSE(CONTROL!$C$23, $C$12, 100%, $E$12)</f>
        <v>6.4824999999999999</v>
      </c>
    </row>
    <row r="344" spans="1:15" ht="15">
      <c r="A344" s="13">
        <v>51622</v>
      </c>
      <c r="B344" s="65">
        <f>5.2743 * CHOOSE(CONTROL!$C$23, $C$12, 100%, $E$12)</f>
        <v>5.2743000000000002</v>
      </c>
      <c r="C344" s="65">
        <f>5.2743 * CHOOSE(CONTROL!$C$23, $C$12, 100%, $E$12)</f>
        <v>5.2743000000000002</v>
      </c>
      <c r="D344" s="65">
        <f>5.2799 * CHOOSE(CONTROL!$C$23, $C$12, 100%, $E$12)</f>
        <v>5.2798999999999996</v>
      </c>
      <c r="E344" s="66">
        <f>6.5097 * CHOOSE(CONTROL!$C$23, $C$12, 100%, $E$12)</f>
        <v>6.5096999999999996</v>
      </c>
      <c r="F344" s="66">
        <f>6.5097 * CHOOSE(CONTROL!$C$23, $C$12, 100%, $E$12)</f>
        <v>6.5096999999999996</v>
      </c>
      <c r="G344" s="66">
        <f>6.5166 * CHOOSE(CONTROL!$C$23, $C$12, 100%, $E$12)</f>
        <v>6.5166000000000004</v>
      </c>
      <c r="H344" s="66">
        <f>11.6765* CHOOSE(CONTROL!$C$23, $C$12, 100%, $E$12)</f>
        <v>11.676500000000001</v>
      </c>
      <c r="I344" s="66">
        <f>11.6834 * CHOOSE(CONTROL!$C$23, $C$12, 100%, $E$12)</f>
        <v>11.683400000000001</v>
      </c>
      <c r="J344" s="66">
        <f>11.6765 * CHOOSE(CONTROL!$C$23, $C$12, 100%, $E$12)</f>
        <v>11.676500000000001</v>
      </c>
      <c r="K344" s="66">
        <f>11.6834 * CHOOSE(CONTROL!$C$23, $C$12, 100%, $E$12)</f>
        <v>11.683400000000001</v>
      </c>
      <c r="L344" s="66">
        <f>6.5097 * CHOOSE(CONTROL!$C$23, $C$12, 100%, $E$12)</f>
        <v>6.5096999999999996</v>
      </c>
      <c r="M344" s="66">
        <f>6.5166 * CHOOSE(CONTROL!$C$23, $C$12, 100%, $E$12)</f>
        <v>6.5166000000000004</v>
      </c>
      <c r="N344" s="66">
        <f>6.5097 * CHOOSE(CONTROL!$C$23, $C$12, 100%, $E$12)</f>
        <v>6.5096999999999996</v>
      </c>
      <c r="O344" s="66">
        <f>6.5166 * CHOOSE(CONTROL!$C$23, $C$12, 100%, $E$12)</f>
        <v>6.5166000000000004</v>
      </c>
    </row>
    <row r="345" spans="1:15" ht="15">
      <c r="A345" s="13">
        <v>51653</v>
      </c>
      <c r="B345" s="65">
        <f>5.2804 * CHOOSE(CONTROL!$C$23, $C$12, 100%, $E$12)</f>
        <v>5.2804000000000002</v>
      </c>
      <c r="C345" s="65">
        <f>5.2804 * CHOOSE(CONTROL!$C$23, $C$12, 100%, $E$12)</f>
        <v>5.2804000000000002</v>
      </c>
      <c r="D345" s="65">
        <f>5.286 * CHOOSE(CONTROL!$C$23, $C$12, 100%, $E$12)</f>
        <v>5.2859999999999996</v>
      </c>
      <c r="E345" s="66">
        <f>6.4818 * CHOOSE(CONTROL!$C$23, $C$12, 100%, $E$12)</f>
        <v>6.4817999999999998</v>
      </c>
      <c r="F345" s="66">
        <f>6.4818 * CHOOSE(CONTROL!$C$23, $C$12, 100%, $E$12)</f>
        <v>6.4817999999999998</v>
      </c>
      <c r="G345" s="66">
        <f>6.4887 * CHOOSE(CONTROL!$C$23, $C$12, 100%, $E$12)</f>
        <v>6.4886999999999997</v>
      </c>
      <c r="H345" s="66">
        <f>11.7008* CHOOSE(CONTROL!$C$23, $C$12, 100%, $E$12)</f>
        <v>11.700799999999999</v>
      </c>
      <c r="I345" s="66">
        <f>11.7077 * CHOOSE(CONTROL!$C$23, $C$12, 100%, $E$12)</f>
        <v>11.707700000000001</v>
      </c>
      <c r="J345" s="66">
        <f>11.7008 * CHOOSE(CONTROL!$C$23, $C$12, 100%, $E$12)</f>
        <v>11.700799999999999</v>
      </c>
      <c r="K345" s="66">
        <f>11.7077 * CHOOSE(CONTROL!$C$23, $C$12, 100%, $E$12)</f>
        <v>11.707700000000001</v>
      </c>
      <c r="L345" s="66">
        <f>6.4818 * CHOOSE(CONTROL!$C$23, $C$12, 100%, $E$12)</f>
        <v>6.4817999999999998</v>
      </c>
      <c r="M345" s="66">
        <f>6.4887 * CHOOSE(CONTROL!$C$23, $C$12, 100%, $E$12)</f>
        <v>6.4886999999999997</v>
      </c>
      <c r="N345" s="66">
        <f>6.4818 * CHOOSE(CONTROL!$C$23, $C$12, 100%, $E$12)</f>
        <v>6.4817999999999998</v>
      </c>
      <c r="O345" s="66">
        <f>6.4887 * CHOOSE(CONTROL!$C$23, $C$12, 100%, $E$12)</f>
        <v>6.4886999999999997</v>
      </c>
    </row>
    <row r="346" spans="1:15" ht="15">
      <c r="A346" s="13">
        <v>51683</v>
      </c>
      <c r="B346" s="65">
        <f>5.3669 * CHOOSE(CONTROL!$C$23, $C$12, 100%, $E$12)</f>
        <v>5.3669000000000002</v>
      </c>
      <c r="C346" s="65">
        <f>5.3669 * CHOOSE(CONTROL!$C$23, $C$12, 100%, $E$12)</f>
        <v>5.3669000000000002</v>
      </c>
      <c r="D346" s="65">
        <f>5.3725 * CHOOSE(CONTROL!$C$23, $C$12, 100%, $E$12)</f>
        <v>5.3724999999999996</v>
      </c>
      <c r="E346" s="66">
        <f>6.5916 * CHOOSE(CONTROL!$C$23, $C$12, 100%, $E$12)</f>
        <v>6.5915999999999997</v>
      </c>
      <c r="F346" s="66">
        <f>6.5916 * CHOOSE(CONTROL!$C$23, $C$12, 100%, $E$12)</f>
        <v>6.5915999999999997</v>
      </c>
      <c r="G346" s="66">
        <f>6.5985 * CHOOSE(CONTROL!$C$23, $C$12, 100%, $E$12)</f>
        <v>6.5984999999999996</v>
      </c>
      <c r="H346" s="66">
        <f>11.7252* CHOOSE(CONTROL!$C$23, $C$12, 100%, $E$12)</f>
        <v>11.725199999999999</v>
      </c>
      <c r="I346" s="66">
        <f>11.7321 * CHOOSE(CONTROL!$C$23, $C$12, 100%, $E$12)</f>
        <v>11.732100000000001</v>
      </c>
      <c r="J346" s="66">
        <f>11.7252 * CHOOSE(CONTROL!$C$23, $C$12, 100%, $E$12)</f>
        <v>11.725199999999999</v>
      </c>
      <c r="K346" s="66">
        <f>11.7321 * CHOOSE(CONTROL!$C$23, $C$12, 100%, $E$12)</f>
        <v>11.732100000000001</v>
      </c>
      <c r="L346" s="66">
        <f>6.5916 * CHOOSE(CONTROL!$C$23, $C$12, 100%, $E$12)</f>
        <v>6.5915999999999997</v>
      </c>
      <c r="M346" s="66">
        <f>6.5985 * CHOOSE(CONTROL!$C$23, $C$12, 100%, $E$12)</f>
        <v>6.5984999999999996</v>
      </c>
      <c r="N346" s="66">
        <f>6.5916 * CHOOSE(CONTROL!$C$23, $C$12, 100%, $E$12)</f>
        <v>6.5915999999999997</v>
      </c>
      <c r="O346" s="66">
        <f>6.5985 * CHOOSE(CONTROL!$C$23, $C$12, 100%, $E$12)</f>
        <v>6.5984999999999996</v>
      </c>
    </row>
    <row r="347" spans="1:15" ht="15">
      <c r="A347" s="13">
        <v>51714</v>
      </c>
      <c r="B347" s="65">
        <f>5.3736 * CHOOSE(CONTROL!$C$23, $C$12, 100%, $E$12)</f>
        <v>5.3735999999999997</v>
      </c>
      <c r="C347" s="65">
        <f>5.3736 * CHOOSE(CONTROL!$C$23, $C$12, 100%, $E$12)</f>
        <v>5.3735999999999997</v>
      </c>
      <c r="D347" s="65">
        <f>5.3792 * CHOOSE(CONTROL!$C$23, $C$12, 100%, $E$12)</f>
        <v>5.3792</v>
      </c>
      <c r="E347" s="66">
        <f>6.4999 * CHOOSE(CONTROL!$C$23, $C$12, 100%, $E$12)</f>
        <v>6.4999000000000002</v>
      </c>
      <c r="F347" s="66">
        <f>6.4999 * CHOOSE(CONTROL!$C$23, $C$12, 100%, $E$12)</f>
        <v>6.4999000000000002</v>
      </c>
      <c r="G347" s="66">
        <f>6.5068 * CHOOSE(CONTROL!$C$23, $C$12, 100%, $E$12)</f>
        <v>6.5068000000000001</v>
      </c>
      <c r="H347" s="66">
        <f>11.7496* CHOOSE(CONTROL!$C$23, $C$12, 100%, $E$12)</f>
        <v>11.749599999999999</v>
      </c>
      <c r="I347" s="66">
        <f>11.7565 * CHOOSE(CONTROL!$C$23, $C$12, 100%, $E$12)</f>
        <v>11.756500000000001</v>
      </c>
      <c r="J347" s="66">
        <f>11.7496 * CHOOSE(CONTROL!$C$23, $C$12, 100%, $E$12)</f>
        <v>11.749599999999999</v>
      </c>
      <c r="K347" s="66">
        <f>11.7565 * CHOOSE(CONTROL!$C$23, $C$12, 100%, $E$12)</f>
        <v>11.756500000000001</v>
      </c>
      <c r="L347" s="66">
        <f>6.4999 * CHOOSE(CONTROL!$C$23, $C$12, 100%, $E$12)</f>
        <v>6.4999000000000002</v>
      </c>
      <c r="M347" s="66">
        <f>6.5068 * CHOOSE(CONTROL!$C$23, $C$12, 100%, $E$12)</f>
        <v>6.5068000000000001</v>
      </c>
      <c r="N347" s="66">
        <f>6.4999 * CHOOSE(CONTROL!$C$23, $C$12, 100%, $E$12)</f>
        <v>6.4999000000000002</v>
      </c>
      <c r="O347" s="66">
        <f>6.5068 * CHOOSE(CONTROL!$C$23, $C$12, 100%, $E$12)</f>
        <v>6.5068000000000001</v>
      </c>
    </row>
    <row r="348" spans="1:15" ht="15">
      <c r="A348" s="13">
        <v>51745</v>
      </c>
      <c r="B348" s="65">
        <f>5.3705 * CHOOSE(CONTROL!$C$23, $C$12, 100%, $E$12)</f>
        <v>5.3704999999999998</v>
      </c>
      <c r="C348" s="65">
        <f>5.3705 * CHOOSE(CONTROL!$C$23, $C$12, 100%, $E$12)</f>
        <v>5.3704999999999998</v>
      </c>
      <c r="D348" s="65">
        <f>5.3761 * CHOOSE(CONTROL!$C$23, $C$12, 100%, $E$12)</f>
        <v>5.3761000000000001</v>
      </c>
      <c r="E348" s="66">
        <f>6.4871 * CHOOSE(CONTROL!$C$23, $C$12, 100%, $E$12)</f>
        <v>6.4870999999999999</v>
      </c>
      <c r="F348" s="66">
        <f>6.4871 * CHOOSE(CONTROL!$C$23, $C$12, 100%, $E$12)</f>
        <v>6.4870999999999999</v>
      </c>
      <c r="G348" s="66">
        <f>6.494 * CHOOSE(CONTROL!$C$23, $C$12, 100%, $E$12)</f>
        <v>6.4939999999999998</v>
      </c>
      <c r="H348" s="66">
        <f>11.7741* CHOOSE(CONTROL!$C$23, $C$12, 100%, $E$12)</f>
        <v>11.774100000000001</v>
      </c>
      <c r="I348" s="66">
        <f>11.781 * CHOOSE(CONTROL!$C$23, $C$12, 100%, $E$12)</f>
        <v>11.781000000000001</v>
      </c>
      <c r="J348" s="66">
        <f>11.7741 * CHOOSE(CONTROL!$C$23, $C$12, 100%, $E$12)</f>
        <v>11.774100000000001</v>
      </c>
      <c r="K348" s="66">
        <f>11.781 * CHOOSE(CONTROL!$C$23, $C$12, 100%, $E$12)</f>
        <v>11.781000000000001</v>
      </c>
      <c r="L348" s="66">
        <f>6.4871 * CHOOSE(CONTROL!$C$23, $C$12, 100%, $E$12)</f>
        <v>6.4870999999999999</v>
      </c>
      <c r="M348" s="66">
        <f>6.494 * CHOOSE(CONTROL!$C$23, $C$12, 100%, $E$12)</f>
        <v>6.4939999999999998</v>
      </c>
      <c r="N348" s="66">
        <f>6.4871 * CHOOSE(CONTROL!$C$23, $C$12, 100%, $E$12)</f>
        <v>6.4870999999999999</v>
      </c>
      <c r="O348" s="66">
        <f>6.494 * CHOOSE(CONTROL!$C$23, $C$12, 100%, $E$12)</f>
        <v>6.4939999999999998</v>
      </c>
    </row>
    <row r="349" spans="1:15" ht="15">
      <c r="A349" s="13">
        <v>51775</v>
      </c>
      <c r="B349" s="65">
        <f>5.3701 * CHOOSE(CONTROL!$C$23, $C$12, 100%, $E$12)</f>
        <v>5.3700999999999999</v>
      </c>
      <c r="C349" s="65">
        <f>5.3701 * CHOOSE(CONTROL!$C$23, $C$12, 100%, $E$12)</f>
        <v>5.3700999999999999</v>
      </c>
      <c r="D349" s="65">
        <f>5.3741 * CHOOSE(CONTROL!$C$23, $C$12, 100%, $E$12)</f>
        <v>5.3741000000000003</v>
      </c>
      <c r="E349" s="66">
        <f>6.5165 * CHOOSE(CONTROL!$C$23, $C$12, 100%, $E$12)</f>
        <v>6.5164999999999997</v>
      </c>
      <c r="F349" s="66">
        <f>6.5165 * CHOOSE(CONTROL!$C$23, $C$12, 100%, $E$12)</f>
        <v>6.5164999999999997</v>
      </c>
      <c r="G349" s="66">
        <f>6.5214 * CHOOSE(CONTROL!$C$23, $C$12, 100%, $E$12)</f>
        <v>6.5213999999999999</v>
      </c>
      <c r="H349" s="66">
        <f>11.7986* CHOOSE(CONTROL!$C$23, $C$12, 100%, $E$12)</f>
        <v>11.7986</v>
      </c>
      <c r="I349" s="66">
        <f>11.8035 * CHOOSE(CONTROL!$C$23, $C$12, 100%, $E$12)</f>
        <v>11.8035</v>
      </c>
      <c r="J349" s="66">
        <f>11.7986 * CHOOSE(CONTROL!$C$23, $C$12, 100%, $E$12)</f>
        <v>11.7986</v>
      </c>
      <c r="K349" s="66">
        <f>11.8035 * CHOOSE(CONTROL!$C$23, $C$12, 100%, $E$12)</f>
        <v>11.8035</v>
      </c>
      <c r="L349" s="66">
        <f>6.5165 * CHOOSE(CONTROL!$C$23, $C$12, 100%, $E$12)</f>
        <v>6.5164999999999997</v>
      </c>
      <c r="M349" s="66">
        <f>6.5214 * CHOOSE(CONTROL!$C$23, $C$12, 100%, $E$12)</f>
        <v>6.5213999999999999</v>
      </c>
      <c r="N349" s="66">
        <f>6.5165 * CHOOSE(CONTROL!$C$23, $C$12, 100%, $E$12)</f>
        <v>6.5164999999999997</v>
      </c>
      <c r="O349" s="66">
        <f>6.5214 * CHOOSE(CONTROL!$C$23, $C$12, 100%, $E$12)</f>
        <v>6.5213999999999999</v>
      </c>
    </row>
    <row r="350" spans="1:15" ht="15">
      <c r="A350" s="13">
        <v>51806</v>
      </c>
      <c r="B350" s="65">
        <f>5.3732 * CHOOSE(CONTROL!$C$23, $C$12, 100%, $E$12)</f>
        <v>5.3731999999999998</v>
      </c>
      <c r="C350" s="65">
        <f>5.3732 * CHOOSE(CONTROL!$C$23, $C$12, 100%, $E$12)</f>
        <v>5.3731999999999998</v>
      </c>
      <c r="D350" s="65">
        <f>5.3772 * CHOOSE(CONTROL!$C$23, $C$12, 100%, $E$12)</f>
        <v>5.3772000000000002</v>
      </c>
      <c r="E350" s="66">
        <f>6.54 * CHOOSE(CONTROL!$C$23, $C$12, 100%, $E$12)</f>
        <v>6.54</v>
      </c>
      <c r="F350" s="66">
        <f>6.54 * CHOOSE(CONTROL!$C$23, $C$12, 100%, $E$12)</f>
        <v>6.54</v>
      </c>
      <c r="G350" s="66">
        <f>6.545 * CHOOSE(CONTROL!$C$23, $C$12, 100%, $E$12)</f>
        <v>6.5449999999999999</v>
      </c>
      <c r="H350" s="66">
        <f>11.8232* CHOOSE(CONTROL!$C$23, $C$12, 100%, $E$12)</f>
        <v>11.8232</v>
      </c>
      <c r="I350" s="66">
        <f>11.8281 * CHOOSE(CONTROL!$C$23, $C$12, 100%, $E$12)</f>
        <v>11.828099999999999</v>
      </c>
      <c r="J350" s="66">
        <f>11.8232 * CHOOSE(CONTROL!$C$23, $C$12, 100%, $E$12)</f>
        <v>11.8232</v>
      </c>
      <c r="K350" s="66">
        <f>11.8281 * CHOOSE(CONTROL!$C$23, $C$12, 100%, $E$12)</f>
        <v>11.828099999999999</v>
      </c>
      <c r="L350" s="66">
        <f>6.54 * CHOOSE(CONTROL!$C$23, $C$12, 100%, $E$12)</f>
        <v>6.54</v>
      </c>
      <c r="M350" s="66">
        <f>6.545 * CHOOSE(CONTROL!$C$23, $C$12, 100%, $E$12)</f>
        <v>6.5449999999999999</v>
      </c>
      <c r="N350" s="66">
        <f>6.54 * CHOOSE(CONTROL!$C$23, $C$12, 100%, $E$12)</f>
        <v>6.54</v>
      </c>
      <c r="O350" s="66">
        <f>6.545 * CHOOSE(CONTROL!$C$23, $C$12, 100%, $E$12)</f>
        <v>6.5449999999999999</v>
      </c>
    </row>
    <row r="351" spans="1:15" ht="15">
      <c r="A351" s="13">
        <v>51836</v>
      </c>
      <c r="B351" s="65">
        <f>5.3732 * CHOOSE(CONTROL!$C$23, $C$12, 100%, $E$12)</f>
        <v>5.3731999999999998</v>
      </c>
      <c r="C351" s="65">
        <f>5.3732 * CHOOSE(CONTROL!$C$23, $C$12, 100%, $E$12)</f>
        <v>5.3731999999999998</v>
      </c>
      <c r="D351" s="65">
        <f>5.3772 * CHOOSE(CONTROL!$C$23, $C$12, 100%, $E$12)</f>
        <v>5.3772000000000002</v>
      </c>
      <c r="E351" s="66">
        <f>6.4865 * CHOOSE(CONTROL!$C$23, $C$12, 100%, $E$12)</f>
        <v>6.4865000000000004</v>
      </c>
      <c r="F351" s="66">
        <f>6.4865 * CHOOSE(CONTROL!$C$23, $C$12, 100%, $E$12)</f>
        <v>6.4865000000000004</v>
      </c>
      <c r="G351" s="66">
        <f>6.4914 * CHOOSE(CONTROL!$C$23, $C$12, 100%, $E$12)</f>
        <v>6.4913999999999996</v>
      </c>
      <c r="H351" s="66">
        <f>11.8478* CHOOSE(CONTROL!$C$23, $C$12, 100%, $E$12)</f>
        <v>11.847799999999999</v>
      </c>
      <c r="I351" s="66">
        <f>11.8527 * CHOOSE(CONTROL!$C$23, $C$12, 100%, $E$12)</f>
        <v>11.8527</v>
      </c>
      <c r="J351" s="66">
        <f>11.8478 * CHOOSE(CONTROL!$C$23, $C$12, 100%, $E$12)</f>
        <v>11.847799999999999</v>
      </c>
      <c r="K351" s="66">
        <f>11.8527 * CHOOSE(CONTROL!$C$23, $C$12, 100%, $E$12)</f>
        <v>11.8527</v>
      </c>
      <c r="L351" s="66">
        <f>6.4865 * CHOOSE(CONTROL!$C$23, $C$12, 100%, $E$12)</f>
        <v>6.4865000000000004</v>
      </c>
      <c r="M351" s="66">
        <f>6.4914 * CHOOSE(CONTROL!$C$23, $C$12, 100%, $E$12)</f>
        <v>6.4913999999999996</v>
      </c>
      <c r="N351" s="66">
        <f>6.4865 * CHOOSE(CONTROL!$C$23, $C$12, 100%, $E$12)</f>
        <v>6.4865000000000004</v>
      </c>
      <c r="O351" s="66">
        <f>6.4914 * CHOOSE(CONTROL!$C$23, $C$12, 100%, $E$12)</f>
        <v>6.4913999999999996</v>
      </c>
    </row>
    <row r="352" spans="1:15" ht="15">
      <c r="A352" s="13">
        <v>51867</v>
      </c>
      <c r="B352" s="65">
        <f>5.4207 * CHOOSE(CONTROL!$C$23, $C$12, 100%, $E$12)</f>
        <v>5.4207000000000001</v>
      </c>
      <c r="C352" s="65">
        <f>5.4207 * CHOOSE(CONTROL!$C$23, $C$12, 100%, $E$12)</f>
        <v>5.4207000000000001</v>
      </c>
      <c r="D352" s="65">
        <f>5.4247 * CHOOSE(CONTROL!$C$23, $C$12, 100%, $E$12)</f>
        <v>5.4246999999999996</v>
      </c>
      <c r="E352" s="66">
        <f>6.5785 * CHOOSE(CONTROL!$C$23, $C$12, 100%, $E$12)</f>
        <v>6.5785</v>
      </c>
      <c r="F352" s="66">
        <f>6.5785 * CHOOSE(CONTROL!$C$23, $C$12, 100%, $E$12)</f>
        <v>6.5785</v>
      </c>
      <c r="G352" s="66">
        <f>6.5834 * CHOOSE(CONTROL!$C$23, $C$12, 100%, $E$12)</f>
        <v>6.5834000000000001</v>
      </c>
      <c r="H352" s="66">
        <f>11.8725* CHOOSE(CONTROL!$C$23, $C$12, 100%, $E$12)</f>
        <v>11.8725</v>
      </c>
      <c r="I352" s="66">
        <f>11.8774 * CHOOSE(CONTROL!$C$23, $C$12, 100%, $E$12)</f>
        <v>11.8774</v>
      </c>
      <c r="J352" s="66">
        <f>11.8725 * CHOOSE(CONTROL!$C$23, $C$12, 100%, $E$12)</f>
        <v>11.8725</v>
      </c>
      <c r="K352" s="66">
        <f>11.8774 * CHOOSE(CONTROL!$C$23, $C$12, 100%, $E$12)</f>
        <v>11.8774</v>
      </c>
      <c r="L352" s="66">
        <f>6.5785 * CHOOSE(CONTROL!$C$23, $C$12, 100%, $E$12)</f>
        <v>6.5785</v>
      </c>
      <c r="M352" s="66">
        <f>6.5834 * CHOOSE(CONTROL!$C$23, $C$12, 100%, $E$12)</f>
        <v>6.5834000000000001</v>
      </c>
      <c r="N352" s="66">
        <f>6.5785 * CHOOSE(CONTROL!$C$23, $C$12, 100%, $E$12)</f>
        <v>6.5785</v>
      </c>
      <c r="O352" s="66">
        <f>6.5834 * CHOOSE(CONTROL!$C$23, $C$12, 100%, $E$12)</f>
        <v>6.5834000000000001</v>
      </c>
    </row>
    <row r="353" spans="1:15" ht="15">
      <c r="A353" s="13">
        <v>51898</v>
      </c>
      <c r="B353" s="65">
        <f>5.4177 * CHOOSE(CONTROL!$C$23, $C$12, 100%, $E$12)</f>
        <v>5.4177</v>
      </c>
      <c r="C353" s="65">
        <f>5.4177 * CHOOSE(CONTROL!$C$23, $C$12, 100%, $E$12)</f>
        <v>5.4177</v>
      </c>
      <c r="D353" s="65">
        <f>5.4217 * CHOOSE(CONTROL!$C$23, $C$12, 100%, $E$12)</f>
        <v>5.4217000000000004</v>
      </c>
      <c r="E353" s="66">
        <f>6.4724 * CHOOSE(CONTROL!$C$23, $C$12, 100%, $E$12)</f>
        <v>6.4724000000000004</v>
      </c>
      <c r="F353" s="66">
        <f>6.4724 * CHOOSE(CONTROL!$C$23, $C$12, 100%, $E$12)</f>
        <v>6.4724000000000004</v>
      </c>
      <c r="G353" s="66">
        <f>6.4773 * CHOOSE(CONTROL!$C$23, $C$12, 100%, $E$12)</f>
        <v>6.4772999999999996</v>
      </c>
      <c r="H353" s="66">
        <f>11.8972* CHOOSE(CONTROL!$C$23, $C$12, 100%, $E$12)</f>
        <v>11.8972</v>
      </c>
      <c r="I353" s="66">
        <f>11.9021 * CHOOSE(CONTROL!$C$23, $C$12, 100%, $E$12)</f>
        <v>11.902100000000001</v>
      </c>
      <c r="J353" s="66">
        <f>11.8972 * CHOOSE(CONTROL!$C$23, $C$12, 100%, $E$12)</f>
        <v>11.8972</v>
      </c>
      <c r="K353" s="66">
        <f>11.9021 * CHOOSE(CONTROL!$C$23, $C$12, 100%, $E$12)</f>
        <v>11.902100000000001</v>
      </c>
      <c r="L353" s="66">
        <f>6.4724 * CHOOSE(CONTROL!$C$23, $C$12, 100%, $E$12)</f>
        <v>6.4724000000000004</v>
      </c>
      <c r="M353" s="66">
        <f>6.4773 * CHOOSE(CONTROL!$C$23, $C$12, 100%, $E$12)</f>
        <v>6.4772999999999996</v>
      </c>
      <c r="N353" s="66">
        <f>6.4724 * CHOOSE(CONTROL!$C$23, $C$12, 100%, $E$12)</f>
        <v>6.4724000000000004</v>
      </c>
      <c r="O353" s="66">
        <f>6.4773 * CHOOSE(CONTROL!$C$23, $C$12, 100%, $E$12)</f>
        <v>6.4772999999999996</v>
      </c>
    </row>
    <row r="354" spans="1:15" ht="15">
      <c r="A354" s="13">
        <v>51926</v>
      </c>
      <c r="B354" s="65">
        <f>5.4147 * CHOOSE(CONTROL!$C$23, $C$12, 100%, $E$12)</f>
        <v>5.4146999999999998</v>
      </c>
      <c r="C354" s="65">
        <f>5.4147 * CHOOSE(CONTROL!$C$23, $C$12, 100%, $E$12)</f>
        <v>5.4146999999999998</v>
      </c>
      <c r="D354" s="65">
        <f>5.4187 * CHOOSE(CONTROL!$C$23, $C$12, 100%, $E$12)</f>
        <v>5.4187000000000003</v>
      </c>
      <c r="E354" s="66">
        <f>6.5523 * CHOOSE(CONTROL!$C$23, $C$12, 100%, $E$12)</f>
        <v>6.5522999999999998</v>
      </c>
      <c r="F354" s="66">
        <f>6.5523 * CHOOSE(CONTROL!$C$23, $C$12, 100%, $E$12)</f>
        <v>6.5522999999999998</v>
      </c>
      <c r="G354" s="66">
        <f>6.5572 * CHOOSE(CONTROL!$C$23, $C$12, 100%, $E$12)</f>
        <v>6.5571999999999999</v>
      </c>
      <c r="H354" s="66">
        <f>11.922* CHOOSE(CONTROL!$C$23, $C$12, 100%, $E$12)</f>
        <v>11.922000000000001</v>
      </c>
      <c r="I354" s="66">
        <f>11.9269 * CHOOSE(CONTROL!$C$23, $C$12, 100%, $E$12)</f>
        <v>11.9269</v>
      </c>
      <c r="J354" s="66">
        <f>11.922 * CHOOSE(CONTROL!$C$23, $C$12, 100%, $E$12)</f>
        <v>11.922000000000001</v>
      </c>
      <c r="K354" s="66">
        <f>11.9269 * CHOOSE(CONTROL!$C$23, $C$12, 100%, $E$12)</f>
        <v>11.9269</v>
      </c>
      <c r="L354" s="66">
        <f>6.5523 * CHOOSE(CONTROL!$C$23, $C$12, 100%, $E$12)</f>
        <v>6.5522999999999998</v>
      </c>
      <c r="M354" s="66">
        <f>6.5572 * CHOOSE(CONTROL!$C$23, $C$12, 100%, $E$12)</f>
        <v>6.5571999999999999</v>
      </c>
      <c r="N354" s="66">
        <f>6.5523 * CHOOSE(CONTROL!$C$23, $C$12, 100%, $E$12)</f>
        <v>6.5522999999999998</v>
      </c>
      <c r="O354" s="66">
        <f>6.5572 * CHOOSE(CONTROL!$C$23, $C$12, 100%, $E$12)</f>
        <v>6.5571999999999999</v>
      </c>
    </row>
    <row r="355" spans="1:15" ht="15">
      <c r="A355" s="13">
        <v>51957</v>
      </c>
      <c r="B355" s="65">
        <f>5.4135 * CHOOSE(CONTROL!$C$23, $C$12, 100%, $E$12)</f>
        <v>5.4135</v>
      </c>
      <c r="C355" s="65">
        <f>5.4135 * CHOOSE(CONTROL!$C$23, $C$12, 100%, $E$12)</f>
        <v>5.4135</v>
      </c>
      <c r="D355" s="65">
        <f>5.4175 * CHOOSE(CONTROL!$C$23, $C$12, 100%, $E$12)</f>
        <v>5.4175000000000004</v>
      </c>
      <c r="E355" s="66">
        <f>6.6361 * CHOOSE(CONTROL!$C$23, $C$12, 100%, $E$12)</f>
        <v>6.6360999999999999</v>
      </c>
      <c r="F355" s="66">
        <f>6.6361 * CHOOSE(CONTROL!$C$23, $C$12, 100%, $E$12)</f>
        <v>6.6360999999999999</v>
      </c>
      <c r="G355" s="66">
        <f>6.641 * CHOOSE(CONTROL!$C$23, $C$12, 100%, $E$12)</f>
        <v>6.641</v>
      </c>
      <c r="H355" s="66">
        <f>11.9469* CHOOSE(CONTROL!$C$23, $C$12, 100%, $E$12)</f>
        <v>11.946899999999999</v>
      </c>
      <c r="I355" s="66">
        <f>11.9518 * CHOOSE(CONTROL!$C$23, $C$12, 100%, $E$12)</f>
        <v>11.9518</v>
      </c>
      <c r="J355" s="66">
        <f>11.9469 * CHOOSE(CONTROL!$C$23, $C$12, 100%, $E$12)</f>
        <v>11.946899999999999</v>
      </c>
      <c r="K355" s="66">
        <f>11.9518 * CHOOSE(CONTROL!$C$23, $C$12, 100%, $E$12)</f>
        <v>11.9518</v>
      </c>
      <c r="L355" s="66">
        <f>6.6361 * CHOOSE(CONTROL!$C$23, $C$12, 100%, $E$12)</f>
        <v>6.6360999999999999</v>
      </c>
      <c r="M355" s="66">
        <f>6.641 * CHOOSE(CONTROL!$C$23, $C$12, 100%, $E$12)</f>
        <v>6.641</v>
      </c>
      <c r="N355" s="66">
        <f>6.6361 * CHOOSE(CONTROL!$C$23, $C$12, 100%, $E$12)</f>
        <v>6.6360999999999999</v>
      </c>
      <c r="O355" s="66">
        <f>6.641 * CHOOSE(CONTROL!$C$23, $C$12, 100%, $E$12)</f>
        <v>6.641</v>
      </c>
    </row>
    <row r="356" spans="1:15" ht="15">
      <c r="A356" s="13">
        <v>51987</v>
      </c>
      <c r="B356" s="65">
        <f>5.4135 * CHOOSE(CONTROL!$C$23, $C$12, 100%, $E$12)</f>
        <v>5.4135</v>
      </c>
      <c r="C356" s="65">
        <f>5.4135 * CHOOSE(CONTROL!$C$23, $C$12, 100%, $E$12)</f>
        <v>5.4135</v>
      </c>
      <c r="D356" s="65">
        <f>5.4192 * CHOOSE(CONTROL!$C$23, $C$12, 100%, $E$12)</f>
        <v>5.4192</v>
      </c>
      <c r="E356" s="66">
        <f>6.6691 * CHOOSE(CONTROL!$C$23, $C$12, 100%, $E$12)</f>
        <v>6.6691000000000003</v>
      </c>
      <c r="F356" s="66">
        <f>6.6691 * CHOOSE(CONTROL!$C$23, $C$12, 100%, $E$12)</f>
        <v>6.6691000000000003</v>
      </c>
      <c r="G356" s="66">
        <f>6.676 * CHOOSE(CONTROL!$C$23, $C$12, 100%, $E$12)</f>
        <v>6.6760000000000002</v>
      </c>
      <c r="H356" s="66">
        <f>11.9717* CHOOSE(CONTROL!$C$23, $C$12, 100%, $E$12)</f>
        <v>11.9717</v>
      </c>
      <c r="I356" s="66">
        <f>11.9786 * CHOOSE(CONTROL!$C$23, $C$12, 100%, $E$12)</f>
        <v>11.9786</v>
      </c>
      <c r="J356" s="66">
        <f>11.9717 * CHOOSE(CONTROL!$C$23, $C$12, 100%, $E$12)</f>
        <v>11.9717</v>
      </c>
      <c r="K356" s="66">
        <f>11.9786 * CHOOSE(CONTROL!$C$23, $C$12, 100%, $E$12)</f>
        <v>11.9786</v>
      </c>
      <c r="L356" s="66">
        <f>6.6691 * CHOOSE(CONTROL!$C$23, $C$12, 100%, $E$12)</f>
        <v>6.6691000000000003</v>
      </c>
      <c r="M356" s="66">
        <f>6.676 * CHOOSE(CONTROL!$C$23, $C$12, 100%, $E$12)</f>
        <v>6.6760000000000002</v>
      </c>
      <c r="N356" s="66">
        <f>6.6691 * CHOOSE(CONTROL!$C$23, $C$12, 100%, $E$12)</f>
        <v>6.6691000000000003</v>
      </c>
      <c r="O356" s="66">
        <f>6.676 * CHOOSE(CONTROL!$C$23, $C$12, 100%, $E$12)</f>
        <v>6.6760000000000002</v>
      </c>
    </row>
    <row r="357" spans="1:15" ht="15">
      <c r="A357" s="13">
        <v>52018</v>
      </c>
      <c r="B357" s="65">
        <f>5.4196 * CHOOSE(CONTROL!$C$23, $C$12, 100%, $E$12)</f>
        <v>5.4196</v>
      </c>
      <c r="C357" s="65">
        <f>5.4196 * CHOOSE(CONTROL!$C$23, $C$12, 100%, $E$12)</f>
        <v>5.4196</v>
      </c>
      <c r="D357" s="65">
        <f>5.4252 * CHOOSE(CONTROL!$C$23, $C$12, 100%, $E$12)</f>
        <v>5.4252000000000002</v>
      </c>
      <c r="E357" s="66">
        <f>6.6403 * CHOOSE(CONTROL!$C$23, $C$12, 100%, $E$12)</f>
        <v>6.6402999999999999</v>
      </c>
      <c r="F357" s="66">
        <f>6.6403 * CHOOSE(CONTROL!$C$23, $C$12, 100%, $E$12)</f>
        <v>6.6402999999999999</v>
      </c>
      <c r="G357" s="66">
        <f>6.6472 * CHOOSE(CONTROL!$C$23, $C$12, 100%, $E$12)</f>
        <v>6.6471999999999998</v>
      </c>
      <c r="H357" s="66">
        <f>11.9967* CHOOSE(CONTROL!$C$23, $C$12, 100%, $E$12)</f>
        <v>11.996700000000001</v>
      </c>
      <c r="I357" s="66">
        <f>12.0036 * CHOOSE(CONTROL!$C$23, $C$12, 100%, $E$12)</f>
        <v>12.0036</v>
      </c>
      <c r="J357" s="66">
        <f>11.9967 * CHOOSE(CONTROL!$C$23, $C$12, 100%, $E$12)</f>
        <v>11.996700000000001</v>
      </c>
      <c r="K357" s="66">
        <f>12.0036 * CHOOSE(CONTROL!$C$23, $C$12, 100%, $E$12)</f>
        <v>12.0036</v>
      </c>
      <c r="L357" s="66">
        <f>6.6403 * CHOOSE(CONTROL!$C$23, $C$12, 100%, $E$12)</f>
        <v>6.6402999999999999</v>
      </c>
      <c r="M357" s="66">
        <f>6.6472 * CHOOSE(CONTROL!$C$23, $C$12, 100%, $E$12)</f>
        <v>6.6471999999999998</v>
      </c>
      <c r="N357" s="66">
        <f>6.6403 * CHOOSE(CONTROL!$C$23, $C$12, 100%, $E$12)</f>
        <v>6.6402999999999999</v>
      </c>
      <c r="O357" s="66">
        <f>6.6472 * CHOOSE(CONTROL!$C$23, $C$12, 100%, $E$12)</f>
        <v>6.6471999999999998</v>
      </c>
    </row>
    <row r="358" spans="1:15" ht="15">
      <c r="A358" s="13">
        <v>52048</v>
      </c>
      <c r="B358" s="65">
        <f>5.5082 * CHOOSE(CONTROL!$C$23, $C$12, 100%, $E$12)</f>
        <v>5.5082000000000004</v>
      </c>
      <c r="C358" s="65">
        <f>5.5082 * CHOOSE(CONTROL!$C$23, $C$12, 100%, $E$12)</f>
        <v>5.5082000000000004</v>
      </c>
      <c r="D358" s="65">
        <f>5.5138 * CHOOSE(CONTROL!$C$23, $C$12, 100%, $E$12)</f>
        <v>5.5137999999999998</v>
      </c>
      <c r="E358" s="66">
        <f>6.7527 * CHOOSE(CONTROL!$C$23, $C$12, 100%, $E$12)</f>
        <v>6.7526999999999999</v>
      </c>
      <c r="F358" s="66">
        <f>6.7527 * CHOOSE(CONTROL!$C$23, $C$12, 100%, $E$12)</f>
        <v>6.7526999999999999</v>
      </c>
      <c r="G358" s="66">
        <f>6.7596 * CHOOSE(CONTROL!$C$23, $C$12, 100%, $E$12)</f>
        <v>6.7595999999999998</v>
      </c>
      <c r="H358" s="66">
        <f>12.0217* CHOOSE(CONTROL!$C$23, $C$12, 100%, $E$12)</f>
        <v>12.021699999999999</v>
      </c>
      <c r="I358" s="66">
        <f>12.0286 * CHOOSE(CONTROL!$C$23, $C$12, 100%, $E$12)</f>
        <v>12.028600000000001</v>
      </c>
      <c r="J358" s="66">
        <f>12.0217 * CHOOSE(CONTROL!$C$23, $C$12, 100%, $E$12)</f>
        <v>12.021699999999999</v>
      </c>
      <c r="K358" s="66">
        <f>12.0286 * CHOOSE(CONTROL!$C$23, $C$12, 100%, $E$12)</f>
        <v>12.028600000000001</v>
      </c>
      <c r="L358" s="66">
        <f>6.7527 * CHOOSE(CONTROL!$C$23, $C$12, 100%, $E$12)</f>
        <v>6.7526999999999999</v>
      </c>
      <c r="M358" s="66">
        <f>6.7596 * CHOOSE(CONTROL!$C$23, $C$12, 100%, $E$12)</f>
        <v>6.7595999999999998</v>
      </c>
      <c r="N358" s="66">
        <f>6.7527 * CHOOSE(CONTROL!$C$23, $C$12, 100%, $E$12)</f>
        <v>6.7526999999999999</v>
      </c>
      <c r="O358" s="66">
        <f>6.7596 * CHOOSE(CONTROL!$C$23, $C$12, 100%, $E$12)</f>
        <v>6.7595999999999998</v>
      </c>
    </row>
    <row r="359" spans="1:15" ht="15">
      <c r="A359" s="13">
        <v>52079</v>
      </c>
      <c r="B359" s="65">
        <f>5.5149 * CHOOSE(CONTROL!$C$23, $C$12, 100%, $E$12)</f>
        <v>5.5148999999999999</v>
      </c>
      <c r="C359" s="65">
        <f>5.5149 * CHOOSE(CONTROL!$C$23, $C$12, 100%, $E$12)</f>
        <v>5.5148999999999999</v>
      </c>
      <c r="D359" s="65">
        <f>5.5205 * CHOOSE(CONTROL!$C$23, $C$12, 100%, $E$12)</f>
        <v>5.5205000000000002</v>
      </c>
      <c r="E359" s="66">
        <f>6.6583 * CHOOSE(CONTROL!$C$23, $C$12, 100%, $E$12)</f>
        <v>6.6582999999999997</v>
      </c>
      <c r="F359" s="66">
        <f>6.6583 * CHOOSE(CONTROL!$C$23, $C$12, 100%, $E$12)</f>
        <v>6.6582999999999997</v>
      </c>
      <c r="G359" s="66">
        <f>6.6652 * CHOOSE(CONTROL!$C$23, $C$12, 100%, $E$12)</f>
        <v>6.6651999999999996</v>
      </c>
      <c r="H359" s="66">
        <f>12.0467* CHOOSE(CONTROL!$C$23, $C$12, 100%, $E$12)</f>
        <v>12.0467</v>
      </c>
      <c r="I359" s="66">
        <f>12.0536 * CHOOSE(CONTROL!$C$23, $C$12, 100%, $E$12)</f>
        <v>12.053599999999999</v>
      </c>
      <c r="J359" s="66">
        <f>12.0467 * CHOOSE(CONTROL!$C$23, $C$12, 100%, $E$12)</f>
        <v>12.0467</v>
      </c>
      <c r="K359" s="66">
        <f>12.0536 * CHOOSE(CONTROL!$C$23, $C$12, 100%, $E$12)</f>
        <v>12.053599999999999</v>
      </c>
      <c r="L359" s="66">
        <f>6.6583 * CHOOSE(CONTROL!$C$23, $C$12, 100%, $E$12)</f>
        <v>6.6582999999999997</v>
      </c>
      <c r="M359" s="66">
        <f>6.6652 * CHOOSE(CONTROL!$C$23, $C$12, 100%, $E$12)</f>
        <v>6.6651999999999996</v>
      </c>
      <c r="N359" s="66">
        <f>6.6583 * CHOOSE(CONTROL!$C$23, $C$12, 100%, $E$12)</f>
        <v>6.6582999999999997</v>
      </c>
      <c r="O359" s="66">
        <f>6.6652 * CHOOSE(CONTROL!$C$23, $C$12, 100%, $E$12)</f>
        <v>6.6651999999999996</v>
      </c>
    </row>
    <row r="360" spans="1:15" ht="15">
      <c r="A360" s="13">
        <v>52110</v>
      </c>
      <c r="B360" s="65">
        <f>5.5119 * CHOOSE(CONTROL!$C$23, $C$12, 100%, $E$12)</f>
        <v>5.5118999999999998</v>
      </c>
      <c r="C360" s="65">
        <f>5.5119 * CHOOSE(CONTROL!$C$23, $C$12, 100%, $E$12)</f>
        <v>5.5118999999999998</v>
      </c>
      <c r="D360" s="65">
        <f>5.5175 * CHOOSE(CONTROL!$C$23, $C$12, 100%, $E$12)</f>
        <v>5.5175000000000001</v>
      </c>
      <c r="E360" s="66">
        <f>6.6452 * CHOOSE(CONTROL!$C$23, $C$12, 100%, $E$12)</f>
        <v>6.6452</v>
      </c>
      <c r="F360" s="66">
        <f>6.6452 * CHOOSE(CONTROL!$C$23, $C$12, 100%, $E$12)</f>
        <v>6.6452</v>
      </c>
      <c r="G360" s="66">
        <f>6.6521 * CHOOSE(CONTROL!$C$23, $C$12, 100%, $E$12)</f>
        <v>6.6520999999999999</v>
      </c>
      <c r="H360" s="66">
        <f>12.0718* CHOOSE(CONTROL!$C$23, $C$12, 100%, $E$12)</f>
        <v>12.0718</v>
      </c>
      <c r="I360" s="66">
        <f>12.0787 * CHOOSE(CONTROL!$C$23, $C$12, 100%, $E$12)</f>
        <v>12.0787</v>
      </c>
      <c r="J360" s="66">
        <f>12.0718 * CHOOSE(CONTROL!$C$23, $C$12, 100%, $E$12)</f>
        <v>12.0718</v>
      </c>
      <c r="K360" s="66">
        <f>12.0787 * CHOOSE(CONTROL!$C$23, $C$12, 100%, $E$12)</f>
        <v>12.0787</v>
      </c>
      <c r="L360" s="66">
        <f>6.6452 * CHOOSE(CONTROL!$C$23, $C$12, 100%, $E$12)</f>
        <v>6.6452</v>
      </c>
      <c r="M360" s="66">
        <f>6.6521 * CHOOSE(CONTROL!$C$23, $C$12, 100%, $E$12)</f>
        <v>6.6520999999999999</v>
      </c>
      <c r="N360" s="66">
        <f>6.6452 * CHOOSE(CONTROL!$C$23, $C$12, 100%, $E$12)</f>
        <v>6.6452</v>
      </c>
      <c r="O360" s="66">
        <f>6.6521 * CHOOSE(CONTROL!$C$23, $C$12, 100%, $E$12)</f>
        <v>6.6520999999999999</v>
      </c>
    </row>
    <row r="361" spans="1:15" ht="15">
      <c r="A361" s="13">
        <v>52140</v>
      </c>
      <c r="B361" s="65">
        <f>5.5119 * CHOOSE(CONTROL!$C$23, $C$12, 100%, $E$12)</f>
        <v>5.5118999999999998</v>
      </c>
      <c r="C361" s="65">
        <f>5.5119 * CHOOSE(CONTROL!$C$23, $C$12, 100%, $E$12)</f>
        <v>5.5118999999999998</v>
      </c>
      <c r="D361" s="65">
        <f>5.5159 * CHOOSE(CONTROL!$C$23, $C$12, 100%, $E$12)</f>
        <v>5.5159000000000002</v>
      </c>
      <c r="E361" s="66">
        <f>6.6758 * CHOOSE(CONTROL!$C$23, $C$12, 100%, $E$12)</f>
        <v>6.6757999999999997</v>
      </c>
      <c r="F361" s="66">
        <f>6.6758 * CHOOSE(CONTROL!$C$23, $C$12, 100%, $E$12)</f>
        <v>6.6757999999999997</v>
      </c>
      <c r="G361" s="66">
        <f>6.6807 * CHOOSE(CONTROL!$C$23, $C$12, 100%, $E$12)</f>
        <v>6.6806999999999999</v>
      </c>
      <c r="H361" s="66">
        <f>12.097* CHOOSE(CONTROL!$C$23, $C$12, 100%, $E$12)</f>
        <v>12.097</v>
      </c>
      <c r="I361" s="66">
        <f>12.1019 * CHOOSE(CONTROL!$C$23, $C$12, 100%, $E$12)</f>
        <v>12.101900000000001</v>
      </c>
      <c r="J361" s="66">
        <f>12.097 * CHOOSE(CONTROL!$C$23, $C$12, 100%, $E$12)</f>
        <v>12.097</v>
      </c>
      <c r="K361" s="66">
        <f>12.1019 * CHOOSE(CONTROL!$C$23, $C$12, 100%, $E$12)</f>
        <v>12.101900000000001</v>
      </c>
      <c r="L361" s="66">
        <f>6.6758 * CHOOSE(CONTROL!$C$23, $C$12, 100%, $E$12)</f>
        <v>6.6757999999999997</v>
      </c>
      <c r="M361" s="66">
        <f>6.6807 * CHOOSE(CONTROL!$C$23, $C$12, 100%, $E$12)</f>
        <v>6.6806999999999999</v>
      </c>
      <c r="N361" s="66">
        <f>6.6758 * CHOOSE(CONTROL!$C$23, $C$12, 100%, $E$12)</f>
        <v>6.6757999999999997</v>
      </c>
      <c r="O361" s="66">
        <f>6.6807 * CHOOSE(CONTROL!$C$23, $C$12, 100%, $E$12)</f>
        <v>6.6806999999999999</v>
      </c>
    </row>
    <row r="362" spans="1:15" ht="15">
      <c r="A362" s="13">
        <v>52171</v>
      </c>
      <c r="B362" s="65">
        <f>5.515 * CHOOSE(CONTROL!$C$23, $C$12, 100%, $E$12)</f>
        <v>5.5149999999999997</v>
      </c>
      <c r="C362" s="65">
        <f>5.515 * CHOOSE(CONTROL!$C$23, $C$12, 100%, $E$12)</f>
        <v>5.5149999999999997</v>
      </c>
      <c r="D362" s="65">
        <f>5.519 * CHOOSE(CONTROL!$C$23, $C$12, 100%, $E$12)</f>
        <v>5.5190000000000001</v>
      </c>
      <c r="E362" s="66">
        <f>6.6999 * CHOOSE(CONTROL!$C$23, $C$12, 100%, $E$12)</f>
        <v>6.6999000000000004</v>
      </c>
      <c r="F362" s="66">
        <f>6.6999 * CHOOSE(CONTROL!$C$23, $C$12, 100%, $E$12)</f>
        <v>6.6999000000000004</v>
      </c>
      <c r="G362" s="66">
        <f>6.7049 * CHOOSE(CONTROL!$C$23, $C$12, 100%, $E$12)</f>
        <v>6.7049000000000003</v>
      </c>
      <c r="H362" s="66">
        <f>12.1222* CHOOSE(CONTROL!$C$23, $C$12, 100%, $E$12)</f>
        <v>12.122199999999999</v>
      </c>
      <c r="I362" s="66">
        <f>12.1271 * CHOOSE(CONTROL!$C$23, $C$12, 100%, $E$12)</f>
        <v>12.1271</v>
      </c>
      <c r="J362" s="66">
        <f>12.1222 * CHOOSE(CONTROL!$C$23, $C$12, 100%, $E$12)</f>
        <v>12.122199999999999</v>
      </c>
      <c r="K362" s="66">
        <f>12.1271 * CHOOSE(CONTROL!$C$23, $C$12, 100%, $E$12)</f>
        <v>12.1271</v>
      </c>
      <c r="L362" s="66">
        <f>6.6999 * CHOOSE(CONTROL!$C$23, $C$12, 100%, $E$12)</f>
        <v>6.6999000000000004</v>
      </c>
      <c r="M362" s="66">
        <f>6.7049 * CHOOSE(CONTROL!$C$23, $C$12, 100%, $E$12)</f>
        <v>6.7049000000000003</v>
      </c>
      <c r="N362" s="66">
        <f>6.6999 * CHOOSE(CONTROL!$C$23, $C$12, 100%, $E$12)</f>
        <v>6.6999000000000004</v>
      </c>
      <c r="O362" s="66">
        <f>6.7049 * CHOOSE(CONTROL!$C$23, $C$12, 100%, $E$12)</f>
        <v>6.7049000000000003</v>
      </c>
    </row>
    <row r="363" spans="1:15" ht="15">
      <c r="A363" s="13">
        <v>52201</v>
      </c>
      <c r="B363" s="65">
        <f>5.515 * CHOOSE(CONTROL!$C$23, $C$12, 100%, $E$12)</f>
        <v>5.5149999999999997</v>
      </c>
      <c r="C363" s="65">
        <f>5.515 * CHOOSE(CONTROL!$C$23, $C$12, 100%, $E$12)</f>
        <v>5.5149999999999997</v>
      </c>
      <c r="D363" s="65">
        <f>5.519 * CHOOSE(CONTROL!$C$23, $C$12, 100%, $E$12)</f>
        <v>5.5190000000000001</v>
      </c>
      <c r="E363" s="66">
        <f>6.6449 * CHOOSE(CONTROL!$C$23, $C$12, 100%, $E$12)</f>
        <v>6.6448999999999998</v>
      </c>
      <c r="F363" s="66">
        <f>6.6449 * CHOOSE(CONTROL!$C$23, $C$12, 100%, $E$12)</f>
        <v>6.6448999999999998</v>
      </c>
      <c r="G363" s="66">
        <f>6.6498 * CHOOSE(CONTROL!$C$23, $C$12, 100%, $E$12)</f>
        <v>6.6497999999999999</v>
      </c>
      <c r="H363" s="66">
        <f>12.1474* CHOOSE(CONTROL!$C$23, $C$12, 100%, $E$12)</f>
        <v>12.147399999999999</v>
      </c>
      <c r="I363" s="66">
        <f>12.1523 * CHOOSE(CONTROL!$C$23, $C$12, 100%, $E$12)</f>
        <v>12.1523</v>
      </c>
      <c r="J363" s="66">
        <f>12.1474 * CHOOSE(CONTROL!$C$23, $C$12, 100%, $E$12)</f>
        <v>12.147399999999999</v>
      </c>
      <c r="K363" s="66">
        <f>12.1523 * CHOOSE(CONTROL!$C$23, $C$12, 100%, $E$12)</f>
        <v>12.1523</v>
      </c>
      <c r="L363" s="66">
        <f>6.6449 * CHOOSE(CONTROL!$C$23, $C$12, 100%, $E$12)</f>
        <v>6.6448999999999998</v>
      </c>
      <c r="M363" s="66">
        <f>6.6498 * CHOOSE(CONTROL!$C$23, $C$12, 100%, $E$12)</f>
        <v>6.6497999999999999</v>
      </c>
      <c r="N363" s="66">
        <f>6.6449 * CHOOSE(CONTROL!$C$23, $C$12, 100%, $E$12)</f>
        <v>6.6448999999999998</v>
      </c>
      <c r="O363" s="66">
        <f>6.6498 * CHOOSE(CONTROL!$C$23, $C$12, 100%, $E$12)</f>
        <v>6.6497999999999999</v>
      </c>
    </row>
    <row r="364" spans="1:15" ht="15">
      <c r="A364" s="13">
        <v>52232</v>
      </c>
      <c r="B364" s="65">
        <f>5.5637 * CHOOSE(CONTROL!$C$23, $C$12, 100%, $E$12)</f>
        <v>5.5636999999999999</v>
      </c>
      <c r="C364" s="65">
        <f>5.5637 * CHOOSE(CONTROL!$C$23, $C$12, 100%, $E$12)</f>
        <v>5.5636999999999999</v>
      </c>
      <c r="D364" s="65">
        <f>5.5677 * CHOOSE(CONTROL!$C$23, $C$12, 100%, $E$12)</f>
        <v>5.5677000000000003</v>
      </c>
      <c r="E364" s="66">
        <f>6.7392 * CHOOSE(CONTROL!$C$23, $C$12, 100%, $E$12)</f>
        <v>6.7392000000000003</v>
      </c>
      <c r="F364" s="66">
        <f>6.7392 * CHOOSE(CONTROL!$C$23, $C$12, 100%, $E$12)</f>
        <v>6.7392000000000003</v>
      </c>
      <c r="G364" s="66">
        <f>6.7441 * CHOOSE(CONTROL!$C$23, $C$12, 100%, $E$12)</f>
        <v>6.7441000000000004</v>
      </c>
      <c r="H364" s="66">
        <f>12.1727* CHOOSE(CONTROL!$C$23, $C$12, 100%, $E$12)</f>
        <v>12.172700000000001</v>
      </c>
      <c r="I364" s="66">
        <f>12.1777 * CHOOSE(CONTROL!$C$23, $C$12, 100%, $E$12)</f>
        <v>12.1777</v>
      </c>
      <c r="J364" s="66">
        <f>12.1727 * CHOOSE(CONTROL!$C$23, $C$12, 100%, $E$12)</f>
        <v>12.172700000000001</v>
      </c>
      <c r="K364" s="66">
        <f>12.1777 * CHOOSE(CONTROL!$C$23, $C$12, 100%, $E$12)</f>
        <v>12.1777</v>
      </c>
      <c r="L364" s="66">
        <f>6.7392 * CHOOSE(CONTROL!$C$23, $C$12, 100%, $E$12)</f>
        <v>6.7392000000000003</v>
      </c>
      <c r="M364" s="66">
        <f>6.7441 * CHOOSE(CONTROL!$C$23, $C$12, 100%, $E$12)</f>
        <v>6.7441000000000004</v>
      </c>
      <c r="N364" s="66">
        <f>6.7392 * CHOOSE(CONTROL!$C$23, $C$12, 100%, $E$12)</f>
        <v>6.7392000000000003</v>
      </c>
      <c r="O364" s="66">
        <f>6.7441 * CHOOSE(CONTROL!$C$23, $C$12, 100%, $E$12)</f>
        <v>6.7441000000000004</v>
      </c>
    </row>
    <row r="365" spans="1:15" ht="15">
      <c r="A365" s="13">
        <v>52263</v>
      </c>
      <c r="B365" s="65">
        <f>5.5606 * CHOOSE(CONTROL!$C$23, $C$12, 100%, $E$12)</f>
        <v>5.5606</v>
      </c>
      <c r="C365" s="65">
        <f>5.5606 * CHOOSE(CONTROL!$C$23, $C$12, 100%, $E$12)</f>
        <v>5.5606</v>
      </c>
      <c r="D365" s="65">
        <f>5.5646 * CHOOSE(CONTROL!$C$23, $C$12, 100%, $E$12)</f>
        <v>5.5646000000000004</v>
      </c>
      <c r="E365" s="66">
        <f>6.6302 * CHOOSE(CONTROL!$C$23, $C$12, 100%, $E$12)</f>
        <v>6.6302000000000003</v>
      </c>
      <c r="F365" s="66">
        <f>6.6302 * CHOOSE(CONTROL!$C$23, $C$12, 100%, $E$12)</f>
        <v>6.6302000000000003</v>
      </c>
      <c r="G365" s="66">
        <f>6.6351 * CHOOSE(CONTROL!$C$23, $C$12, 100%, $E$12)</f>
        <v>6.6351000000000004</v>
      </c>
      <c r="H365" s="66">
        <f>12.1981* CHOOSE(CONTROL!$C$23, $C$12, 100%, $E$12)</f>
        <v>12.1981</v>
      </c>
      <c r="I365" s="66">
        <f>12.203 * CHOOSE(CONTROL!$C$23, $C$12, 100%, $E$12)</f>
        <v>12.202999999999999</v>
      </c>
      <c r="J365" s="66">
        <f>12.1981 * CHOOSE(CONTROL!$C$23, $C$12, 100%, $E$12)</f>
        <v>12.1981</v>
      </c>
      <c r="K365" s="66">
        <f>12.203 * CHOOSE(CONTROL!$C$23, $C$12, 100%, $E$12)</f>
        <v>12.202999999999999</v>
      </c>
      <c r="L365" s="66">
        <f>6.6302 * CHOOSE(CONTROL!$C$23, $C$12, 100%, $E$12)</f>
        <v>6.6302000000000003</v>
      </c>
      <c r="M365" s="66">
        <f>6.6351 * CHOOSE(CONTROL!$C$23, $C$12, 100%, $E$12)</f>
        <v>6.6351000000000004</v>
      </c>
      <c r="N365" s="66">
        <f>6.6302 * CHOOSE(CONTROL!$C$23, $C$12, 100%, $E$12)</f>
        <v>6.6302000000000003</v>
      </c>
      <c r="O365" s="66">
        <f>6.6351 * CHOOSE(CONTROL!$C$23, $C$12, 100%, $E$12)</f>
        <v>6.6351000000000004</v>
      </c>
    </row>
    <row r="366" spans="1:15" ht="15">
      <c r="A366" s="13">
        <v>52291</v>
      </c>
      <c r="B366" s="65">
        <f>5.5576 * CHOOSE(CONTROL!$C$23, $C$12, 100%, $E$12)</f>
        <v>5.5575999999999999</v>
      </c>
      <c r="C366" s="65">
        <f>5.5576 * CHOOSE(CONTROL!$C$23, $C$12, 100%, $E$12)</f>
        <v>5.5575999999999999</v>
      </c>
      <c r="D366" s="65">
        <f>5.5616 * CHOOSE(CONTROL!$C$23, $C$12, 100%, $E$12)</f>
        <v>5.5616000000000003</v>
      </c>
      <c r="E366" s="66">
        <f>6.7123 * CHOOSE(CONTROL!$C$23, $C$12, 100%, $E$12)</f>
        <v>6.7122999999999999</v>
      </c>
      <c r="F366" s="66">
        <f>6.7123 * CHOOSE(CONTROL!$C$23, $C$12, 100%, $E$12)</f>
        <v>6.7122999999999999</v>
      </c>
      <c r="G366" s="66">
        <f>6.7173 * CHOOSE(CONTROL!$C$23, $C$12, 100%, $E$12)</f>
        <v>6.7172999999999998</v>
      </c>
      <c r="H366" s="66">
        <f>12.2235* CHOOSE(CONTROL!$C$23, $C$12, 100%, $E$12)</f>
        <v>12.2235</v>
      </c>
      <c r="I366" s="66">
        <f>12.2284 * CHOOSE(CONTROL!$C$23, $C$12, 100%, $E$12)</f>
        <v>12.228400000000001</v>
      </c>
      <c r="J366" s="66">
        <f>12.2235 * CHOOSE(CONTROL!$C$23, $C$12, 100%, $E$12)</f>
        <v>12.2235</v>
      </c>
      <c r="K366" s="66">
        <f>12.2284 * CHOOSE(CONTROL!$C$23, $C$12, 100%, $E$12)</f>
        <v>12.228400000000001</v>
      </c>
      <c r="L366" s="66">
        <f>6.7123 * CHOOSE(CONTROL!$C$23, $C$12, 100%, $E$12)</f>
        <v>6.7122999999999999</v>
      </c>
      <c r="M366" s="66">
        <f>6.7173 * CHOOSE(CONTROL!$C$23, $C$12, 100%, $E$12)</f>
        <v>6.7172999999999998</v>
      </c>
      <c r="N366" s="66">
        <f>6.7123 * CHOOSE(CONTROL!$C$23, $C$12, 100%, $E$12)</f>
        <v>6.7122999999999999</v>
      </c>
      <c r="O366" s="66">
        <f>6.7173 * CHOOSE(CONTROL!$C$23, $C$12, 100%, $E$12)</f>
        <v>6.7172999999999998</v>
      </c>
    </row>
    <row r="367" spans="1:15" ht="15">
      <c r="A367" s="13">
        <v>52322</v>
      </c>
      <c r="B367" s="65">
        <f>5.5566 * CHOOSE(CONTROL!$C$23, $C$12, 100%, $E$12)</f>
        <v>5.5566000000000004</v>
      </c>
      <c r="C367" s="65">
        <f>5.5566 * CHOOSE(CONTROL!$C$23, $C$12, 100%, $E$12)</f>
        <v>5.5566000000000004</v>
      </c>
      <c r="D367" s="65">
        <f>5.5606 * CHOOSE(CONTROL!$C$23, $C$12, 100%, $E$12)</f>
        <v>5.5606</v>
      </c>
      <c r="E367" s="66">
        <f>6.7986 * CHOOSE(CONTROL!$C$23, $C$12, 100%, $E$12)</f>
        <v>6.7986000000000004</v>
      </c>
      <c r="F367" s="66">
        <f>6.7986 * CHOOSE(CONTROL!$C$23, $C$12, 100%, $E$12)</f>
        <v>6.7986000000000004</v>
      </c>
      <c r="G367" s="66">
        <f>6.8035 * CHOOSE(CONTROL!$C$23, $C$12, 100%, $E$12)</f>
        <v>6.8034999999999997</v>
      </c>
      <c r="H367" s="66">
        <f>12.249* CHOOSE(CONTROL!$C$23, $C$12, 100%, $E$12)</f>
        <v>12.249000000000001</v>
      </c>
      <c r="I367" s="66">
        <f>12.2539 * CHOOSE(CONTROL!$C$23, $C$12, 100%, $E$12)</f>
        <v>12.2539</v>
      </c>
      <c r="J367" s="66">
        <f>12.249 * CHOOSE(CONTROL!$C$23, $C$12, 100%, $E$12)</f>
        <v>12.249000000000001</v>
      </c>
      <c r="K367" s="66">
        <f>12.2539 * CHOOSE(CONTROL!$C$23, $C$12, 100%, $E$12)</f>
        <v>12.2539</v>
      </c>
      <c r="L367" s="66">
        <f>6.7986 * CHOOSE(CONTROL!$C$23, $C$12, 100%, $E$12)</f>
        <v>6.7986000000000004</v>
      </c>
      <c r="M367" s="66">
        <f>6.8035 * CHOOSE(CONTROL!$C$23, $C$12, 100%, $E$12)</f>
        <v>6.8034999999999997</v>
      </c>
      <c r="N367" s="66">
        <f>6.7986 * CHOOSE(CONTROL!$C$23, $C$12, 100%, $E$12)</f>
        <v>6.7986000000000004</v>
      </c>
      <c r="O367" s="66">
        <f>6.8035 * CHOOSE(CONTROL!$C$23, $C$12, 100%, $E$12)</f>
        <v>6.8034999999999997</v>
      </c>
    </row>
    <row r="368" spans="1:15" ht="15">
      <c r="A368" s="13">
        <v>52352</v>
      </c>
      <c r="B368" s="65">
        <f>5.5566 * CHOOSE(CONTROL!$C$23, $C$12, 100%, $E$12)</f>
        <v>5.5566000000000004</v>
      </c>
      <c r="C368" s="65">
        <f>5.5566 * CHOOSE(CONTROL!$C$23, $C$12, 100%, $E$12)</f>
        <v>5.5566000000000004</v>
      </c>
      <c r="D368" s="65">
        <f>5.5622 * CHOOSE(CONTROL!$C$23, $C$12, 100%, $E$12)</f>
        <v>5.5621999999999998</v>
      </c>
      <c r="E368" s="66">
        <f>6.8326 * CHOOSE(CONTROL!$C$23, $C$12, 100%, $E$12)</f>
        <v>6.8326000000000002</v>
      </c>
      <c r="F368" s="66">
        <f>6.8326 * CHOOSE(CONTROL!$C$23, $C$12, 100%, $E$12)</f>
        <v>6.8326000000000002</v>
      </c>
      <c r="G368" s="66">
        <f>6.8395 * CHOOSE(CONTROL!$C$23, $C$12, 100%, $E$12)</f>
        <v>6.8395000000000001</v>
      </c>
      <c r="H368" s="66">
        <f>12.2745* CHOOSE(CONTROL!$C$23, $C$12, 100%, $E$12)</f>
        <v>12.2745</v>
      </c>
      <c r="I368" s="66">
        <f>12.2814 * CHOOSE(CONTROL!$C$23, $C$12, 100%, $E$12)</f>
        <v>12.2814</v>
      </c>
      <c r="J368" s="66">
        <f>12.2745 * CHOOSE(CONTROL!$C$23, $C$12, 100%, $E$12)</f>
        <v>12.2745</v>
      </c>
      <c r="K368" s="66">
        <f>12.2814 * CHOOSE(CONTROL!$C$23, $C$12, 100%, $E$12)</f>
        <v>12.2814</v>
      </c>
      <c r="L368" s="66">
        <f>6.8326 * CHOOSE(CONTROL!$C$23, $C$12, 100%, $E$12)</f>
        <v>6.8326000000000002</v>
      </c>
      <c r="M368" s="66">
        <f>6.8395 * CHOOSE(CONTROL!$C$23, $C$12, 100%, $E$12)</f>
        <v>6.8395000000000001</v>
      </c>
      <c r="N368" s="66">
        <f>6.8326 * CHOOSE(CONTROL!$C$23, $C$12, 100%, $E$12)</f>
        <v>6.8326000000000002</v>
      </c>
      <c r="O368" s="66">
        <f>6.8395 * CHOOSE(CONTROL!$C$23, $C$12, 100%, $E$12)</f>
        <v>6.8395000000000001</v>
      </c>
    </row>
    <row r="369" spans="1:15" ht="15">
      <c r="A369" s="13">
        <v>52383</v>
      </c>
      <c r="B369" s="65">
        <f>5.5627 * CHOOSE(CONTROL!$C$23, $C$12, 100%, $E$12)</f>
        <v>5.5627000000000004</v>
      </c>
      <c r="C369" s="65">
        <f>5.5627 * CHOOSE(CONTROL!$C$23, $C$12, 100%, $E$12)</f>
        <v>5.5627000000000004</v>
      </c>
      <c r="D369" s="65">
        <f>5.5683 * CHOOSE(CONTROL!$C$23, $C$12, 100%, $E$12)</f>
        <v>5.5682999999999998</v>
      </c>
      <c r="E369" s="66">
        <f>6.8029 * CHOOSE(CONTROL!$C$23, $C$12, 100%, $E$12)</f>
        <v>6.8029000000000002</v>
      </c>
      <c r="F369" s="66">
        <f>6.8029 * CHOOSE(CONTROL!$C$23, $C$12, 100%, $E$12)</f>
        <v>6.8029000000000002</v>
      </c>
      <c r="G369" s="66">
        <f>6.8098 * CHOOSE(CONTROL!$C$23, $C$12, 100%, $E$12)</f>
        <v>6.8098000000000001</v>
      </c>
      <c r="H369" s="66">
        <f>12.3001* CHOOSE(CONTROL!$C$23, $C$12, 100%, $E$12)</f>
        <v>12.3001</v>
      </c>
      <c r="I369" s="66">
        <f>12.3069 * CHOOSE(CONTROL!$C$23, $C$12, 100%, $E$12)</f>
        <v>12.306900000000001</v>
      </c>
      <c r="J369" s="66">
        <f>12.3001 * CHOOSE(CONTROL!$C$23, $C$12, 100%, $E$12)</f>
        <v>12.3001</v>
      </c>
      <c r="K369" s="66">
        <f>12.3069 * CHOOSE(CONTROL!$C$23, $C$12, 100%, $E$12)</f>
        <v>12.306900000000001</v>
      </c>
      <c r="L369" s="66">
        <f>6.8029 * CHOOSE(CONTROL!$C$23, $C$12, 100%, $E$12)</f>
        <v>6.8029000000000002</v>
      </c>
      <c r="M369" s="66">
        <f>6.8098 * CHOOSE(CONTROL!$C$23, $C$12, 100%, $E$12)</f>
        <v>6.8098000000000001</v>
      </c>
      <c r="N369" s="66">
        <f>6.8029 * CHOOSE(CONTROL!$C$23, $C$12, 100%, $E$12)</f>
        <v>6.8029000000000002</v>
      </c>
      <c r="O369" s="66">
        <f>6.8098 * CHOOSE(CONTROL!$C$23, $C$12, 100%, $E$12)</f>
        <v>6.8098000000000001</v>
      </c>
    </row>
    <row r="370" spans="1:15" ht="15">
      <c r="A370" s="13">
        <v>52413</v>
      </c>
      <c r="B370" s="65">
        <f>5.6532 * CHOOSE(CONTROL!$C$23, $C$12, 100%, $E$12)</f>
        <v>5.6532</v>
      </c>
      <c r="C370" s="65">
        <f>5.6532 * CHOOSE(CONTROL!$C$23, $C$12, 100%, $E$12)</f>
        <v>5.6532</v>
      </c>
      <c r="D370" s="65">
        <f>5.6588 * CHOOSE(CONTROL!$C$23, $C$12, 100%, $E$12)</f>
        <v>5.6588000000000003</v>
      </c>
      <c r="E370" s="66">
        <f>6.9177 * CHOOSE(CONTROL!$C$23, $C$12, 100%, $E$12)</f>
        <v>6.9177</v>
      </c>
      <c r="F370" s="66">
        <f>6.9177 * CHOOSE(CONTROL!$C$23, $C$12, 100%, $E$12)</f>
        <v>6.9177</v>
      </c>
      <c r="G370" s="66">
        <f>6.9246 * CHOOSE(CONTROL!$C$23, $C$12, 100%, $E$12)</f>
        <v>6.9245999999999999</v>
      </c>
      <c r="H370" s="66">
        <f>12.3257* CHOOSE(CONTROL!$C$23, $C$12, 100%, $E$12)</f>
        <v>12.325699999999999</v>
      </c>
      <c r="I370" s="66">
        <f>12.3326 * CHOOSE(CONTROL!$C$23, $C$12, 100%, $E$12)</f>
        <v>12.332599999999999</v>
      </c>
      <c r="J370" s="66">
        <f>12.3257 * CHOOSE(CONTROL!$C$23, $C$12, 100%, $E$12)</f>
        <v>12.325699999999999</v>
      </c>
      <c r="K370" s="66">
        <f>12.3326 * CHOOSE(CONTROL!$C$23, $C$12, 100%, $E$12)</f>
        <v>12.332599999999999</v>
      </c>
      <c r="L370" s="66">
        <f>6.9177 * CHOOSE(CONTROL!$C$23, $C$12, 100%, $E$12)</f>
        <v>6.9177</v>
      </c>
      <c r="M370" s="66">
        <f>6.9246 * CHOOSE(CONTROL!$C$23, $C$12, 100%, $E$12)</f>
        <v>6.9245999999999999</v>
      </c>
      <c r="N370" s="66">
        <f>6.9177 * CHOOSE(CONTROL!$C$23, $C$12, 100%, $E$12)</f>
        <v>6.9177</v>
      </c>
      <c r="O370" s="66">
        <f>6.9246 * CHOOSE(CONTROL!$C$23, $C$12, 100%, $E$12)</f>
        <v>6.9245999999999999</v>
      </c>
    </row>
    <row r="371" spans="1:15" ht="15">
      <c r="A371" s="13">
        <v>52444</v>
      </c>
      <c r="B371" s="65">
        <f>5.6599 * CHOOSE(CONTROL!$C$23, $C$12, 100%, $E$12)</f>
        <v>5.6599000000000004</v>
      </c>
      <c r="C371" s="65">
        <f>5.6599 * CHOOSE(CONTROL!$C$23, $C$12, 100%, $E$12)</f>
        <v>5.6599000000000004</v>
      </c>
      <c r="D371" s="65">
        <f>5.6655 * CHOOSE(CONTROL!$C$23, $C$12, 100%, $E$12)</f>
        <v>5.6654999999999998</v>
      </c>
      <c r="E371" s="66">
        <f>6.8205 * CHOOSE(CONTROL!$C$23, $C$12, 100%, $E$12)</f>
        <v>6.8205</v>
      </c>
      <c r="F371" s="66">
        <f>6.8205 * CHOOSE(CONTROL!$C$23, $C$12, 100%, $E$12)</f>
        <v>6.8205</v>
      </c>
      <c r="G371" s="66">
        <f>6.8274 * CHOOSE(CONTROL!$C$23, $C$12, 100%, $E$12)</f>
        <v>6.8273999999999999</v>
      </c>
      <c r="H371" s="66">
        <f>12.3514* CHOOSE(CONTROL!$C$23, $C$12, 100%, $E$12)</f>
        <v>12.3514</v>
      </c>
      <c r="I371" s="66">
        <f>12.3583 * CHOOSE(CONTROL!$C$23, $C$12, 100%, $E$12)</f>
        <v>12.3583</v>
      </c>
      <c r="J371" s="66">
        <f>12.3514 * CHOOSE(CONTROL!$C$23, $C$12, 100%, $E$12)</f>
        <v>12.3514</v>
      </c>
      <c r="K371" s="66">
        <f>12.3583 * CHOOSE(CONTROL!$C$23, $C$12, 100%, $E$12)</f>
        <v>12.3583</v>
      </c>
      <c r="L371" s="66">
        <f>6.8205 * CHOOSE(CONTROL!$C$23, $C$12, 100%, $E$12)</f>
        <v>6.8205</v>
      </c>
      <c r="M371" s="66">
        <f>6.8274 * CHOOSE(CONTROL!$C$23, $C$12, 100%, $E$12)</f>
        <v>6.8273999999999999</v>
      </c>
      <c r="N371" s="66">
        <f>6.8205 * CHOOSE(CONTROL!$C$23, $C$12, 100%, $E$12)</f>
        <v>6.8205</v>
      </c>
      <c r="O371" s="66">
        <f>6.8274 * CHOOSE(CONTROL!$C$23, $C$12, 100%, $E$12)</f>
        <v>6.8273999999999999</v>
      </c>
    </row>
    <row r="372" spans="1:15" ht="15">
      <c r="A372" s="13">
        <v>52475</v>
      </c>
      <c r="B372" s="65">
        <f>5.6569 * CHOOSE(CONTROL!$C$23, $C$12, 100%, $E$12)</f>
        <v>5.6569000000000003</v>
      </c>
      <c r="C372" s="65">
        <f>5.6569 * CHOOSE(CONTROL!$C$23, $C$12, 100%, $E$12)</f>
        <v>5.6569000000000003</v>
      </c>
      <c r="D372" s="65">
        <f>5.6625 * CHOOSE(CONTROL!$C$23, $C$12, 100%, $E$12)</f>
        <v>5.6624999999999996</v>
      </c>
      <c r="E372" s="66">
        <f>6.8071 * CHOOSE(CONTROL!$C$23, $C$12, 100%, $E$12)</f>
        <v>6.8071000000000002</v>
      </c>
      <c r="F372" s="66">
        <f>6.8071 * CHOOSE(CONTROL!$C$23, $C$12, 100%, $E$12)</f>
        <v>6.8071000000000002</v>
      </c>
      <c r="G372" s="66">
        <f>6.8139 * CHOOSE(CONTROL!$C$23, $C$12, 100%, $E$12)</f>
        <v>6.8139000000000003</v>
      </c>
      <c r="H372" s="66">
        <f>12.3771* CHOOSE(CONTROL!$C$23, $C$12, 100%, $E$12)</f>
        <v>12.3771</v>
      </c>
      <c r="I372" s="66">
        <f>12.384 * CHOOSE(CONTROL!$C$23, $C$12, 100%, $E$12)</f>
        <v>12.384</v>
      </c>
      <c r="J372" s="66">
        <f>12.3771 * CHOOSE(CONTROL!$C$23, $C$12, 100%, $E$12)</f>
        <v>12.3771</v>
      </c>
      <c r="K372" s="66">
        <f>12.384 * CHOOSE(CONTROL!$C$23, $C$12, 100%, $E$12)</f>
        <v>12.384</v>
      </c>
      <c r="L372" s="66">
        <f>6.8071 * CHOOSE(CONTROL!$C$23, $C$12, 100%, $E$12)</f>
        <v>6.8071000000000002</v>
      </c>
      <c r="M372" s="66">
        <f>6.8139 * CHOOSE(CONTROL!$C$23, $C$12, 100%, $E$12)</f>
        <v>6.8139000000000003</v>
      </c>
      <c r="N372" s="66">
        <f>6.8071 * CHOOSE(CONTROL!$C$23, $C$12, 100%, $E$12)</f>
        <v>6.8071000000000002</v>
      </c>
      <c r="O372" s="66">
        <f>6.8139 * CHOOSE(CONTROL!$C$23, $C$12, 100%, $E$12)</f>
        <v>6.8139000000000003</v>
      </c>
    </row>
    <row r="373" spans="1:15" ht="15">
      <c r="A373" s="13">
        <v>52505</v>
      </c>
      <c r="B373" s="65">
        <f>5.6574 * CHOOSE(CONTROL!$C$23, $C$12, 100%, $E$12)</f>
        <v>5.6574</v>
      </c>
      <c r="C373" s="65">
        <f>5.6574 * CHOOSE(CONTROL!$C$23, $C$12, 100%, $E$12)</f>
        <v>5.6574</v>
      </c>
      <c r="D373" s="65">
        <f>5.6614 * CHOOSE(CONTROL!$C$23, $C$12, 100%, $E$12)</f>
        <v>5.6614000000000004</v>
      </c>
      <c r="E373" s="66">
        <f>6.8389 * CHOOSE(CONTROL!$C$23, $C$12, 100%, $E$12)</f>
        <v>6.8388999999999998</v>
      </c>
      <c r="F373" s="66">
        <f>6.8389 * CHOOSE(CONTROL!$C$23, $C$12, 100%, $E$12)</f>
        <v>6.8388999999999998</v>
      </c>
      <c r="G373" s="66">
        <f>6.8438 * CHOOSE(CONTROL!$C$23, $C$12, 100%, $E$12)</f>
        <v>6.8437999999999999</v>
      </c>
      <c r="H373" s="66">
        <f>12.4029* CHOOSE(CONTROL!$C$23, $C$12, 100%, $E$12)</f>
        <v>12.402900000000001</v>
      </c>
      <c r="I373" s="66">
        <f>12.4078 * CHOOSE(CONTROL!$C$23, $C$12, 100%, $E$12)</f>
        <v>12.4078</v>
      </c>
      <c r="J373" s="66">
        <f>12.4029 * CHOOSE(CONTROL!$C$23, $C$12, 100%, $E$12)</f>
        <v>12.402900000000001</v>
      </c>
      <c r="K373" s="66">
        <f>12.4078 * CHOOSE(CONTROL!$C$23, $C$12, 100%, $E$12)</f>
        <v>12.4078</v>
      </c>
      <c r="L373" s="66">
        <f>6.8389 * CHOOSE(CONTROL!$C$23, $C$12, 100%, $E$12)</f>
        <v>6.8388999999999998</v>
      </c>
      <c r="M373" s="66">
        <f>6.8438 * CHOOSE(CONTROL!$C$23, $C$12, 100%, $E$12)</f>
        <v>6.8437999999999999</v>
      </c>
      <c r="N373" s="66">
        <f>6.8389 * CHOOSE(CONTROL!$C$23, $C$12, 100%, $E$12)</f>
        <v>6.8388999999999998</v>
      </c>
      <c r="O373" s="66">
        <f>6.8438 * CHOOSE(CONTROL!$C$23, $C$12, 100%, $E$12)</f>
        <v>6.8437999999999999</v>
      </c>
    </row>
    <row r="374" spans="1:15" ht="15">
      <c r="A374" s="13">
        <v>52536</v>
      </c>
      <c r="B374" s="65">
        <f>5.6605 * CHOOSE(CONTROL!$C$23, $C$12, 100%, $E$12)</f>
        <v>5.6604999999999999</v>
      </c>
      <c r="C374" s="65">
        <f>5.6605 * CHOOSE(CONTROL!$C$23, $C$12, 100%, $E$12)</f>
        <v>5.6604999999999999</v>
      </c>
      <c r="D374" s="65">
        <f>5.6645 * CHOOSE(CONTROL!$C$23, $C$12, 100%, $E$12)</f>
        <v>5.6645000000000003</v>
      </c>
      <c r="E374" s="66">
        <f>6.8636 * CHOOSE(CONTROL!$C$23, $C$12, 100%, $E$12)</f>
        <v>6.8635999999999999</v>
      </c>
      <c r="F374" s="66">
        <f>6.8636 * CHOOSE(CONTROL!$C$23, $C$12, 100%, $E$12)</f>
        <v>6.8635999999999999</v>
      </c>
      <c r="G374" s="66">
        <f>6.8686 * CHOOSE(CONTROL!$C$23, $C$12, 100%, $E$12)</f>
        <v>6.8685999999999998</v>
      </c>
      <c r="H374" s="66">
        <f>12.4287* CHOOSE(CONTROL!$C$23, $C$12, 100%, $E$12)</f>
        <v>12.428699999999999</v>
      </c>
      <c r="I374" s="66">
        <f>12.4336 * CHOOSE(CONTROL!$C$23, $C$12, 100%, $E$12)</f>
        <v>12.4336</v>
      </c>
      <c r="J374" s="66">
        <f>12.4287 * CHOOSE(CONTROL!$C$23, $C$12, 100%, $E$12)</f>
        <v>12.428699999999999</v>
      </c>
      <c r="K374" s="66">
        <f>12.4336 * CHOOSE(CONTROL!$C$23, $C$12, 100%, $E$12)</f>
        <v>12.4336</v>
      </c>
      <c r="L374" s="66">
        <f>6.8636 * CHOOSE(CONTROL!$C$23, $C$12, 100%, $E$12)</f>
        <v>6.8635999999999999</v>
      </c>
      <c r="M374" s="66">
        <f>6.8686 * CHOOSE(CONTROL!$C$23, $C$12, 100%, $E$12)</f>
        <v>6.8685999999999998</v>
      </c>
      <c r="N374" s="66">
        <f>6.8636 * CHOOSE(CONTROL!$C$23, $C$12, 100%, $E$12)</f>
        <v>6.8635999999999999</v>
      </c>
      <c r="O374" s="66">
        <f>6.8686 * CHOOSE(CONTROL!$C$23, $C$12, 100%, $E$12)</f>
        <v>6.8685999999999998</v>
      </c>
    </row>
    <row r="375" spans="1:15" ht="15">
      <c r="A375" s="13">
        <v>52566</v>
      </c>
      <c r="B375" s="65">
        <f>5.6605 * CHOOSE(CONTROL!$C$23, $C$12, 100%, $E$12)</f>
        <v>5.6604999999999999</v>
      </c>
      <c r="C375" s="65">
        <f>5.6605 * CHOOSE(CONTROL!$C$23, $C$12, 100%, $E$12)</f>
        <v>5.6604999999999999</v>
      </c>
      <c r="D375" s="65">
        <f>5.6645 * CHOOSE(CONTROL!$C$23, $C$12, 100%, $E$12)</f>
        <v>5.6645000000000003</v>
      </c>
      <c r="E375" s="66">
        <f>6.8071 * CHOOSE(CONTROL!$C$23, $C$12, 100%, $E$12)</f>
        <v>6.8071000000000002</v>
      </c>
      <c r="F375" s="66">
        <f>6.8071 * CHOOSE(CONTROL!$C$23, $C$12, 100%, $E$12)</f>
        <v>6.8071000000000002</v>
      </c>
      <c r="G375" s="66">
        <f>6.812 * CHOOSE(CONTROL!$C$23, $C$12, 100%, $E$12)</f>
        <v>6.8120000000000003</v>
      </c>
      <c r="H375" s="66">
        <f>12.4546* CHOOSE(CONTROL!$C$23, $C$12, 100%, $E$12)</f>
        <v>12.454599999999999</v>
      </c>
      <c r="I375" s="66">
        <f>12.4595 * CHOOSE(CONTROL!$C$23, $C$12, 100%, $E$12)</f>
        <v>12.4595</v>
      </c>
      <c r="J375" s="66">
        <f>12.4546 * CHOOSE(CONTROL!$C$23, $C$12, 100%, $E$12)</f>
        <v>12.454599999999999</v>
      </c>
      <c r="K375" s="66">
        <f>12.4595 * CHOOSE(CONTROL!$C$23, $C$12, 100%, $E$12)</f>
        <v>12.4595</v>
      </c>
      <c r="L375" s="66">
        <f>6.8071 * CHOOSE(CONTROL!$C$23, $C$12, 100%, $E$12)</f>
        <v>6.8071000000000002</v>
      </c>
      <c r="M375" s="66">
        <f>6.812 * CHOOSE(CONTROL!$C$23, $C$12, 100%, $E$12)</f>
        <v>6.8120000000000003</v>
      </c>
      <c r="N375" s="66">
        <f>6.8071 * CHOOSE(CONTROL!$C$23, $C$12, 100%, $E$12)</f>
        <v>6.8071000000000002</v>
      </c>
      <c r="O375" s="66">
        <f>6.812 * CHOOSE(CONTROL!$C$23, $C$12, 100%, $E$12)</f>
        <v>6.8120000000000003</v>
      </c>
    </row>
    <row r="376" spans="1:15" ht="15">
      <c r="A376" s="13">
        <v>52597</v>
      </c>
      <c r="B376" s="65">
        <f>5.7103 * CHOOSE(CONTROL!$C$23, $C$12, 100%, $E$12)</f>
        <v>5.7103000000000002</v>
      </c>
      <c r="C376" s="65">
        <f>5.7103 * CHOOSE(CONTROL!$C$23, $C$12, 100%, $E$12)</f>
        <v>5.7103000000000002</v>
      </c>
      <c r="D376" s="65">
        <f>5.7143 * CHOOSE(CONTROL!$C$23, $C$12, 100%, $E$12)</f>
        <v>5.7142999999999997</v>
      </c>
      <c r="E376" s="66">
        <f>6.9038 * CHOOSE(CONTROL!$C$23, $C$12, 100%, $E$12)</f>
        <v>6.9038000000000004</v>
      </c>
      <c r="F376" s="66">
        <f>6.9038 * CHOOSE(CONTROL!$C$23, $C$12, 100%, $E$12)</f>
        <v>6.9038000000000004</v>
      </c>
      <c r="G376" s="66">
        <f>6.9087 * CHOOSE(CONTROL!$C$23, $C$12, 100%, $E$12)</f>
        <v>6.9086999999999996</v>
      </c>
      <c r="H376" s="66">
        <f>12.4806* CHOOSE(CONTROL!$C$23, $C$12, 100%, $E$12)</f>
        <v>12.480600000000001</v>
      </c>
      <c r="I376" s="66">
        <f>12.4855 * CHOOSE(CONTROL!$C$23, $C$12, 100%, $E$12)</f>
        <v>12.4855</v>
      </c>
      <c r="J376" s="66">
        <f>12.4806 * CHOOSE(CONTROL!$C$23, $C$12, 100%, $E$12)</f>
        <v>12.480600000000001</v>
      </c>
      <c r="K376" s="66">
        <f>12.4855 * CHOOSE(CONTROL!$C$23, $C$12, 100%, $E$12)</f>
        <v>12.4855</v>
      </c>
      <c r="L376" s="66">
        <f>6.9038 * CHOOSE(CONTROL!$C$23, $C$12, 100%, $E$12)</f>
        <v>6.9038000000000004</v>
      </c>
      <c r="M376" s="66">
        <f>6.9087 * CHOOSE(CONTROL!$C$23, $C$12, 100%, $E$12)</f>
        <v>6.9086999999999996</v>
      </c>
      <c r="N376" s="66">
        <f>6.9038 * CHOOSE(CONTROL!$C$23, $C$12, 100%, $E$12)</f>
        <v>6.9038000000000004</v>
      </c>
      <c r="O376" s="66">
        <f>6.9087 * CHOOSE(CONTROL!$C$23, $C$12, 100%, $E$12)</f>
        <v>6.9086999999999996</v>
      </c>
    </row>
    <row r="377" spans="1:15" ht="15">
      <c r="A377" s="13">
        <v>52628</v>
      </c>
      <c r="B377" s="65">
        <f>5.7073 * CHOOSE(CONTROL!$C$23, $C$12, 100%, $E$12)</f>
        <v>5.7073</v>
      </c>
      <c r="C377" s="65">
        <f>5.7073 * CHOOSE(CONTROL!$C$23, $C$12, 100%, $E$12)</f>
        <v>5.7073</v>
      </c>
      <c r="D377" s="65">
        <f>5.7113 * CHOOSE(CONTROL!$C$23, $C$12, 100%, $E$12)</f>
        <v>5.7112999999999996</v>
      </c>
      <c r="E377" s="66">
        <f>6.7917 * CHOOSE(CONTROL!$C$23, $C$12, 100%, $E$12)</f>
        <v>6.7916999999999996</v>
      </c>
      <c r="F377" s="66">
        <f>6.7917 * CHOOSE(CONTROL!$C$23, $C$12, 100%, $E$12)</f>
        <v>6.7916999999999996</v>
      </c>
      <c r="G377" s="66">
        <f>6.7967 * CHOOSE(CONTROL!$C$23, $C$12, 100%, $E$12)</f>
        <v>6.7967000000000004</v>
      </c>
      <c r="H377" s="66">
        <f>12.5066* CHOOSE(CONTROL!$C$23, $C$12, 100%, $E$12)</f>
        <v>12.506600000000001</v>
      </c>
      <c r="I377" s="66">
        <f>12.5115 * CHOOSE(CONTROL!$C$23, $C$12, 100%, $E$12)</f>
        <v>12.5115</v>
      </c>
      <c r="J377" s="66">
        <f>12.5066 * CHOOSE(CONTROL!$C$23, $C$12, 100%, $E$12)</f>
        <v>12.506600000000001</v>
      </c>
      <c r="K377" s="66">
        <f>12.5115 * CHOOSE(CONTROL!$C$23, $C$12, 100%, $E$12)</f>
        <v>12.5115</v>
      </c>
      <c r="L377" s="66">
        <f>6.7917 * CHOOSE(CONTROL!$C$23, $C$12, 100%, $E$12)</f>
        <v>6.7916999999999996</v>
      </c>
      <c r="M377" s="66">
        <f>6.7967 * CHOOSE(CONTROL!$C$23, $C$12, 100%, $E$12)</f>
        <v>6.7967000000000004</v>
      </c>
      <c r="N377" s="66">
        <f>6.7917 * CHOOSE(CONTROL!$C$23, $C$12, 100%, $E$12)</f>
        <v>6.7916999999999996</v>
      </c>
      <c r="O377" s="66">
        <f>6.7967 * CHOOSE(CONTROL!$C$23, $C$12, 100%, $E$12)</f>
        <v>6.7967000000000004</v>
      </c>
    </row>
    <row r="378" spans="1:15" ht="15">
      <c r="A378" s="13">
        <v>52657</v>
      </c>
      <c r="B378" s="65">
        <f>5.7042 * CHOOSE(CONTROL!$C$23, $C$12, 100%, $E$12)</f>
        <v>5.7042000000000002</v>
      </c>
      <c r="C378" s="65">
        <f>5.7042 * CHOOSE(CONTROL!$C$23, $C$12, 100%, $E$12)</f>
        <v>5.7042000000000002</v>
      </c>
      <c r="D378" s="65">
        <f>5.7082 * CHOOSE(CONTROL!$C$23, $C$12, 100%, $E$12)</f>
        <v>5.7081999999999997</v>
      </c>
      <c r="E378" s="66">
        <f>6.8763 * CHOOSE(CONTROL!$C$23, $C$12, 100%, $E$12)</f>
        <v>6.8762999999999996</v>
      </c>
      <c r="F378" s="66">
        <f>6.8763 * CHOOSE(CONTROL!$C$23, $C$12, 100%, $E$12)</f>
        <v>6.8762999999999996</v>
      </c>
      <c r="G378" s="66">
        <f>6.8812 * CHOOSE(CONTROL!$C$23, $C$12, 100%, $E$12)</f>
        <v>6.8811999999999998</v>
      </c>
      <c r="H378" s="66">
        <f>12.5326* CHOOSE(CONTROL!$C$23, $C$12, 100%, $E$12)</f>
        <v>12.5326</v>
      </c>
      <c r="I378" s="66">
        <f>12.5375 * CHOOSE(CONTROL!$C$23, $C$12, 100%, $E$12)</f>
        <v>12.5375</v>
      </c>
      <c r="J378" s="66">
        <f>12.5326 * CHOOSE(CONTROL!$C$23, $C$12, 100%, $E$12)</f>
        <v>12.5326</v>
      </c>
      <c r="K378" s="66">
        <f>12.5375 * CHOOSE(CONTROL!$C$23, $C$12, 100%, $E$12)</f>
        <v>12.5375</v>
      </c>
      <c r="L378" s="66">
        <f>6.8763 * CHOOSE(CONTROL!$C$23, $C$12, 100%, $E$12)</f>
        <v>6.8762999999999996</v>
      </c>
      <c r="M378" s="66">
        <f>6.8812 * CHOOSE(CONTROL!$C$23, $C$12, 100%, $E$12)</f>
        <v>6.8811999999999998</v>
      </c>
      <c r="N378" s="66">
        <f>6.8763 * CHOOSE(CONTROL!$C$23, $C$12, 100%, $E$12)</f>
        <v>6.8762999999999996</v>
      </c>
      <c r="O378" s="66">
        <f>6.8812 * CHOOSE(CONTROL!$C$23, $C$12, 100%, $E$12)</f>
        <v>6.8811999999999998</v>
      </c>
    </row>
    <row r="379" spans="1:15" ht="15">
      <c r="A379" s="13">
        <v>52688</v>
      </c>
      <c r="B379" s="65">
        <f>5.7034 * CHOOSE(CONTROL!$C$23, $C$12, 100%, $E$12)</f>
        <v>5.7034000000000002</v>
      </c>
      <c r="C379" s="65">
        <f>5.7034 * CHOOSE(CONTROL!$C$23, $C$12, 100%, $E$12)</f>
        <v>5.7034000000000002</v>
      </c>
      <c r="D379" s="65">
        <f>5.7074 * CHOOSE(CONTROL!$C$23, $C$12, 100%, $E$12)</f>
        <v>5.7073999999999998</v>
      </c>
      <c r="E379" s="66">
        <f>6.9651 * CHOOSE(CONTROL!$C$23, $C$12, 100%, $E$12)</f>
        <v>6.9650999999999996</v>
      </c>
      <c r="F379" s="66">
        <f>6.9651 * CHOOSE(CONTROL!$C$23, $C$12, 100%, $E$12)</f>
        <v>6.9650999999999996</v>
      </c>
      <c r="G379" s="66">
        <f>6.97 * CHOOSE(CONTROL!$C$23, $C$12, 100%, $E$12)</f>
        <v>6.97</v>
      </c>
      <c r="H379" s="66">
        <f>12.5587* CHOOSE(CONTROL!$C$23, $C$12, 100%, $E$12)</f>
        <v>12.5587</v>
      </c>
      <c r="I379" s="66">
        <f>12.5636 * CHOOSE(CONTROL!$C$23, $C$12, 100%, $E$12)</f>
        <v>12.563599999999999</v>
      </c>
      <c r="J379" s="66">
        <f>12.5587 * CHOOSE(CONTROL!$C$23, $C$12, 100%, $E$12)</f>
        <v>12.5587</v>
      </c>
      <c r="K379" s="66">
        <f>12.5636 * CHOOSE(CONTROL!$C$23, $C$12, 100%, $E$12)</f>
        <v>12.563599999999999</v>
      </c>
      <c r="L379" s="66">
        <f>6.9651 * CHOOSE(CONTROL!$C$23, $C$12, 100%, $E$12)</f>
        <v>6.9650999999999996</v>
      </c>
      <c r="M379" s="66">
        <f>6.97 * CHOOSE(CONTROL!$C$23, $C$12, 100%, $E$12)</f>
        <v>6.97</v>
      </c>
      <c r="N379" s="66">
        <f>6.9651 * CHOOSE(CONTROL!$C$23, $C$12, 100%, $E$12)</f>
        <v>6.9650999999999996</v>
      </c>
      <c r="O379" s="66">
        <f>6.97 * CHOOSE(CONTROL!$C$23, $C$12, 100%, $E$12)</f>
        <v>6.97</v>
      </c>
    </row>
    <row r="380" spans="1:15" ht="15">
      <c r="A380" s="13">
        <v>52718</v>
      </c>
      <c r="B380" s="65">
        <f>5.7034 * CHOOSE(CONTROL!$C$23, $C$12, 100%, $E$12)</f>
        <v>5.7034000000000002</v>
      </c>
      <c r="C380" s="65">
        <f>5.7034 * CHOOSE(CONTROL!$C$23, $C$12, 100%, $E$12)</f>
        <v>5.7034000000000002</v>
      </c>
      <c r="D380" s="65">
        <f>5.709 * CHOOSE(CONTROL!$C$23, $C$12, 100%, $E$12)</f>
        <v>5.7089999999999996</v>
      </c>
      <c r="E380" s="66">
        <f>7 * CHOOSE(CONTROL!$C$23, $C$12, 100%, $E$12)</f>
        <v>7</v>
      </c>
      <c r="F380" s="66">
        <f>7 * CHOOSE(CONTROL!$C$23, $C$12, 100%, $E$12)</f>
        <v>7</v>
      </c>
      <c r="G380" s="66">
        <f>7.0069 * CHOOSE(CONTROL!$C$23, $C$12, 100%, $E$12)</f>
        <v>7.0068999999999999</v>
      </c>
      <c r="H380" s="66">
        <f>12.5849* CHOOSE(CONTROL!$C$23, $C$12, 100%, $E$12)</f>
        <v>12.584899999999999</v>
      </c>
      <c r="I380" s="66">
        <f>12.5918 * CHOOSE(CONTROL!$C$23, $C$12, 100%, $E$12)</f>
        <v>12.591799999999999</v>
      </c>
      <c r="J380" s="66">
        <f>12.5849 * CHOOSE(CONTROL!$C$23, $C$12, 100%, $E$12)</f>
        <v>12.584899999999999</v>
      </c>
      <c r="K380" s="66">
        <f>12.5918 * CHOOSE(CONTROL!$C$23, $C$12, 100%, $E$12)</f>
        <v>12.591799999999999</v>
      </c>
      <c r="L380" s="66">
        <f>7 * CHOOSE(CONTROL!$C$23, $C$12, 100%, $E$12)</f>
        <v>7</v>
      </c>
      <c r="M380" s="66">
        <f>7.0069 * CHOOSE(CONTROL!$C$23, $C$12, 100%, $E$12)</f>
        <v>7.0068999999999999</v>
      </c>
      <c r="N380" s="66">
        <f>7 * CHOOSE(CONTROL!$C$23, $C$12, 100%, $E$12)</f>
        <v>7</v>
      </c>
      <c r="O380" s="66">
        <f>7.0069 * CHOOSE(CONTROL!$C$23, $C$12, 100%, $E$12)</f>
        <v>7.0068999999999999</v>
      </c>
    </row>
    <row r="381" spans="1:15" ht="15">
      <c r="A381" s="13">
        <v>52749</v>
      </c>
      <c r="B381" s="65">
        <f>5.7094 * CHOOSE(CONTROL!$C$23, $C$12, 100%, $E$12)</f>
        <v>5.7093999999999996</v>
      </c>
      <c r="C381" s="65">
        <f>5.7094 * CHOOSE(CONTROL!$C$23, $C$12, 100%, $E$12)</f>
        <v>5.7093999999999996</v>
      </c>
      <c r="D381" s="65">
        <f>5.7151 * CHOOSE(CONTROL!$C$23, $C$12, 100%, $E$12)</f>
        <v>5.7150999999999996</v>
      </c>
      <c r="E381" s="66">
        <f>6.9693 * CHOOSE(CONTROL!$C$23, $C$12, 100%, $E$12)</f>
        <v>6.9692999999999996</v>
      </c>
      <c r="F381" s="66">
        <f>6.9693 * CHOOSE(CONTROL!$C$23, $C$12, 100%, $E$12)</f>
        <v>6.9692999999999996</v>
      </c>
      <c r="G381" s="66">
        <f>6.9762 * CHOOSE(CONTROL!$C$23, $C$12, 100%, $E$12)</f>
        <v>6.9762000000000004</v>
      </c>
      <c r="H381" s="66">
        <f>12.6111* CHOOSE(CONTROL!$C$23, $C$12, 100%, $E$12)</f>
        <v>12.6111</v>
      </c>
      <c r="I381" s="66">
        <f>12.618 * CHOOSE(CONTROL!$C$23, $C$12, 100%, $E$12)</f>
        <v>12.618</v>
      </c>
      <c r="J381" s="66">
        <f>12.6111 * CHOOSE(CONTROL!$C$23, $C$12, 100%, $E$12)</f>
        <v>12.6111</v>
      </c>
      <c r="K381" s="66">
        <f>12.618 * CHOOSE(CONTROL!$C$23, $C$12, 100%, $E$12)</f>
        <v>12.618</v>
      </c>
      <c r="L381" s="66">
        <f>6.9693 * CHOOSE(CONTROL!$C$23, $C$12, 100%, $E$12)</f>
        <v>6.9692999999999996</v>
      </c>
      <c r="M381" s="66">
        <f>6.9762 * CHOOSE(CONTROL!$C$23, $C$12, 100%, $E$12)</f>
        <v>6.9762000000000004</v>
      </c>
      <c r="N381" s="66">
        <f>6.9693 * CHOOSE(CONTROL!$C$23, $C$12, 100%, $E$12)</f>
        <v>6.9692999999999996</v>
      </c>
      <c r="O381" s="66">
        <f>6.9762 * CHOOSE(CONTROL!$C$23, $C$12, 100%, $E$12)</f>
        <v>6.9762000000000004</v>
      </c>
    </row>
    <row r="382" spans="1:15" ht="15">
      <c r="A382" s="13">
        <v>52779</v>
      </c>
      <c r="B382" s="65">
        <f>5.8021 * CHOOSE(CONTROL!$C$23, $C$12, 100%, $E$12)</f>
        <v>5.8021000000000003</v>
      </c>
      <c r="C382" s="65">
        <f>5.8021 * CHOOSE(CONTROL!$C$23, $C$12, 100%, $E$12)</f>
        <v>5.8021000000000003</v>
      </c>
      <c r="D382" s="65">
        <f>5.8078 * CHOOSE(CONTROL!$C$23, $C$12, 100%, $E$12)</f>
        <v>5.8078000000000003</v>
      </c>
      <c r="E382" s="66">
        <f>7.0867 * CHOOSE(CONTROL!$C$23, $C$12, 100%, $E$12)</f>
        <v>7.0867000000000004</v>
      </c>
      <c r="F382" s="66">
        <f>7.0867 * CHOOSE(CONTROL!$C$23, $C$12, 100%, $E$12)</f>
        <v>7.0867000000000004</v>
      </c>
      <c r="G382" s="66">
        <f>7.0936 * CHOOSE(CONTROL!$C$23, $C$12, 100%, $E$12)</f>
        <v>7.0936000000000003</v>
      </c>
      <c r="H382" s="66">
        <f>12.6374* CHOOSE(CONTROL!$C$23, $C$12, 100%, $E$12)</f>
        <v>12.6374</v>
      </c>
      <c r="I382" s="66">
        <f>12.6443 * CHOOSE(CONTROL!$C$23, $C$12, 100%, $E$12)</f>
        <v>12.644299999999999</v>
      </c>
      <c r="J382" s="66">
        <f>12.6374 * CHOOSE(CONTROL!$C$23, $C$12, 100%, $E$12)</f>
        <v>12.6374</v>
      </c>
      <c r="K382" s="66">
        <f>12.6443 * CHOOSE(CONTROL!$C$23, $C$12, 100%, $E$12)</f>
        <v>12.644299999999999</v>
      </c>
      <c r="L382" s="66">
        <f>7.0867 * CHOOSE(CONTROL!$C$23, $C$12, 100%, $E$12)</f>
        <v>7.0867000000000004</v>
      </c>
      <c r="M382" s="66">
        <f>7.0936 * CHOOSE(CONTROL!$C$23, $C$12, 100%, $E$12)</f>
        <v>7.0936000000000003</v>
      </c>
      <c r="N382" s="66">
        <f>7.0867 * CHOOSE(CONTROL!$C$23, $C$12, 100%, $E$12)</f>
        <v>7.0867000000000004</v>
      </c>
      <c r="O382" s="66">
        <f>7.0936 * CHOOSE(CONTROL!$C$23, $C$12, 100%, $E$12)</f>
        <v>7.0936000000000003</v>
      </c>
    </row>
    <row r="383" spans="1:15" ht="15">
      <c r="A383" s="13">
        <v>52810</v>
      </c>
      <c r="B383" s="65">
        <f>5.8088 * CHOOSE(CONTROL!$C$23, $C$12, 100%, $E$12)</f>
        <v>5.8087999999999997</v>
      </c>
      <c r="C383" s="65">
        <f>5.8088 * CHOOSE(CONTROL!$C$23, $C$12, 100%, $E$12)</f>
        <v>5.8087999999999997</v>
      </c>
      <c r="D383" s="65">
        <f>5.8145 * CHOOSE(CONTROL!$C$23, $C$12, 100%, $E$12)</f>
        <v>5.8144999999999998</v>
      </c>
      <c r="E383" s="66">
        <f>6.9867 * CHOOSE(CONTROL!$C$23, $C$12, 100%, $E$12)</f>
        <v>6.9866999999999999</v>
      </c>
      <c r="F383" s="66">
        <f>6.9867 * CHOOSE(CONTROL!$C$23, $C$12, 100%, $E$12)</f>
        <v>6.9866999999999999</v>
      </c>
      <c r="G383" s="66">
        <f>6.9936 * CHOOSE(CONTROL!$C$23, $C$12, 100%, $E$12)</f>
        <v>6.9935999999999998</v>
      </c>
      <c r="H383" s="66">
        <f>12.6637* CHOOSE(CONTROL!$C$23, $C$12, 100%, $E$12)</f>
        <v>12.6637</v>
      </c>
      <c r="I383" s="66">
        <f>12.6706 * CHOOSE(CONTROL!$C$23, $C$12, 100%, $E$12)</f>
        <v>12.6706</v>
      </c>
      <c r="J383" s="66">
        <f>12.6637 * CHOOSE(CONTROL!$C$23, $C$12, 100%, $E$12)</f>
        <v>12.6637</v>
      </c>
      <c r="K383" s="66">
        <f>12.6706 * CHOOSE(CONTROL!$C$23, $C$12, 100%, $E$12)</f>
        <v>12.6706</v>
      </c>
      <c r="L383" s="66">
        <f>6.9867 * CHOOSE(CONTROL!$C$23, $C$12, 100%, $E$12)</f>
        <v>6.9866999999999999</v>
      </c>
      <c r="M383" s="66">
        <f>6.9936 * CHOOSE(CONTROL!$C$23, $C$12, 100%, $E$12)</f>
        <v>6.9935999999999998</v>
      </c>
      <c r="N383" s="66">
        <f>6.9867 * CHOOSE(CONTROL!$C$23, $C$12, 100%, $E$12)</f>
        <v>6.9866999999999999</v>
      </c>
      <c r="O383" s="66">
        <f>6.9936 * CHOOSE(CONTROL!$C$23, $C$12, 100%, $E$12)</f>
        <v>6.9935999999999998</v>
      </c>
    </row>
    <row r="384" spans="1:15" ht="15">
      <c r="A384" s="13">
        <v>52841</v>
      </c>
      <c r="B384" s="65">
        <f>5.8058 * CHOOSE(CONTROL!$C$23, $C$12, 100%, $E$12)</f>
        <v>5.8057999999999996</v>
      </c>
      <c r="C384" s="65">
        <f>5.8058 * CHOOSE(CONTROL!$C$23, $C$12, 100%, $E$12)</f>
        <v>5.8057999999999996</v>
      </c>
      <c r="D384" s="65">
        <f>5.8114 * CHOOSE(CONTROL!$C$23, $C$12, 100%, $E$12)</f>
        <v>5.8113999999999999</v>
      </c>
      <c r="E384" s="66">
        <f>6.9729 * CHOOSE(CONTROL!$C$23, $C$12, 100%, $E$12)</f>
        <v>6.9729000000000001</v>
      </c>
      <c r="F384" s="66">
        <f>6.9729 * CHOOSE(CONTROL!$C$23, $C$12, 100%, $E$12)</f>
        <v>6.9729000000000001</v>
      </c>
      <c r="G384" s="66">
        <f>6.9798 * CHOOSE(CONTROL!$C$23, $C$12, 100%, $E$12)</f>
        <v>6.9798</v>
      </c>
      <c r="H384" s="66">
        <f>12.6901* CHOOSE(CONTROL!$C$23, $C$12, 100%, $E$12)</f>
        <v>12.690099999999999</v>
      </c>
      <c r="I384" s="66">
        <f>12.697 * CHOOSE(CONTROL!$C$23, $C$12, 100%, $E$12)</f>
        <v>12.696999999999999</v>
      </c>
      <c r="J384" s="66">
        <f>12.6901 * CHOOSE(CONTROL!$C$23, $C$12, 100%, $E$12)</f>
        <v>12.690099999999999</v>
      </c>
      <c r="K384" s="66">
        <f>12.697 * CHOOSE(CONTROL!$C$23, $C$12, 100%, $E$12)</f>
        <v>12.696999999999999</v>
      </c>
      <c r="L384" s="66">
        <f>6.9729 * CHOOSE(CONTROL!$C$23, $C$12, 100%, $E$12)</f>
        <v>6.9729000000000001</v>
      </c>
      <c r="M384" s="66">
        <f>6.9798 * CHOOSE(CONTROL!$C$23, $C$12, 100%, $E$12)</f>
        <v>6.9798</v>
      </c>
      <c r="N384" s="66">
        <f>6.9729 * CHOOSE(CONTROL!$C$23, $C$12, 100%, $E$12)</f>
        <v>6.9729000000000001</v>
      </c>
      <c r="O384" s="66">
        <f>6.9798 * CHOOSE(CONTROL!$C$23, $C$12, 100%, $E$12)</f>
        <v>6.9798</v>
      </c>
    </row>
    <row r="385" spans="1:15" ht="15">
      <c r="A385" s="13">
        <v>52871</v>
      </c>
      <c r="B385" s="65">
        <f>5.8068 * CHOOSE(CONTROL!$C$23, $C$12, 100%, $E$12)</f>
        <v>5.8068</v>
      </c>
      <c r="C385" s="65">
        <f>5.8068 * CHOOSE(CONTROL!$C$23, $C$12, 100%, $E$12)</f>
        <v>5.8068</v>
      </c>
      <c r="D385" s="65">
        <f>5.8108 * CHOOSE(CONTROL!$C$23, $C$12, 100%, $E$12)</f>
        <v>5.8108000000000004</v>
      </c>
      <c r="E385" s="66">
        <f>7.0061 * CHOOSE(CONTROL!$C$23, $C$12, 100%, $E$12)</f>
        <v>7.0061</v>
      </c>
      <c r="F385" s="66">
        <f>7.0061 * CHOOSE(CONTROL!$C$23, $C$12, 100%, $E$12)</f>
        <v>7.0061</v>
      </c>
      <c r="G385" s="66">
        <f>7.011 * CHOOSE(CONTROL!$C$23, $C$12, 100%, $E$12)</f>
        <v>7.0110000000000001</v>
      </c>
      <c r="H385" s="66">
        <f>12.7165* CHOOSE(CONTROL!$C$23, $C$12, 100%, $E$12)</f>
        <v>12.7165</v>
      </c>
      <c r="I385" s="66">
        <f>12.7215 * CHOOSE(CONTROL!$C$23, $C$12, 100%, $E$12)</f>
        <v>12.721500000000001</v>
      </c>
      <c r="J385" s="66">
        <f>12.7165 * CHOOSE(CONTROL!$C$23, $C$12, 100%, $E$12)</f>
        <v>12.7165</v>
      </c>
      <c r="K385" s="66">
        <f>12.7215 * CHOOSE(CONTROL!$C$23, $C$12, 100%, $E$12)</f>
        <v>12.721500000000001</v>
      </c>
      <c r="L385" s="66">
        <f>7.0061 * CHOOSE(CONTROL!$C$23, $C$12, 100%, $E$12)</f>
        <v>7.0061</v>
      </c>
      <c r="M385" s="66">
        <f>7.011 * CHOOSE(CONTROL!$C$23, $C$12, 100%, $E$12)</f>
        <v>7.0110000000000001</v>
      </c>
      <c r="N385" s="66">
        <f>7.0061 * CHOOSE(CONTROL!$C$23, $C$12, 100%, $E$12)</f>
        <v>7.0061</v>
      </c>
      <c r="O385" s="66">
        <f>7.011 * CHOOSE(CONTROL!$C$23, $C$12, 100%, $E$12)</f>
        <v>7.0110000000000001</v>
      </c>
    </row>
    <row r="386" spans="1:15" ht="15">
      <c r="A386" s="13">
        <v>52902</v>
      </c>
      <c r="B386" s="65">
        <f>5.8099 * CHOOSE(CONTROL!$C$23, $C$12, 100%, $E$12)</f>
        <v>5.8098999999999998</v>
      </c>
      <c r="C386" s="65">
        <f>5.8099 * CHOOSE(CONTROL!$C$23, $C$12, 100%, $E$12)</f>
        <v>5.8098999999999998</v>
      </c>
      <c r="D386" s="65">
        <f>5.8139 * CHOOSE(CONTROL!$C$23, $C$12, 100%, $E$12)</f>
        <v>5.8139000000000003</v>
      </c>
      <c r="E386" s="66">
        <f>7.0314 * CHOOSE(CONTROL!$C$23, $C$12, 100%, $E$12)</f>
        <v>7.0313999999999997</v>
      </c>
      <c r="F386" s="66">
        <f>7.0314 * CHOOSE(CONTROL!$C$23, $C$12, 100%, $E$12)</f>
        <v>7.0313999999999997</v>
      </c>
      <c r="G386" s="66">
        <f>7.0364 * CHOOSE(CONTROL!$C$23, $C$12, 100%, $E$12)</f>
        <v>7.0364000000000004</v>
      </c>
      <c r="H386" s="66">
        <f>12.743* CHOOSE(CONTROL!$C$23, $C$12, 100%, $E$12)</f>
        <v>12.743</v>
      </c>
      <c r="I386" s="66">
        <f>12.7479 * CHOOSE(CONTROL!$C$23, $C$12, 100%, $E$12)</f>
        <v>12.7479</v>
      </c>
      <c r="J386" s="66">
        <f>12.743 * CHOOSE(CONTROL!$C$23, $C$12, 100%, $E$12)</f>
        <v>12.743</v>
      </c>
      <c r="K386" s="66">
        <f>12.7479 * CHOOSE(CONTROL!$C$23, $C$12, 100%, $E$12)</f>
        <v>12.7479</v>
      </c>
      <c r="L386" s="66">
        <f>7.0314 * CHOOSE(CONTROL!$C$23, $C$12, 100%, $E$12)</f>
        <v>7.0313999999999997</v>
      </c>
      <c r="M386" s="66">
        <f>7.0364 * CHOOSE(CONTROL!$C$23, $C$12, 100%, $E$12)</f>
        <v>7.0364000000000004</v>
      </c>
      <c r="N386" s="66">
        <f>7.0314 * CHOOSE(CONTROL!$C$23, $C$12, 100%, $E$12)</f>
        <v>7.0313999999999997</v>
      </c>
      <c r="O386" s="66">
        <f>7.0364 * CHOOSE(CONTROL!$C$23, $C$12, 100%, $E$12)</f>
        <v>7.0364000000000004</v>
      </c>
    </row>
    <row r="387" spans="1:15" ht="15">
      <c r="A387" s="13">
        <v>52932</v>
      </c>
      <c r="B387" s="65">
        <f>5.8099 * CHOOSE(CONTROL!$C$23, $C$12, 100%, $E$12)</f>
        <v>5.8098999999999998</v>
      </c>
      <c r="C387" s="65">
        <f>5.8099 * CHOOSE(CONTROL!$C$23, $C$12, 100%, $E$12)</f>
        <v>5.8098999999999998</v>
      </c>
      <c r="D387" s="65">
        <f>5.8139 * CHOOSE(CONTROL!$C$23, $C$12, 100%, $E$12)</f>
        <v>5.8139000000000003</v>
      </c>
      <c r="E387" s="66">
        <f>6.9733 * CHOOSE(CONTROL!$C$23, $C$12, 100%, $E$12)</f>
        <v>6.9733000000000001</v>
      </c>
      <c r="F387" s="66">
        <f>6.9733 * CHOOSE(CONTROL!$C$23, $C$12, 100%, $E$12)</f>
        <v>6.9733000000000001</v>
      </c>
      <c r="G387" s="66">
        <f>6.9782 * CHOOSE(CONTROL!$C$23, $C$12, 100%, $E$12)</f>
        <v>6.9782000000000002</v>
      </c>
      <c r="H387" s="66">
        <f>12.7696* CHOOSE(CONTROL!$C$23, $C$12, 100%, $E$12)</f>
        <v>12.769600000000001</v>
      </c>
      <c r="I387" s="66">
        <f>12.7745 * CHOOSE(CONTROL!$C$23, $C$12, 100%, $E$12)</f>
        <v>12.7745</v>
      </c>
      <c r="J387" s="66">
        <f>12.7696 * CHOOSE(CONTROL!$C$23, $C$12, 100%, $E$12)</f>
        <v>12.769600000000001</v>
      </c>
      <c r="K387" s="66">
        <f>12.7745 * CHOOSE(CONTROL!$C$23, $C$12, 100%, $E$12)</f>
        <v>12.7745</v>
      </c>
      <c r="L387" s="66">
        <f>6.9733 * CHOOSE(CONTROL!$C$23, $C$12, 100%, $E$12)</f>
        <v>6.9733000000000001</v>
      </c>
      <c r="M387" s="66">
        <f>6.9782 * CHOOSE(CONTROL!$C$23, $C$12, 100%, $E$12)</f>
        <v>6.9782000000000002</v>
      </c>
      <c r="N387" s="66">
        <f>6.9733 * CHOOSE(CONTROL!$C$23, $C$12, 100%, $E$12)</f>
        <v>6.9733000000000001</v>
      </c>
      <c r="O387" s="66">
        <f>6.9782 * CHOOSE(CONTROL!$C$23, $C$12, 100%, $E$12)</f>
        <v>6.9782000000000002</v>
      </c>
    </row>
    <row r="388" spans="1:15" ht="15">
      <c r="A388" s="13">
        <v>52963</v>
      </c>
      <c r="B388" s="65">
        <f>5.8609 * CHOOSE(CONTROL!$C$23, $C$12, 100%, $E$12)</f>
        <v>5.8609</v>
      </c>
      <c r="C388" s="65">
        <f>5.8609 * CHOOSE(CONTROL!$C$23, $C$12, 100%, $E$12)</f>
        <v>5.8609</v>
      </c>
      <c r="D388" s="65">
        <f>5.8649 * CHOOSE(CONTROL!$C$23, $C$12, 100%, $E$12)</f>
        <v>5.8648999999999996</v>
      </c>
      <c r="E388" s="66">
        <f>7.0724 * CHOOSE(CONTROL!$C$23, $C$12, 100%, $E$12)</f>
        <v>7.0724</v>
      </c>
      <c r="F388" s="66">
        <f>7.0724 * CHOOSE(CONTROL!$C$23, $C$12, 100%, $E$12)</f>
        <v>7.0724</v>
      </c>
      <c r="G388" s="66">
        <f>7.0773 * CHOOSE(CONTROL!$C$23, $C$12, 100%, $E$12)</f>
        <v>7.0773000000000001</v>
      </c>
      <c r="H388" s="66">
        <f>12.7962* CHOOSE(CONTROL!$C$23, $C$12, 100%, $E$12)</f>
        <v>12.796200000000001</v>
      </c>
      <c r="I388" s="66">
        <f>12.8011 * CHOOSE(CONTROL!$C$23, $C$12, 100%, $E$12)</f>
        <v>12.8011</v>
      </c>
      <c r="J388" s="66">
        <f>12.7962 * CHOOSE(CONTROL!$C$23, $C$12, 100%, $E$12)</f>
        <v>12.796200000000001</v>
      </c>
      <c r="K388" s="66">
        <f>12.8011 * CHOOSE(CONTROL!$C$23, $C$12, 100%, $E$12)</f>
        <v>12.8011</v>
      </c>
      <c r="L388" s="66">
        <f>7.0724 * CHOOSE(CONTROL!$C$23, $C$12, 100%, $E$12)</f>
        <v>7.0724</v>
      </c>
      <c r="M388" s="66">
        <f>7.0773 * CHOOSE(CONTROL!$C$23, $C$12, 100%, $E$12)</f>
        <v>7.0773000000000001</v>
      </c>
      <c r="N388" s="66">
        <f>7.0724 * CHOOSE(CONTROL!$C$23, $C$12, 100%, $E$12)</f>
        <v>7.0724</v>
      </c>
      <c r="O388" s="66">
        <f>7.0773 * CHOOSE(CONTROL!$C$23, $C$12, 100%, $E$12)</f>
        <v>7.0773000000000001</v>
      </c>
    </row>
    <row r="389" spans="1:15" ht="15">
      <c r="A389" s="13">
        <v>52994</v>
      </c>
      <c r="B389" s="65">
        <f>5.8579 * CHOOSE(CONTROL!$C$23, $C$12, 100%, $E$12)</f>
        <v>5.8578999999999999</v>
      </c>
      <c r="C389" s="65">
        <f>5.8579 * CHOOSE(CONTROL!$C$23, $C$12, 100%, $E$12)</f>
        <v>5.8578999999999999</v>
      </c>
      <c r="D389" s="65">
        <f>5.8619 * CHOOSE(CONTROL!$C$23, $C$12, 100%, $E$12)</f>
        <v>5.8619000000000003</v>
      </c>
      <c r="E389" s="66">
        <f>6.9573 * CHOOSE(CONTROL!$C$23, $C$12, 100%, $E$12)</f>
        <v>6.9573</v>
      </c>
      <c r="F389" s="66">
        <f>6.9573 * CHOOSE(CONTROL!$C$23, $C$12, 100%, $E$12)</f>
        <v>6.9573</v>
      </c>
      <c r="G389" s="66">
        <f>6.9622 * CHOOSE(CONTROL!$C$23, $C$12, 100%, $E$12)</f>
        <v>6.9622000000000002</v>
      </c>
      <c r="H389" s="66">
        <f>12.8228* CHOOSE(CONTROL!$C$23, $C$12, 100%, $E$12)</f>
        <v>12.822800000000001</v>
      </c>
      <c r="I389" s="66">
        <f>12.8278 * CHOOSE(CONTROL!$C$23, $C$12, 100%, $E$12)</f>
        <v>12.8278</v>
      </c>
      <c r="J389" s="66">
        <f>12.8228 * CHOOSE(CONTROL!$C$23, $C$12, 100%, $E$12)</f>
        <v>12.822800000000001</v>
      </c>
      <c r="K389" s="66">
        <f>12.8278 * CHOOSE(CONTROL!$C$23, $C$12, 100%, $E$12)</f>
        <v>12.8278</v>
      </c>
      <c r="L389" s="66">
        <f>6.9573 * CHOOSE(CONTROL!$C$23, $C$12, 100%, $E$12)</f>
        <v>6.9573</v>
      </c>
      <c r="M389" s="66">
        <f>6.9622 * CHOOSE(CONTROL!$C$23, $C$12, 100%, $E$12)</f>
        <v>6.9622000000000002</v>
      </c>
      <c r="N389" s="66">
        <f>6.9573 * CHOOSE(CONTROL!$C$23, $C$12, 100%, $E$12)</f>
        <v>6.9573</v>
      </c>
      <c r="O389" s="66">
        <f>6.9622 * CHOOSE(CONTROL!$C$23, $C$12, 100%, $E$12)</f>
        <v>6.9622000000000002</v>
      </c>
    </row>
    <row r="390" spans="1:15" ht="15">
      <c r="A390" s="13">
        <v>53022</v>
      </c>
      <c r="B390" s="65">
        <f>5.8548 * CHOOSE(CONTROL!$C$23, $C$12, 100%, $E$12)</f>
        <v>5.8548</v>
      </c>
      <c r="C390" s="65">
        <f>5.8548 * CHOOSE(CONTROL!$C$23, $C$12, 100%, $E$12)</f>
        <v>5.8548</v>
      </c>
      <c r="D390" s="65">
        <f>5.8588 * CHOOSE(CONTROL!$C$23, $C$12, 100%, $E$12)</f>
        <v>5.8587999999999996</v>
      </c>
      <c r="E390" s="66">
        <f>7.0443 * CHOOSE(CONTROL!$C$23, $C$12, 100%, $E$12)</f>
        <v>7.0442999999999998</v>
      </c>
      <c r="F390" s="66">
        <f>7.0443 * CHOOSE(CONTROL!$C$23, $C$12, 100%, $E$12)</f>
        <v>7.0442999999999998</v>
      </c>
      <c r="G390" s="66">
        <f>7.0492 * CHOOSE(CONTROL!$C$23, $C$12, 100%, $E$12)</f>
        <v>7.0491999999999999</v>
      </c>
      <c r="H390" s="66">
        <f>12.8495* CHOOSE(CONTROL!$C$23, $C$12, 100%, $E$12)</f>
        <v>12.849500000000001</v>
      </c>
      <c r="I390" s="66">
        <f>12.8545 * CHOOSE(CONTROL!$C$23, $C$12, 100%, $E$12)</f>
        <v>12.8545</v>
      </c>
      <c r="J390" s="66">
        <f>12.8495 * CHOOSE(CONTROL!$C$23, $C$12, 100%, $E$12)</f>
        <v>12.849500000000001</v>
      </c>
      <c r="K390" s="66">
        <f>12.8545 * CHOOSE(CONTROL!$C$23, $C$12, 100%, $E$12)</f>
        <v>12.8545</v>
      </c>
      <c r="L390" s="66">
        <f>7.0443 * CHOOSE(CONTROL!$C$23, $C$12, 100%, $E$12)</f>
        <v>7.0442999999999998</v>
      </c>
      <c r="M390" s="66">
        <f>7.0492 * CHOOSE(CONTROL!$C$23, $C$12, 100%, $E$12)</f>
        <v>7.0491999999999999</v>
      </c>
      <c r="N390" s="66">
        <f>7.0443 * CHOOSE(CONTROL!$C$23, $C$12, 100%, $E$12)</f>
        <v>7.0442999999999998</v>
      </c>
      <c r="O390" s="66">
        <f>7.0492 * CHOOSE(CONTROL!$C$23, $C$12, 100%, $E$12)</f>
        <v>7.0491999999999999</v>
      </c>
    </row>
    <row r="391" spans="1:15" ht="15">
      <c r="A391" s="13">
        <v>53053</v>
      </c>
      <c r="B391" s="65">
        <f>5.8541 * CHOOSE(CONTROL!$C$23, $C$12, 100%, $E$12)</f>
        <v>5.8540999999999999</v>
      </c>
      <c r="C391" s="65">
        <f>5.8541 * CHOOSE(CONTROL!$C$23, $C$12, 100%, $E$12)</f>
        <v>5.8540999999999999</v>
      </c>
      <c r="D391" s="65">
        <f>5.8581 * CHOOSE(CONTROL!$C$23, $C$12, 100%, $E$12)</f>
        <v>5.8581000000000003</v>
      </c>
      <c r="E391" s="66">
        <f>7.1357 * CHOOSE(CONTROL!$C$23, $C$12, 100%, $E$12)</f>
        <v>7.1356999999999999</v>
      </c>
      <c r="F391" s="66">
        <f>7.1357 * CHOOSE(CONTROL!$C$23, $C$12, 100%, $E$12)</f>
        <v>7.1356999999999999</v>
      </c>
      <c r="G391" s="66">
        <f>7.1406 * CHOOSE(CONTROL!$C$23, $C$12, 100%, $E$12)</f>
        <v>7.1406000000000001</v>
      </c>
      <c r="H391" s="66">
        <f>12.8763* CHOOSE(CONTROL!$C$23, $C$12, 100%, $E$12)</f>
        <v>12.876300000000001</v>
      </c>
      <c r="I391" s="66">
        <f>12.8812 * CHOOSE(CONTROL!$C$23, $C$12, 100%, $E$12)</f>
        <v>12.8812</v>
      </c>
      <c r="J391" s="66">
        <f>12.8763 * CHOOSE(CONTROL!$C$23, $C$12, 100%, $E$12)</f>
        <v>12.876300000000001</v>
      </c>
      <c r="K391" s="66">
        <f>12.8812 * CHOOSE(CONTROL!$C$23, $C$12, 100%, $E$12)</f>
        <v>12.8812</v>
      </c>
      <c r="L391" s="66">
        <f>7.1357 * CHOOSE(CONTROL!$C$23, $C$12, 100%, $E$12)</f>
        <v>7.1356999999999999</v>
      </c>
      <c r="M391" s="66">
        <f>7.1406 * CHOOSE(CONTROL!$C$23, $C$12, 100%, $E$12)</f>
        <v>7.1406000000000001</v>
      </c>
      <c r="N391" s="66">
        <f>7.1357 * CHOOSE(CONTROL!$C$23, $C$12, 100%, $E$12)</f>
        <v>7.1356999999999999</v>
      </c>
      <c r="O391" s="66">
        <f>7.1406 * CHOOSE(CONTROL!$C$23, $C$12, 100%, $E$12)</f>
        <v>7.1406000000000001</v>
      </c>
    </row>
    <row r="392" spans="1:15" ht="15">
      <c r="A392" s="13">
        <v>53083</v>
      </c>
      <c r="B392" s="65">
        <f>5.8541 * CHOOSE(CONTROL!$C$23, $C$12, 100%, $E$12)</f>
        <v>5.8540999999999999</v>
      </c>
      <c r="C392" s="65">
        <f>5.8541 * CHOOSE(CONTROL!$C$23, $C$12, 100%, $E$12)</f>
        <v>5.8540999999999999</v>
      </c>
      <c r="D392" s="65">
        <f>5.8597 * CHOOSE(CONTROL!$C$23, $C$12, 100%, $E$12)</f>
        <v>5.8597000000000001</v>
      </c>
      <c r="E392" s="66">
        <f>7.1716 * CHOOSE(CONTROL!$C$23, $C$12, 100%, $E$12)</f>
        <v>7.1715999999999998</v>
      </c>
      <c r="F392" s="66">
        <f>7.1716 * CHOOSE(CONTROL!$C$23, $C$12, 100%, $E$12)</f>
        <v>7.1715999999999998</v>
      </c>
      <c r="G392" s="66">
        <f>7.1785 * CHOOSE(CONTROL!$C$23, $C$12, 100%, $E$12)</f>
        <v>7.1784999999999997</v>
      </c>
      <c r="H392" s="66">
        <f>12.9031* CHOOSE(CONTROL!$C$23, $C$12, 100%, $E$12)</f>
        <v>12.9031</v>
      </c>
      <c r="I392" s="66">
        <f>12.91 * CHOOSE(CONTROL!$C$23, $C$12, 100%, $E$12)</f>
        <v>12.91</v>
      </c>
      <c r="J392" s="66">
        <f>12.9031 * CHOOSE(CONTROL!$C$23, $C$12, 100%, $E$12)</f>
        <v>12.9031</v>
      </c>
      <c r="K392" s="66">
        <f>12.91 * CHOOSE(CONTROL!$C$23, $C$12, 100%, $E$12)</f>
        <v>12.91</v>
      </c>
      <c r="L392" s="66">
        <f>7.1716 * CHOOSE(CONTROL!$C$23, $C$12, 100%, $E$12)</f>
        <v>7.1715999999999998</v>
      </c>
      <c r="M392" s="66">
        <f>7.1785 * CHOOSE(CONTROL!$C$23, $C$12, 100%, $E$12)</f>
        <v>7.1784999999999997</v>
      </c>
      <c r="N392" s="66">
        <f>7.1716 * CHOOSE(CONTROL!$C$23, $C$12, 100%, $E$12)</f>
        <v>7.1715999999999998</v>
      </c>
      <c r="O392" s="66">
        <f>7.1785 * CHOOSE(CONTROL!$C$23, $C$12, 100%, $E$12)</f>
        <v>7.1784999999999997</v>
      </c>
    </row>
    <row r="393" spans="1:15" ht="15">
      <c r="A393" s="13">
        <v>53114</v>
      </c>
      <c r="B393" s="65">
        <f>5.8602 * CHOOSE(CONTROL!$C$23, $C$12, 100%, $E$12)</f>
        <v>5.8601999999999999</v>
      </c>
      <c r="C393" s="65">
        <f>5.8602 * CHOOSE(CONTROL!$C$23, $C$12, 100%, $E$12)</f>
        <v>5.8601999999999999</v>
      </c>
      <c r="D393" s="65">
        <f>5.8658 * CHOOSE(CONTROL!$C$23, $C$12, 100%, $E$12)</f>
        <v>5.8658000000000001</v>
      </c>
      <c r="E393" s="66">
        <f>7.1399 * CHOOSE(CONTROL!$C$23, $C$12, 100%, $E$12)</f>
        <v>7.1398999999999999</v>
      </c>
      <c r="F393" s="66">
        <f>7.1399 * CHOOSE(CONTROL!$C$23, $C$12, 100%, $E$12)</f>
        <v>7.1398999999999999</v>
      </c>
      <c r="G393" s="66">
        <f>7.1468 * CHOOSE(CONTROL!$C$23, $C$12, 100%, $E$12)</f>
        <v>7.1467999999999998</v>
      </c>
      <c r="H393" s="66">
        <f>12.93* CHOOSE(CONTROL!$C$23, $C$12, 100%, $E$12)</f>
        <v>12.93</v>
      </c>
      <c r="I393" s="66">
        <f>12.9369 * CHOOSE(CONTROL!$C$23, $C$12, 100%, $E$12)</f>
        <v>12.9369</v>
      </c>
      <c r="J393" s="66">
        <f>12.93 * CHOOSE(CONTROL!$C$23, $C$12, 100%, $E$12)</f>
        <v>12.93</v>
      </c>
      <c r="K393" s="66">
        <f>12.9369 * CHOOSE(CONTROL!$C$23, $C$12, 100%, $E$12)</f>
        <v>12.9369</v>
      </c>
      <c r="L393" s="66">
        <f>7.1399 * CHOOSE(CONTROL!$C$23, $C$12, 100%, $E$12)</f>
        <v>7.1398999999999999</v>
      </c>
      <c r="M393" s="66">
        <f>7.1468 * CHOOSE(CONTROL!$C$23, $C$12, 100%, $E$12)</f>
        <v>7.1467999999999998</v>
      </c>
      <c r="N393" s="66">
        <f>7.1399 * CHOOSE(CONTROL!$C$23, $C$12, 100%, $E$12)</f>
        <v>7.1398999999999999</v>
      </c>
      <c r="O393" s="66">
        <f>7.1468 * CHOOSE(CONTROL!$C$23, $C$12, 100%, $E$12)</f>
        <v>7.1467999999999998</v>
      </c>
    </row>
    <row r="394" spans="1:15" ht="15">
      <c r="A394" s="13">
        <v>53144</v>
      </c>
      <c r="B394" s="65">
        <f>5.955 * CHOOSE(CONTROL!$C$23, $C$12, 100%, $E$12)</f>
        <v>5.9550000000000001</v>
      </c>
      <c r="C394" s="65">
        <f>5.955 * CHOOSE(CONTROL!$C$23, $C$12, 100%, $E$12)</f>
        <v>5.9550000000000001</v>
      </c>
      <c r="D394" s="65">
        <f>5.9606 * CHOOSE(CONTROL!$C$23, $C$12, 100%, $E$12)</f>
        <v>5.9606000000000003</v>
      </c>
      <c r="E394" s="66">
        <f>7.2599 * CHOOSE(CONTROL!$C$23, $C$12, 100%, $E$12)</f>
        <v>7.2599</v>
      </c>
      <c r="F394" s="66">
        <f>7.2599 * CHOOSE(CONTROL!$C$23, $C$12, 100%, $E$12)</f>
        <v>7.2599</v>
      </c>
      <c r="G394" s="66">
        <f>7.2668 * CHOOSE(CONTROL!$C$23, $C$12, 100%, $E$12)</f>
        <v>7.2667999999999999</v>
      </c>
      <c r="H394" s="66">
        <f>12.957* CHOOSE(CONTROL!$C$23, $C$12, 100%, $E$12)</f>
        <v>12.957000000000001</v>
      </c>
      <c r="I394" s="66">
        <f>12.9639 * CHOOSE(CONTROL!$C$23, $C$12, 100%, $E$12)</f>
        <v>12.963900000000001</v>
      </c>
      <c r="J394" s="66">
        <f>12.957 * CHOOSE(CONTROL!$C$23, $C$12, 100%, $E$12)</f>
        <v>12.957000000000001</v>
      </c>
      <c r="K394" s="66">
        <f>12.9639 * CHOOSE(CONTROL!$C$23, $C$12, 100%, $E$12)</f>
        <v>12.963900000000001</v>
      </c>
      <c r="L394" s="66">
        <f>7.2599 * CHOOSE(CONTROL!$C$23, $C$12, 100%, $E$12)</f>
        <v>7.2599</v>
      </c>
      <c r="M394" s="66">
        <f>7.2668 * CHOOSE(CONTROL!$C$23, $C$12, 100%, $E$12)</f>
        <v>7.2667999999999999</v>
      </c>
      <c r="N394" s="66">
        <f>7.2599 * CHOOSE(CONTROL!$C$23, $C$12, 100%, $E$12)</f>
        <v>7.2599</v>
      </c>
      <c r="O394" s="66">
        <f>7.2668 * CHOOSE(CONTROL!$C$23, $C$12, 100%, $E$12)</f>
        <v>7.2667999999999999</v>
      </c>
    </row>
    <row r="395" spans="1:15" ht="15">
      <c r="A395" s="13">
        <v>53175</v>
      </c>
      <c r="B395" s="65">
        <f>5.9617 * CHOOSE(CONTROL!$C$23, $C$12, 100%, $E$12)</f>
        <v>5.9617000000000004</v>
      </c>
      <c r="C395" s="65">
        <f>5.9617 * CHOOSE(CONTROL!$C$23, $C$12, 100%, $E$12)</f>
        <v>5.9617000000000004</v>
      </c>
      <c r="D395" s="65">
        <f>5.9673 * CHOOSE(CONTROL!$C$23, $C$12, 100%, $E$12)</f>
        <v>5.9672999999999998</v>
      </c>
      <c r="E395" s="66">
        <f>7.1569 * CHOOSE(CONTROL!$C$23, $C$12, 100%, $E$12)</f>
        <v>7.1569000000000003</v>
      </c>
      <c r="F395" s="66">
        <f>7.1569 * CHOOSE(CONTROL!$C$23, $C$12, 100%, $E$12)</f>
        <v>7.1569000000000003</v>
      </c>
      <c r="G395" s="66">
        <f>7.1638 * CHOOSE(CONTROL!$C$23, $C$12, 100%, $E$12)</f>
        <v>7.1638000000000002</v>
      </c>
      <c r="H395" s="66">
        <f>12.984* CHOOSE(CONTROL!$C$23, $C$12, 100%, $E$12)</f>
        <v>12.984</v>
      </c>
      <c r="I395" s="66">
        <f>12.9908 * CHOOSE(CONTROL!$C$23, $C$12, 100%, $E$12)</f>
        <v>12.9908</v>
      </c>
      <c r="J395" s="66">
        <f>12.984 * CHOOSE(CONTROL!$C$23, $C$12, 100%, $E$12)</f>
        <v>12.984</v>
      </c>
      <c r="K395" s="66">
        <f>12.9908 * CHOOSE(CONTROL!$C$23, $C$12, 100%, $E$12)</f>
        <v>12.9908</v>
      </c>
      <c r="L395" s="66">
        <f>7.1569 * CHOOSE(CONTROL!$C$23, $C$12, 100%, $E$12)</f>
        <v>7.1569000000000003</v>
      </c>
      <c r="M395" s="66">
        <f>7.1638 * CHOOSE(CONTROL!$C$23, $C$12, 100%, $E$12)</f>
        <v>7.1638000000000002</v>
      </c>
      <c r="N395" s="66">
        <f>7.1569 * CHOOSE(CONTROL!$C$23, $C$12, 100%, $E$12)</f>
        <v>7.1569000000000003</v>
      </c>
      <c r="O395" s="66">
        <f>7.1638 * CHOOSE(CONTROL!$C$23, $C$12, 100%, $E$12)</f>
        <v>7.1638000000000002</v>
      </c>
    </row>
    <row r="396" spans="1:15" ht="15">
      <c r="A396" s="13">
        <v>53206</v>
      </c>
      <c r="B396" s="65">
        <f>5.9586 * CHOOSE(CONTROL!$C$23, $C$12, 100%, $E$12)</f>
        <v>5.9585999999999997</v>
      </c>
      <c r="C396" s="65">
        <f>5.9586 * CHOOSE(CONTROL!$C$23, $C$12, 100%, $E$12)</f>
        <v>5.9585999999999997</v>
      </c>
      <c r="D396" s="65">
        <f>5.9643 * CHOOSE(CONTROL!$C$23, $C$12, 100%, $E$12)</f>
        <v>5.9642999999999997</v>
      </c>
      <c r="E396" s="66">
        <f>7.1429 * CHOOSE(CONTROL!$C$23, $C$12, 100%, $E$12)</f>
        <v>7.1429</v>
      </c>
      <c r="F396" s="66">
        <f>7.1429 * CHOOSE(CONTROL!$C$23, $C$12, 100%, $E$12)</f>
        <v>7.1429</v>
      </c>
      <c r="G396" s="66">
        <f>7.1498 * CHOOSE(CONTROL!$C$23, $C$12, 100%, $E$12)</f>
        <v>7.1497999999999999</v>
      </c>
      <c r="H396" s="66">
        <f>13.011* CHOOSE(CONTROL!$C$23, $C$12, 100%, $E$12)</f>
        <v>13.010999999999999</v>
      </c>
      <c r="I396" s="66">
        <f>13.0179 * CHOOSE(CONTROL!$C$23, $C$12, 100%, $E$12)</f>
        <v>13.017899999999999</v>
      </c>
      <c r="J396" s="66">
        <f>13.011 * CHOOSE(CONTROL!$C$23, $C$12, 100%, $E$12)</f>
        <v>13.010999999999999</v>
      </c>
      <c r="K396" s="66">
        <f>13.0179 * CHOOSE(CONTROL!$C$23, $C$12, 100%, $E$12)</f>
        <v>13.017899999999999</v>
      </c>
      <c r="L396" s="66">
        <f>7.1429 * CHOOSE(CONTROL!$C$23, $C$12, 100%, $E$12)</f>
        <v>7.1429</v>
      </c>
      <c r="M396" s="66">
        <f>7.1498 * CHOOSE(CONTROL!$C$23, $C$12, 100%, $E$12)</f>
        <v>7.1497999999999999</v>
      </c>
      <c r="N396" s="66">
        <f>7.1429 * CHOOSE(CONTROL!$C$23, $C$12, 100%, $E$12)</f>
        <v>7.1429</v>
      </c>
      <c r="O396" s="66">
        <f>7.1498 * CHOOSE(CONTROL!$C$23, $C$12, 100%, $E$12)</f>
        <v>7.1497999999999999</v>
      </c>
    </row>
    <row r="397" spans="1:15" ht="15">
      <c r="A397" s="13">
        <v>53236</v>
      </c>
      <c r="B397" s="65">
        <f>5.9602 * CHOOSE(CONTROL!$C$23, $C$12, 100%, $E$12)</f>
        <v>5.9602000000000004</v>
      </c>
      <c r="C397" s="65">
        <f>5.9602 * CHOOSE(CONTROL!$C$23, $C$12, 100%, $E$12)</f>
        <v>5.9602000000000004</v>
      </c>
      <c r="D397" s="65">
        <f>5.9642 * CHOOSE(CONTROL!$C$23, $C$12, 100%, $E$12)</f>
        <v>5.9641999999999999</v>
      </c>
      <c r="E397" s="66">
        <f>7.1773 * CHOOSE(CONTROL!$C$23, $C$12, 100%, $E$12)</f>
        <v>7.1772999999999998</v>
      </c>
      <c r="F397" s="66">
        <f>7.1773 * CHOOSE(CONTROL!$C$23, $C$12, 100%, $E$12)</f>
        <v>7.1772999999999998</v>
      </c>
      <c r="G397" s="66">
        <f>7.1822 * CHOOSE(CONTROL!$C$23, $C$12, 100%, $E$12)</f>
        <v>7.1821999999999999</v>
      </c>
      <c r="H397" s="66">
        <f>13.0381* CHOOSE(CONTROL!$C$23, $C$12, 100%, $E$12)</f>
        <v>13.0381</v>
      </c>
      <c r="I397" s="66">
        <f>13.043 * CHOOSE(CONTROL!$C$23, $C$12, 100%, $E$12)</f>
        <v>13.042999999999999</v>
      </c>
      <c r="J397" s="66">
        <f>13.0381 * CHOOSE(CONTROL!$C$23, $C$12, 100%, $E$12)</f>
        <v>13.0381</v>
      </c>
      <c r="K397" s="66">
        <f>13.043 * CHOOSE(CONTROL!$C$23, $C$12, 100%, $E$12)</f>
        <v>13.042999999999999</v>
      </c>
      <c r="L397" s="66">
        <f>7.1773 * CHOOSE(CONTROL!$C$23, $C$12, 100%, $E$12)</f>
        <v>7.1772999999999998</v>
      </c>
      <c r="M397" s="66">
        <f>7.1822 * CHOOSE(CONTROL!$C$23, $C$12, 100%, $E$12)</f>
        <v>7.1821999999999999</v>
      </c>
      <c r="N397" s="66">
        <f>7.1773 * CHOOSE(CONTROL!$C$23, $C$12, 100%, $E$12)</f>
        <v>7.1772999999999998</v>
      </c>
      <c r="O397" s="66">
        <f>7.1822 * CHOOSE(CONTROL!$C$23, $C$12, 100%, $E$12)</f>
        <v>7.1821999999999999</v>
      </c>
    </row>
    <row r="398" spans="1:15" ht="15">
      <c r="A398" s="13">
        <v>53267</v>
      </c>
      <c r="B398" s="65">
        <f>5.9632 * CHOOSE(CONTROL!$C$23, $C$12, 100%, $E$12)</f>
        <v>5.9631999999999996</v>
      </c>
      <c r="C398" s="65">
        <f>5.9632 * CHOOSE(CONTROL!$C$23, $C$12, 100%, $E$12)</f>
        <v>5.9631999999999996</v>
      </c>
      <c r="D398" s="65">
        <f>5.9672 * CHOOSE(CONTROL!$C$23, $C$12, 100%, $E$12)</f>
        <v>5.9672000000000001</v>
      </c>
      <c r="E398" s="66">
        <f>7.2033 * CHOOSE(CONTROL!$C$23, $C$12, 100%, $E$12)</f>
        <v>7.2032999999999996</v>
      </c>
      <c r="F398" s="66">
        <f>7.2033 * CHOOSE(CONTROL!$C$23, $C$12, 100%, $E$12)</f>
        <v>7.2032999999999996</v>
      </c>
      <c r="G398" s="66">
        <f>7.2082 * CHOOSE(CONTROL!$C$23, $C$12, 100%, $E$12)</f>
        <v>7.2081999999999997</v>
      </c>
      <c r="H398" s="66">
        <f>13.0653* CHOOSE(CONTROL!$C$23, $C$12, 100%, $E$12)</f>
        <v>13.065300000000001</v>
      </c>
      <c r="I398" s="66">
        <f>13.0702 * CHOOSE(CONTROL!$C$23, $C$12, 100%, $E$12)</f>
        <v>13.0702</v>
      </c>
      <c r="J398" s="66">
        <f>13.0653 * CHOOSE(CONTROL!$C$23, $C$12, 100%, $E$12)</f>
        <v>13.065300000000001</v>
      </c>
      <c r="K398" s="66">
        <f>13.0702 * CHOOSE(CONTROL!$C$23, $C$12, 100%, $E$12)</f>
        <v>13.0702</v>
      </c>
      <c r="L398" s="66">
        <f>7.2033 * CHOOSE(CONTROL!$C$23, $C$12, 100%, $E$12)</f>
        <v>7.2032999999999996</v>
      </c>
      <c r="M398" s="66">
        <f>7.2082 * CHOOSE(CONTROL!$C$23, $C$12, 100%, $E$12)</f>
        <v>7.2081999999999997</v>
      </c>
      <c r="N398" s="66">
        <f>7.2033 * CHOOSE(CONTROL!$C$23, $C$12, 100%, $E$12)</f>
        <v>7.2032999999999996</v>
      </c>
      <c r="O398" s="66">
        <f>7.2082 * CHOOSE(CONTROL!$C$23, $C$12, 100%, $E$12)</f>
        <v>7.2081999999999997</v>
      </c>
    </row>
    <row r="399" spans="1:15" ht="15">
      <c r="A399" s="13">
        <v>53297</v>
      </c>
      <c r="B399" s="65">
        <f>5.9632 * CHOOSE(CONTROL!$C$23, $C$12, 100%, $E$12)</f>
        <v>5.9631999999999996</v>
      </c>
      <c r="C399" s="65">
        <f>5.9632 * CHOOSE(CONTROL!$C$23, $C$12, 100%, $E$12)</f>
        <v>5.9631999999999996</v>
      </c>
      <c r="D399" s="65">
        <f>5.9672 * CHOOSE(CONTROL!$C$23, $C$12, 100%, $E$12)</f>
        <v>5.9672000000000001</v>
      </c>
      <c r="E399" s="66">
        <f>7.1435 * CHOOSE(CONTROL!$C$23, $C$12, 100%, $E$12)</f>
        <v>7.1435000000000004</v>
      </c>
      <c r="F399" s="66">
        <f>7.1435 * CHOOSE(CONTROL!$C$23, $C$12, 100%, $E$12)</f>
        <v>7.1435000000000004</v>
      </c>
      <c r="G399" s="66">
        <f>7.1484 * CHOOSE(CONTROL!$C$23, $C$12, 100%, $E$12)</f>
        <v>7.1483999999999996</v>
      </c>
      <c r="H399" s="66">
        <f>13.0925* CHOOSE(CONTROL!$C$23, $C$12, 100%, $E$12)</f>
        <v>13.092499999999999</v>
      </c>
      <c r="I399" s="66">
        <f>13.0974 * CHOOSE(CONTROL!$C$23, $C$12, 100%, $E$12)</f>
        <v>13.0974</v>
      </c>
      <c r="J399" s="66">
        <f>13.0925 * CHOOSE(CONTROL!$C$23, $C$12, 100%, $E$12)</f>
        <v>13.092499999999999</v>
      </c>
      <c r="K399" s="66">
        <f>13.0974 * CHOOSE(CONTROL!$C$23, $C$12, 100%, $E$12)</f>
        <v>13.0974</v>
      </c>
      <c r="L399" s="66">
        <f>7.1435 * CHOOSE(CONTROL!$C$23, $C$12, 100%, $E$12)</f>
        <v>7.1435000000000004</v>
      </c>
      <c r="M399" s="66">
        <f>7.1484 * CHOOSE(CONTROL!$C$23, $C$12, 100%, $E$12)</f>
        <v>7.1483999999999996</v>
      </c>
      <c r="N399" s="66">
        <f>7.1435 * CHOOSE(CONTROL!$C$23, $C$12, 100%, $E$12)</f>
        <v>7.1435000000000004</v>
      </c>
      <c r="O399" s="66">
        <f>7.1484 * CHOOSE(CONTROL!$C$23, $C$12, 100%, $E$12)</f>
        <v>7.1483999999999996</v>
      </c>
    </row>
    <row r="400" spans="1:15" ht="15">
      <c r="A400" s="13">
        <v>53328</v>
      </c>
      <c r="B400" s="65">
        <f>6.0155 * CHOOSE(CONTROL!$C$23, $C$12, 100%, $E$12)</f>
        <v>6.0155000000000003</v>
      </c>
      <c r="C400" s="65">
        <f>6.0155 * CHOOSE(CONTROL!$C$23, $C$12, 100%, $E$12)</f>
        <v>6.0155000000000003</v>
      </c>
      <c r="D400" s="65">
        <f>6.0195 * CHOOSE(CONTROL!$C$23, $C$12, 100%, $E$12)</f>
        <v>6.0194999999999999</v>
      </c>
      <c r="E400" s="66">
        <f>7.2452 * CHOOSE(CONTROL!$C$23, $C$12, 100%, $E$12)</f>
        <v>7.2451999999999996</v>
      </c>
      <c r="F400" s="66">
        <f>7.2452 * CHOOSE(CONTROL!$C$23, $C$12, 100%, $E$12)</f>
        <v>7.2451999999999996</v>
      </c>
      <c r="G400" s="66">
        <f>7.2501 * CHOOSE(CONTROL!$C$23, $C$12, 100%, $E$12)</f>
        <v>7.2500999999999998</v>
      </c>
      <c r="H400" s="66">
        <f>13.1198* CHOOSE(CONTROL!$C$23, $C$12, 100%, $E$12)</f>
        <v>13.1198</v>
      </c>
      <c r="I400" s="66">
        <f>13.1247 * CHOOSE(CONTROL!$C$23, $C$12, 100%, $E$12)</f>
        <v>13.124700000000001</v>
      </c>
      <c r="J400" s="66">
        <f>13.1198 * CHOOSE(CONTROL!$C$23, $C$12, 100%, $E$12)</f>
        <v>13.1198</v>
      </c>
      <c r="K400" s="66">
        <f>13.1247 * CHOOSE(CONTROL!$C$23, $C$12, 100%, $E$12)</f>
        <v>13.124700000000001</v>
      </c>
      <c r="L400" s="66">
        <f>7.2452 * CHOOSE(CONTROL!$C$23, $C$12, 100%, $E$12)</f>
        <v>7.2451999999999996</v>
      </c>
      <c r="M400" s="66">
        <f>7.2501 * CHOOSE(CONTROL!$C$23, $C$12, 100%, $E$12)</f>
        <v>7.2500999999999998</v>
      </c>
      <c r="N400" s="66">
        <f>7.2452 * CHOOSE(CONTROL!$C$23, $C$12, 100%, $E$12)</f>
        <v>7.2451999999999996</v>
      </c>
      <c r="O400" s="66">
        <f>7.2501 * CHOOSE(CONTROL!$C$23, $C$12, 100%, $E$12)</f>
        <v>7.2500999999999998</v>
      </c>
    </row>
    <row r="401" spans="1:15" ht="15">
      <c r="A401" s="13">
        <v>53359</v>
      </c>
      <c r="B401" s="65">
        <f>6.0125 * CHOOSE(CONTROL!$C$23, $C$12, 100%, $E$12)</f>
        <v>6.0125000000000002</v>
      </c>
      <c r="C401" s="65">
        <f>6.0125 * CHOOSE(CONTROL!$C$23, $C$12, 100%, $E$12)</f>
        <v>6.0125000000000002</v>
      </c>
      <c r="D401" s="65">
        <f>6.0165 * CHOOSE(CONTROL!$C$23, $C$12, 100%, $E$12)</f>
        <v>6.0164999999999997</v>
      </c>
      <c r="E401" s="66">
        <f>7.1269 * CHOOSE(CONTROL!$C$23, $C$12, 100%, $E$12)</f>
        <v>7.1269</v>
      </c>
      <c r="F401" s="66">
        <f>7.1269 * CHOOSE(CONTROL!$C$23, $C$12, 100%, $E$12)</f>
        <v>7.1269</v>
      </c>
      <c r="G401" s="66">
        <f>7.1318 * CHOOSE(CONTROL!$C$23, $C$12, 100%, $E$12)</f>
        <v>7.1318000000000001</v>
      </c>
      <c r="H401" s="66">
        <f>13.1471* CHOOSE(CONTROL!$C$23, $C$12, 100%, $E$12)</f>
        <v>13.1471</v>
      </c>
      <c r="I401" s="66">
        <f>13.152 * CHOOSE(CONTROL!$C$23, $C$12, 100%, $E$12)</f>
        <v>13.151999999999999</v>
      </c>
      <c r="J401" s="66">
        <f>13.1471 * CHOOSE(CONTROL!$C$23, $C$12, 100%, $E$12)</f>
        <v>13.1471</v>
      </c>
      <c r="K401" s="66">
        <f>13.152 * CHOOSE(CONTROL!$C$23, $C$12, 100%, $E$12)</f>
        <v>13.151999999999999</v>
      </c>
      <c r="L401" s="66">
        <f>7.1269 * CHOOSE(CONTROL!$C$23, $C$12, 100%, $E$12)</f>
        <v>7.1269</v>
      </c>
      <c r="M401" s="66">
        <f>7.1318 * CHOOSE(CONTROL!$C$23, $C$12, 100%, $E$12)</f>
        <v>7.1318000000000001</v>
      </c>
      <c r="N401" s="66">
        <f>7.1269 * CHOOSE(CONTROL!$C$23, $C$12, 100%, $E$12)</f>
        <v>7.1269</v>
      </c>
      <c r="O401" s="66">
        <f>7.1318 * CHOOSE(CONTROL!$C$23, $C$12, 100%, $E$12)</f>
        <v>7.1318000000000001</v>
      </c>
    </row>
    <row r="402" spans="1:15" ht="15">
      <c r="A402" s="13">
        <v>53387</v>
      </c>
      <c r="B402" s="65">
        <f>6.0094 * CHOOSE(CONTROL!$C$23, $C$12, 100%, $E$12)</f>
        <v>6.0094000000000003</v>
      </c>
      <c r="C402" s="65">
        <f>6.0094 * CHOOSE(CONTROL!$C$23, $C$12, 100%, $E$12)</f>
        <v>6.0094000000000003</v>
      </c>
      <c r="D402" s="65">
        <f>6.0134 * CHOOSE(CONTROL!$C$23, $C$12, 100%, $E$12)</f>
        <v>6.0133999999999999</v>
      </c>
      <c r="E402" s="66">
        <f>7.2164 * CHOOSE(CONTROL!$C$23, $C$12, 100%, $E$12)</f>
        <v>7.2164000000000001</v>
      </c>
      <c r="F402" s="66">
        <f>7.2164 * CHOOSE(CONTROL!$C$23, $C$12, 100%, $E$12)</f>
        <v>7.2164000000000001</v>
      </c>
      <c r="G402" s="66">
        <f>7.2213 * CHOOSE(CONTROL!$C$23, $C$12, 100%, $E$12)</f>
        <v>7.2213000000000003</v>
      </c>
      <c r="H402" s="66">
        <f>13.1745* CHOOSE(CONTROL!$C$23, $C$12, 100%, $E$12)</f>
        <v>13.1745</v>
      </c>
      <c r="I402" s="66">
        <f>13.1794 * CHOOSE(CONTROL!$C$23, $C$12, 100%, $E$12)</f>
        <v>13.179399999999999</v>
      </c>
      <c r="J402" s="66">
        <f>13.1745 * CHOOSE(CONTROL!$C$23, $C$12, 100%, $E$12)</f>
        <v>13.1745</v>
      </c>
      <c r="K402" s="66">
        <f>13.1794 * CHOOSE(CONTROL!$C$23, $C$12, 100%, $E$12)</f>
        <v>13.179399999999999</v>
      </c>
      <c r="L402" s="66">
        <f>7.2164 * CHOOSE(CONTROL!$C$23, $C$12, 100%, $E$12)</f>
        <v>7.2164000000000001</v>
      </c>
      <c r="M402" s="66">
        <f>7.2213 * CHOOSE(CONTROL!$C$23, $C$12, 100%, $E$12)</f>
        <v>7.2213000000000003</v>
      </c>
      <c r="N402" s="66">
        <f>7.2164 * CHOOSE(CONTROL!$C$23, $C$12, 100%, $E$12)</f>
        <v>7.2164000000000001</v>
      </c>
      <c r="O402" s="66">
        <f>7.2213 * CHOOSE(CONTROL!$C$23, $C$12, 100%, $E$12)</f>
        <v>7.2213000000000003</v>
      </c>
    </row>
    <row r="403" spans="1:15" ht="15">
      <c r="A403" s="13">
        <v>53418</v>
      </c>
      <c r="B403" s="65">
        <f>6.0088 * CHOOSE(CONTROL!$C$23, $C$12, 100%, $E$12)</f>
        <v>6.0087999999999999</v>
      </c>
      <c r="C403" s="65">
        <f>6.0088 * CHOOSE(CONTROL!$C$23, $C$12, 100%, $E$12)</f>
        <v>6.0087999999999999</v>
      </c>
      <c r="D403" s="65">
        <f>6.0128 * CHOOSE(CONTROL!$C$23, $C$12, 100%, $E$12)</f>
        <v>6.0128000000000004</v>
      </c>
      <c r="E403" s="66">
        <f>7.3105 * CHOOSE(CONTROL!$C$23, $C$12, 100%, $E$12)</f>
        <v>7.3105000000000002</v>
      </c>
      <c r="F403" s="66">
        <f>7.3105 * CHOOSE(CONTROL!$C$23, $C$12, 100%, $E$12)</f>
        <v>7.3105000000000002</v>
      </c>
      <c r="G403" s="66">
        <f>7.3154 * CHOOSE(CONTROL!$C$23, $C$12, 100%, $E$12)</f>
        <v>7.3154000000000003</v>
      </c>
      <c r="H403" s="66">
        <f>13.2019* CHOOSE(CONTROL!$C$23, $C$12, 100%, $E$12)</f>
        <v>13.2019</v>
      </c>
      <c r="I403" s="66">
        <f>13.2069 * CHOOSE(CONTROL!$C$23, $C$12, 100%, $E$12)</f>
        <v>13.206899999999999</v>
      </c>
      <c r="J403" s="66">
        <f>13.2019 * CHOOSE(CONTROL!$C$23, $C$12, 100%, $E$12)</f>
        <v>13.2019</v>
      </c>
      <c r="K403" s="66">
        <f>13.2069 * CHOOSE(CONTROL!$C$23, $C$12, 100%, $E$12)</f>
        <v>13.206899999999999</v>
      </c>
      <c r="L403" s="66">
        <f>7.3105 * CHOOSE(CONTROL!$C$23, $C$12, 100%, $E$12)</f>
        <v>7.3105000000000002</v>
      </c>
      <c r="M403" s="66">
        <f>7.3154 * CHOOSE(CONTROL!$C$23, $C$12, 100%, $E$12)</f>
        <v>7.3154000000000003</v>
      </c>
      <c r="N403" s="66">
        <f>7.3105 * CHOOSE(CONTROL!$C$23, $C$12, 100%, $E$12)</f>
        <v>7.3105000000000002</v>
      </c>
      <c r="O403" s="66">
        <f>7.3154 * CHOOSE(CONTROL!$C$23, $C$12, 100%, $E$12)</f>
        <v>7.3154000000000003</v>
      </c>
    </row>
    <row r="404" spans="1:15" ht="15">
      <c r="A404" s="13">
        <v>53448</v>
      </c>
      <c r="B404" s="65">
        <f>6.0088 * CHOOSE(CONTROL!$C$23, $C$12, 100%, $E$12)</f>
        <v>6.0087999999999999</v>
      </c>
      <c r="C404" s="65">
        <f>6.0088 * CHOOSE(CONTROL!$C$23, $C$12, 100%, $E$12)</f>
        <v>6.0087999999999999</v>
      </c>
      <c r="D404" s="65">
        <f>6.0144 * CHOOSE(CONTROL!$C$23, $C$12, 100%, $E$12)</f>
        <v>6.0144000000000002</v>
      </c>
      <c r="E404" s="66">
        <f>7.3474 * CHOOSE(CONTROL!$C$23, $C$12, 100%, $E$12)</f>
        <v>7.3474000000000004</v>
      </c>
      <c r="F404" s="66">
        <f>7.3474 * CHOOSE(CONTROL!$C$23, $C$12, 100%, $E$12)</f>
        <v>7.3474000000000004</v>
      </c>
      <c r="G404" s="66">
        <f>7.3543 * CHOOSE(CONTROL!$C$23, $C$12, 100%, $E$12)</f>
        <v>7.3543000000000003</v>
      </c>
      <c r="H404" s="66">
        <f>13.2294* CHOOSE(CONTROL!$C$23, $C$12, 100%, $E$12)</f>
        <v>13.2294</v>
      </c>
      <c r="I404" s="66">
        <f>13.2363 * CHOOSE(CONTROL!$C$23, $C$12, 100%, $E$12)</f>
        <v>13.2363</v>
      </c>
      <c r="J404" s="66">
        <f>13.2294 * CHOOSE(CONTROL!$C$23, $C$12, 100%, $E$12)</f>
        <v>13.2294</v>
      </c>
      <c r="K404" s="66">
        <f>13.2363 * CHOOSE(CONTROL!$C$23, $C$12, 100%, $E$12)</f>
        <v>13.2363</v>
      </c>
      <c r="L404" s="66">
        <f>7.3474 * CHOOSE(CONTROL!$C$23, $C$12, 100%, $E$12)</f>
        <v>7.3474000000000004</v>
      </c>
      <c r="M404" s="66">
        <f>7.3543 * CHOOSE(CONTROL!$C$23, $C$12, 100%, $E$12)</f>
        <v>7.3543000000000003</v>
      </c>
      <c r="N404" s="66">
        <f>7.3474 * CHOOSE(CONTROL!$C$23, $C$12, 100%, $E$12)</f>
        <v>7.3474000000000004</v>
      </c>
      <c r="O404" s="66">
        <f>7.3543 * CHOOSE(CONTROL!$C$23, $C$12, 100%, $E$12)</f>
        <v>7.3543000000000003</v>
      </c>
    </row>
    <row r="405" spans="1:15" ht="15">
      <c r="A405" s="13">
        <v>53479</v>
      </c>
      <c r="B405" s="65">
        <f>6.0149 * CHOOSE(CONTROL!$C$23, $C$12, 100%, $E$12)</f>
        <v>6.0148999999999999</v>
      </c>
      <c r="C405" s="65">
        <f>6.0149 * CHOOSE(CONTROL!$C$23, $C$12, 100%, $E$12)</f>
        <v>6.0148999999999999</v>
      </c>
      <c r="D405" s="65">
        <f>6.0205 * CHOOSE(CONTROL!$C$23, $C$12, 100%, $E$12)</f>
        <v>6.0205000000000002</v>
      </c>
      <c r="E405" s="66">
        <f>7.3147 * CHOOSE(CONTROL!$C$23, $C$12, 100%, $E$12)</f>
        <v>7.3147000000000002</v>
      </c>
      <c r="F405" s="66">
        <f>7.3147 * CHOOSE(CONTROL!$C$23, $C$12, 100%, $E$12)</f>
        <v>7.3147000000000002</v>
      </c>
      <c r="G405" s="66">
        <f>7.3216 * CHOOSE(CONTROL!$C$23, $C$12, 100%, $E$12)</f>
        <v>7.3216000000000001</v>
      </c>
      <c r="H405" s="66">
        <f>13.257* CHOOSE(CONTROL!$C$23, $C$12, 100%, $E$12)</f>
        <v>13.257</v>
      </c>
      <c r="I405" s="66">
        <f>13.2639 * CHOOSE(CONTROL!$C$23, $C$12, 100%, $E$12)</f>
        <v>13.2639</v>
      </c>
      <c r="J405" s="66">
        <f>13.257 * CHOOSE(CONTROL!$C$23, $C$12, 100%, $E$12)</f>
        <v>13.257</v>
      </c>
      <c r="K405" s="66">
        <f>13.2639 * CHOOSE(CONTROL!$C$23, $C$12, 100%, $E$12)</f>
        <v>13.2639</v>
      </c>
      <c r="L405" s="66">
        <f>7.3147 * CHOOSE(CONTROL!$C$23, $C$12, 100%, $E$12)</f>
        <v>7.3147000000000002</v>
      </c>
      <c r="M405" s="66">
        <f>7.3216 * CHOOSE(CONTROL!$C$23, $C$12, 100%, $E$12)</f>
        <v>7.3216000000000001</v>
      </c>
      <c r="N405" s="66">
        <f>7.3147 * CHOOSE(CONTROL!$C$23, $C$12, 100%, $E$12)</f>
        <v>7.3147000000000002</v>
      </c>
      <c r="O405" s="66">
        <f>7.3216 * CHOOSE(CONTROL!$C$23, $C$12, 100%, $E$12)</f>
        <v>7.3216000000000001</v>
      </c>
    </row>
    <row r="406" spans="1:15" ht="15">
      <c r="A406" s="13">
        <v>53509</v>
      </c>
      <c r="B406" s="65">
        <f>6.1119 * CHOOSE(CONTROL!$C$23, $C$12, 100%, $E$12)</f>
        <v>6.1119000000000003</v>
      </c>
      <c r="C406" s="65">
        <f>6.1119 * CHOOSE(CONTROL!$C$23, $C$12, 100%, $E$12)</f>
        <v>6.1119000000000003</v>
      </c>
      <c r="D406" s="65">
        <f>6.1176 * CHOOSE(CONTROL!$C$23, $C$12, 100%, $E$12)</f>
        <v>6.1176000000000004</v>
      </c>
      <c r="E406" s="66">
        <f>7.4374 * CHOOSE(CONTROL!$C$23, $C$12, 100%, $E$12)</f>
        <v>7.4374000000000002</v>
      </c>
      <c r="F406" s="66">
        <f>7.4374 * CHOOSE(CONTROL!$C$23, $C$12, 100%, $E$12)</f>
        <v>7.4374000000000002</v>
      </c>
      <c r="G406" s="66">
        <f>7.4443 * CHOOSE(CONTROL!$C$23, $C$12, 100%, $E$12)</f>
        <v>7.4443000000000001</v>
      </c>
      <c r="H406" s="66">
        <f>13.2846* CHOOSE(CONTROL!$C$23, $C$12, 100%, $E$12)</f>
        <v>13.284599999999999</v>
      </c>
      <c r="I406" s="66">
        <f>13.2915 * CHOOSE(CONTROL!$C$23, $C$12, 100%, $E$12)</f>
        <v>13.291499999999999</v>
      </c>
      <c r="J406" s="66">
        <f>13.2846 * CHOOSE(CONTROL!$C$23, $C$12, 100%, $E$12)</f>
        <v>13.284599999999999</v>
      </c>
      <c r="K406" s="66">
        <f>13.2915 * CHOOSE(CONTROL!$C$23, $C$12, 100%, $E$12)</f>
        <v>13.291499999999999</v>
      </c>
      <c r="L406" s="66">
        <f>7.4374 * CHOOSE(CONTROL!$C$23, $C$12, 100%, $E$12)</f>
        <v>7.4374000000000002</v>
      </c>
      <c r="M406" s="66">
        <f>7.4443 * CHOOSE(CONTROL!$C$23, $C$12, 100%, $E$12)</f>
        <v>7.4443000000000001</v>
      </c>
      <c r="N406" s="66">
        <f>7.4374 * CHOOSE(CONTROL!$C$23, $C$12, 100%, $E$12)</f>
        <v>7.4374000000000002</v>
      </c>
      <c r="O406" s="66">
        <f>7.4443 * CHOOSE(CONTROL!$C$23, $C$12, 100%, $E$12)</f>
        <v>7.4443000000000001</v>
      </c>
    </row>
    <row r="407" spans="1:15" ht="15">
      <c r="A407" s="13">
        <v>53540</v>
      </c>
      <c r="B407" s="65">
        <f>6.1186 * CHOOSE(CONTROL!$C$23, $C$12, 100%, $E$12)</f>
        <v>6.1185999999999998</v>
      </c>
      <c r="C407" s="65">
        <f>6.1186 * CHOOSE(CONTROL!$C$23, $C$12, 100%, $E$12)</f>
        <v>6.1185999999999998</v>
      </c>
      <c r="D407" s="65">
        <f>6.1243 * CHOOSE(CONTROL!$C$23, $C$12, 100%, $E$12)</f>
        <v>6.1242999999999999</v>
      </c>
      <c r="E407" s="66">
        <f>7.3314 * CHOOSE(CONTROL!$C$23, $C$12, 100%, $E$12)</f>
        <v>7.3314000000000004</v>
      </c>
      <c r="F407" s="66">
        <f>7.3314 * CHOOSE(CONTROL!$C$23, $C$12, 100%, $E$12)</f>
        <v>7.3314000000000004</v>
      </c>
      <c r="G407" s="66">
        <f>7.3383 * CHOOSE(CONTROL!$C$23, $C$12, 100%, $E$12)</f>
        <v>7.3383000000000003</v>
      </c>
      <c r="H407" s="66">
        <f>13.3123* CHOOSE(CONTROL!$C$23, $C$12, 100%, $E$12)</f>
        <v>13.3123</v>
      </c>
      <c r="I407" s="66">
        <f>13.3192 * CHOOSE(CONTROL!$C$23, $C$12, 100%, $E$12)</f>
        <v>13.3192</v>
      </c>
      <c r="J407" s="66">
        <f>13.3123 * CHOOSE(CONTROL!$C$23, $C$12, 100%, $E$12)</f>
        <v>13.3123</v>
      </c>
      <c r="K407" s="66">
        <f>13.3192 * CHOOSE(CONTROL!$C$23, $C$12, 100%, $E$12)</f>
        <v>13.3192</v>
      </c>
      <c r="L407" s="66">
        <f>7.3314 * CHOOSE(CONTROL!$C$23, $C$12, 100%, $E$12)</f>
        <v>7.3314000000000004</v>
      </c>
      <c r="M407" s="66">
        <f>7.3383 * CHOOSE(CONTROL!$C$23, $C$12, 100%, $E$12)</f>
        <v>7.3383000000000003</v>
      </c>
      <c r="N407" s="66">
        <f>7.3314 * CHOOSE(CONTROL!$C$23, $C$12, 100%, $E$12)</f>
        <v>7.3314000000000004</v>
      </c>
      <c r="O407" s="66">
        <f>7.3383 * CHOOSE(CONTROL!$C$23, $C$12, 100%, $E$12)</f>
        <v>7.3383000000000003</v>
      </c>
    </row>
    <row r="408" spans="1:15" ht="15">
      <c r="A408" s="13">
        <v>53571</v>
      </c>
      <c r="B408" s="65">
        <f>6.1156 * CHOOSE(CONTROL!$C$23, $C$12, 100%, $E$12)</f>
        <v>6.1155999999999997</v>
      </c>
      <c r="C408" s="65">
        <f>6.1156 * CHOOSE(CONTROL!$C$23, $C$12, 100%, $E$12)</f>
        <v>6.1155999999999997</v>
      </c>
      <c r="D408" s="65">
        <f>6.1212 * CHOOSE(CONTROL!$C$23, $C$12, 100%, $E$12)</f>
        <v>6.1212</v>
      </c>
      <c r="E408" s="66">
        <f>7.317 * CHOOSE(CONTROL!$C$23, $C$12, 100%, $E$12)</f>
        <v>7.3170000000000002</v>
      </c>
      <c r="F408" s="66">
        <f>7.317 * CHOOSE(CONTROL!$C$23, $C$12, 100%, $E$12)</f>
        <v>7.3170000000000002</v>
      </c>
      <c r="G408" s="66">
        <f>7.3238 * CHOOSE(CONTROL!$C$23, $C$12, 100%, $E$12)</f>
        <v>7.3238000000000003</v>
      </c>
      <c r="H408" s="66">
        <f>13.34* CHOOSE(CONTROL!$C$23, $C$12, 100%, $E$12)</f>
        <v>13.34</v>
      </c>
      <c r="I408" s="66">
        <f>13.3469 * CHOOSE(CONTROL!$C$23, $C$12, 100%, $E$12)</f>
        <v>13.3469</v>
      </c>
      <c r="J408" s="66">
        <f>13.34 * CHOOSE(CONTROL!$C$23, $C$12, 100%, $E$12)</f>
        <v>13.34</v>
      </c>
      <c r="K408" s="66">
        <f>13.3469 * CHOOSE(CONTROL!$C$23, $C$12, 100%, $E$12)</f>
        <v>13.3469</v>
      </c>
      <c r="L408" s="66">
        <f>7.317 * CHOOSE(CONTROL!$C$23, $C$12, 100%, $E$12)</f>
        <v>7.3170000000000002</v>
      </c>
      <c r="M408" s="66">
        <f>7.3238 * CHOOSE(CONTROL!$C$23, $C$12, 100%, $E$12)</f>
        <v>7.3238000000000003</v>
      </c>
      <c r="N408" s="66">
        <f>7.317 * CHOOSE(CONTROL!$C$23, $C$12, 100%, $E$12)</f>
        <v>7.3170000000000002</v>
      </c>
      <c r="O408" s="66">
        <f>7.3238 * CHOOSE(CONTROL!$C$23, $C$12, 100%, $E$12)</f>
        <v>7.3238000000000003</v>
      </c>
    </row>
    <row r="409" spans="1:15" ht="15">
      <c r="A409" s="13">
        <v>53601</v>
      </c>
      <c r="B409" s="65">
        <f>6.1176 * CHOOSE(CONTROL!$C$23, $C$12, 100%, $E$12)</f>
        <v>6.1176000000000004</v>
      </c>
      <c r="C409" s="65">
        <f>6.1176 * CHOOSE(CONTROL!$C$23, $C$12, 100%, $E$12)</f>
        <v>6.1176000000000004</v>
      </c>
      <c r="D409" s="65">
        <f>6.1216 * CHOOSE(CONTROL!$C$23, $C$12, 100%, $E$12)</f>
        <v>6.1215999999999999</v>
      </c>
      <c r="E409" s="66">
        <f>7.3527 * CHOOSE(CONTROL!$C$23, $C$12, 100%, $E$12)</f>
        <v>7.3526999999999996</v>
      </c>
      <c r="F409" s="66">
        <f>7.3527 * CHOOSE(CONTROL!$C$23, $C$12, 100%, $E$12)</f>
        <v>7.3526999999999996</v>
      </c>
      <c r="G409" s="66">
        <f>7.3576 * CHOOSE(CONTROL!$C$23, $C$12, 100%, $E$12)</f>
        <v>7.3575999999999997</v>
      </c>
      <c r="H409" s="66">
        <f>13.3678* CHOOSE(CONTROL!$C$23, $C$12, 100%, $E$12)</f>
        <v>13.367800000000001</v>
      </c>
      <c r="I409" s="66">
        <f>13.3727 * CHOOSE(CONTROL!$C$23, $C$12, 100%, $E$12)</f>
        <v>13.3727</v>
      </c>
      <c r="J409" s="66">
        <f>13.3678 * CHOOSE(CONTROL!$C$23, $C$12, 100%, $E$12)</f>
        <v>13.367800000000001</v>
      </c>
      <c r="K409" s="66">
        <f>13.3727 * CHOOSE(CONTROL!$C$23, $C$12, 100%, $E$12)</f>
        <v>13.3727</v>
      </c>
      <c r="L409" s="66">
        <f>7.3527 * CHOOSE(CONTROL!$C$23, $C$12, 100%, $E$12)</f>
        <v>7.3526999999999996</v>
      </c>
      <c r="M409" s="66">
        <f>7.3576 * CHOOSE(CONTROL!$C$23, $C$12, 100%, $E$12)</f>
        <v>7.3575999999999997</v>
      </c>
      <c r="N409" s="66">
        <f>7.3527 * CHOOSE(CONTROL!$C$23, $C$12, 100%, $E$12)</f>
        <v>7.3526999999999996</v>
      </c>
      <c r="O409" s="66">
        <f>7.3576 * CHOOSE(CONTROL!$C$23, $C$12, 100%, $E$12)</f>
        <v>7.3575999999999997</v>
      </c>
    </row>
    <row r="410" spans="1:15" ht="15">
      <c r="A410" s="13">
        <v>53632</v>
      </c>
      <c r="B410" s="65">
        <f>6.1207 * CHOOSE(CONTROL!$C$23, $C$12, 100%, $E$12)</f>
        <v>6.1207000000000003</v>
      </c>
      <c r="C410" s="65">
        <f>6.1207 * CHOOSE(CONTROL!$C$23, $C$12, 100%, $E$12)</f>
        <v>6.1207000000000003</v>
      </c>
      <c r="D410" s="65">
        <f>6.1247 * CHOOSE(CONTROL!$C$23, $C$12, 100%, $E$12)</f>
        <v>6.1246999999999998</v>
      </c>
      <c r="E410" s="66">
        <f>7.3794 * CHOOSE(CONTROL!$C$23, $C$12, 100%, $E$12)</f>
        <v>7.3794000000000004</v>
      </c>
      <c r="F410" s="66">
        <f>7.3794 * CHOOSE(CONTROL!$C$23, $C$12, 100%, $E$12)</f>
        <v>7.3794000000000004</v>
      </c>
      <c r="G410" s="66">
        <f>7.3843 * CHOOSE(CONTROL!$C$23, $C$12, 100%, $E$12)</f>
        <v>7.3842999999999996</v>
      </c>
      <c r="H410" s="66">
        <f>13.3957* CHOOSE(CONTROL!$C$23, $C$12, 100%, $E$12)</f>
        <v>13.3957</v>
      </c>
      <c r="I410" s="66">
        <f>13.4006 * CHOOSE(CONTROL!$C$23, $C$12, 100%, $E$12)</f>
        <v>13.400600000000001</v>
      </c>
      <c r="J410" s="66">
        <f>13.3957 * CHOOSE(CONTROL!$C$23, $C$12, 100%, $E$12)</f>
        <v>13.3957</v>
      </c>
      <c r="K410" s="66">
        <f>13.4006 * CHOOSE(CONTROL!$C$23, $C$12, 100%, $E$12)</f>
        <v>13.400600000000001</v>
      </c>
      <c r="L410" s="66">
        <f>7.3794 * CHOOSE(CONTROL!$C$23, $C$12, 100%, $E$12)</f>
        <v>7.3794000000000004</v>
      </c>
      <c r="M410" s="66">
        <f>7.3843 * CHOOSE(CONTROL!$C$23, $C$12, 100%, $E$12)</f>
        <v>7.3842999999999996</v>
      </c>
      <c r="N410" s="66">
        <f>7.3794 * CHOOSE(CONTROL!$C$23, $C$12, 100%, $E$12)</f>
        <v>7.3794000000000004</v>
      </c>
      <c r="O410" s="66">
        <f>7.3843 * CHOOSE(CONTROL!$C$23, $C$12, 100%, $E$12)</f>
        <v>7.3842999999999996</v>
      </c>
    </row>
    <row r="411" spans="1:15" ht="15">
      <c r="A411" s="13">
        <v>53662</v>
      </c>
      <c r="B411" s="65">
        <f>6.1207 * CHOOSE(CONTROL!$C$23, $C$12, 100%, $E$12)</f>
        <v>6.1207000000000003</v>
      </c>
      <c r="C411" s="65">
        <f>6.1207 * CHOOSE(CONTROL!$C$23, $C$12, 100%, $E$12)</f>
        <v>6.1207000000000003</v>
      </c>
      <c r="D411" s="65">
        <f>6.1247 * CHOOSE(CONTROL!$C$23, $C$12, 100%, $E$12)</f>
        <v>6.1246999999999998</v>
      </c>
      <c r="E411" s="66">
        <f>7.318 * CHOOSE(CONTROL!$C$23, $C$12, 100%, $E$12)</f>
        <v>7.3179999999999996</v>
      </c>
      <c r="F411" s="66">
        <f>7.318 * CHOOSE(CONTROL!$C$23, $C$12, 100%, $E$12)</f>
        <v>7.3179999999999996</v>
      </c>
      <c r="G411" s="66">
        <f>7.3229 * CHOOSE(CONTROL!$C$23, $C$12, 100%, $E$12)</f>
        <v>7.3228999999999997</v>
      </c>
      <c r="H411" s="66">
        <f>13.4236* CHOOSE(CONTROL!$C$23, $C$12, 100%, $E$12)</f>
        <v>13.4236</v>
      </c>
      <c r="I411" s="66">
        <f>13.4285 * CHOOSE(CONTROL!$C$23, $C$12, 100%, $E$12)</f>
        <v>13.4285</v>
      </c>
      <c r="J411" s="66">
        <f>13.4236 * CHOOSE(CONTROL!$C$23, $C$12, 100%, $E$12)</f>
        <v>13.4236</v>
      </c>
      <c r="K411" s="66">
        <f>13.4285 * CHOOSE(CONTROL!$C$23, $C$12, 100%, $E$12)</f>
        <v>13.4285</v>
      </c>
      <c r="L411" s="66">
        <f>7.318 * CHOOSE(CONTROL!$C$23, $C$12, 100%, $E$12)</f>
        <v>7.3179999999999996</v>
      </c>
      <c r="M411" s="66">
        <f>7.3229 * CHOOSE(CONTROL!$C$23, $C$12, 100%, $E$12)</f>
        <v>7.3228999999999997</v>
      </c>
      <c r="N411" s="66">
        <f>7.318 * CHOOSE(CONTROL!$C$23, $C$12, 100%, $E$12)</f>
        <v>7.3179999999999996</v>
      </c>
      <c r="O411" s="66">
        <f>7.3229 * CHOOSE(CONTROL!$C$23, $C$12, 100%, $E$12)</f>
        <v>7.3228999999999997</v>
      </c>
    </row>
    <row r="412" spans="1:15" ht="15">
      <c r="A412" s="13">
        <v>53693</v>
      </c>
      <c r="B412" s="65">
        <f>6.1742 * CHOOSE(CONTROL!$C$23, $C$12, 100%, $E$12)</f>
        <v>6.1741999999999999</v>
      </c>
      <c r="C412" s="65">
        <f>6.1742 * CHOOSE(CONTROL!$C$23, $C$12, 100%, $E$12)</f>
        <v>6.1741999999999999</v>
      </c>
      <c r="D412" s="65">
        <f>6.1782 * CHOOSE(CONTROL!$C$23, $C$12, 100%, $E$12)</f>
        <v>6.1782000000000004</v>
      </c>
      <c r="E412" s="66">
        <f>7.4222 * CHOOSE(CONTROL!$C$23, $C$12, 100%, $E$12)</f>
        <v>7.4222000000000001</v>
      </c>
      <c r="F412" s="66">
        <f>7.4222 * CHOOSE(CONTROL!$C$23, $C$12, 100%, $E$12)</f>
        <v>7.4222000000000001</v>
      </c>
      <c r="G412" s="66">
        <f>7.4271 * CHOOSE(CONTROL!$C$23, $C$12, 100%, $E$12)</f>
        <v>7.4271000000000003</v>
      </c>
      <c r="H412" s="66">
        <f>13.4515* CHOOSE(CONTROL!$C$23, $C$12, 100%, $E$12)</f>
        <v>13.451499999999999</v>
      </c>
      <c r="I412" s="66">
        <f>13.4565 * CHOOSE(CONTROL!$C$23, $C$12, 100%, $E$12)</f>
        <v>13.4565</v>
      </c>
      <c r="J412" s="66">
        <f>13.4515 * CHOOSE(CONTROL!$C$23, $C$12, 100%, $E$12)</f>
        <v>13.451499999999999</v>
      </c>
      <c r="K412" s="66">
        <f>13.4565 * CHOOSE(CONTROL!$C$23, $C$12, 100%, $E$12)</f>
        <v>13.4565</v>
      </c>
      <c r="L412" s="66">
        <f>7.4222 * CHOOSE(CONTROL!$C$23, $C$12, 100%, $E$12)</f>
        <v>7.4222000000000001</v>
      </c>
      <c r="M412" s="66">
        <f>7.4271 * CHOOSE(CONTROL!$C$23, $C$12, 100%, $E$12)</f>
        <v>7.4271000000000003</v>
      </c>
      <c r="N412" s="66">
        <f>7.4222 * CHOOSE(CONTROL!$C$23, $C$12, 100%, $E$12)</f>
        <v>7.4222000000000001</v>
      </c>
      <c r="O412" s="66">
        <f>7.4271 * CHOOSE(CONTROL!$C$23, $C$12, 100%, $E$12)</f>
        <v>7.4271000000000003</v>
      </c>
    </row>
    <row r="413" spans="1:15" ht="15">
      <c r="A413" s="13">
        <v>53724</v>
      </c>
      <c r="B413" s="65">
        <f>6.1712 * CHOOSE(CONTROL!$C$23, $C$12, 100%, $E$12)</f>
        <v>6.1711999999999998</v>
      </c>
      <c r="C413" s="65">
        <f>6.1712 * CHOOSE(CONTROL!$C$23, $C$12, 100%, $E$12)</f>
        <v>6.1711999999999998</v>
      </c>
      <c r="D413" s="65">
        <f>6.1752 * CHOOSE(CONTROL!$C$23, $C$12, 100%, $E$12)</f>
        <v>6.1752000000000002</v>
      </c>
      <c r="E413" s="66">
        <f>7.3006 * CHOOSE(CONTROL!$C$23, $C$12, 100%, $E$12)</f>
        <v>7.3006000000000002</v>
      </c>
      <c r="F413" s="66">
        <f>7.3006 * CHOOSE(CONTROL!$C$23, $C$12, 100%, $E$12)</f>
        <v>7.3006000000000002</v>
      </c>
      <c r="G413" s="66">
        <f>7.3056 * CHOOSE(CONTROL!$C$23, $C$12, 100%, $E$12)</f>
        <v>7.3056000000000001</v>
      </c>
      <c r="H413" s="66">
        <f>13.4796* CHOOSE(CONTROL!$C$23, $C$12, 100%, $E$12)</f>
        <v>13.4796</v>
      </c>
      <c r="I413" s="66">
        <f>13.4845 * CHOOSE(CONTROL!$C$23, $C$12, 100%, $E$12)</f>
        <v>13.484500000000001</v>
      </c>
      <c r="J413" s="66">
        <f>13.4796 * CHOOSE(CONTROL!$C$23, $C$12, 100%, $E$12)</f>
        <v>13.4796</v>
      </c>
      <c r="K413" s="66">
        <f>13.4845 * CHOOSE(CONTROL!$C$23, $C$12, 100%, $E$12)</f>
        <v>13.484500000000001</v>
      </c>
      <c r="L413" s="66">
        <f>7.3006 * CHOOSE(CONTROL!$C$23, $C$12, 100%, $E$12)</f>
        <v>7.3006000000000002</v>
      </c>
      <c r="M413" s="66">
        <f>7.3056 * CHOOSE(CONTROL!$C$23, $C$12, 100%, $E$12)</f>
        <v>7.3056000000000001</v>
      </c>
      <c r="N413" s="66">
        <f>7.3006 * CHOOSE(CONTROL!$C$23, $C$12, 100%, $E$12)</f>
        <v>7.3006000000000002</v>
      </c>
      <c r="O413" s="66">
        <f>7.3056 * CHOOSE(CONTROL!$C$23, $C$12, 100%, $E$12)</f>
        <v>7.3056000000000001</v>
      </c>
    </row>
    <row r="414" spans="1:15" ht="15">
      <c r="A414" s="13">
        <v>53752</v>
      </c>
      <c r="B414" s="65">
        <f>6.1681 * CHOOSE(CONTROL!$C$23, $C$12, 100%, $E$12)</f>
        <v>6.1680999999999999</v>
      </c>
      <c r="C414" s="65">
        <f>6.1681 * CHOOSE(CONTROL!$C$23, $C$12, 100%, $E$12)</f>
        <v>6.1680999999999999</v>
      </c>
      <c r="D414" s="65">
        <f>6.1721 * CHOOSE(CONTROL!$C$23, $C$12, 100%, $E$12)</f>
        <v>6.1721000000000004</v>
      </c>
      <c r="E414" s="66">
        <f>7.3927 * CHOOSE(CONTROL!$C$23, $C$12, 100%, $E$12)</f>
        <v>7.3926999999999996</v>
      </c>
      <c r="F414" s="66">
        <f>7.3927 * CHOOSE(CONTROL!$C$23, $C$12, 100%, $E$12)</f>
        <v>7.3926999999999996</v>
      </c>
      <c r="G414" s="66">
        <f>7.3976 * CHOOSE(CONTROL!$C$23, $C$12, 100%, $E$12)</f>
        <v>7.3975999999999997</v>
      </c>
      <c r="H414" s="66">
        <f>13.5077* CHOOSE(CONTROL!$C$23, $C$12, 100%, $E$12)</f>
        <v>13.5077</v>
      </c>
      <c r="I414" s="66">
        <f>13.5126 * CHOOSE(CONTROL!$C$23, $C$12, 100%, $E$12)</f>
        <v>13.512600000000001</v>
      </c>
      <c r="J414" s="66">
        <f>13.5077 * CHOOSE(CONTROL!$C$23, $C$12, 100%, $E$12)</f>
        <v>13.5077</v>
      </c>
      <c r="K414" s="66">
        <f>13.5126 * CHOOSE(CONTROL!$C$23, $C$12, 100%, $E$12)</f>
        <v>13.512600000000001</v>
      </c>
      <c r="L414" s="66">
        <f>7.3927 * CHOOSE(CONTROL!$C$23, $C$12, 100%, $E$12)</f>
        <v>7.3926999999999996</v>
      </c>
      <c r="M414" s="66">
        <f>7.3976 * CHOOSE(CONTROL!$C$23, $C$12, 100%, $E$12)</f>
        <v>7.3975999999999997</v>
      </c>
      <c r="N414" s="66">
        <f>7.3927 * CHOOSE(CONTROL!$C$23, $C$12, 100%, $E$12)</f>
        <v>7.3926999999999996</v>
      </c>
      <c r="O414" s="66">
        <f>7.3976 * CHOOSE(CONTROL!$C$23, $C$12, 100%, $E$12)</f>
        <v>7.3975999999999997</v>
      </c>
    </row>
    <row r="415" spans="1:15" ht="15">
      <c r="A415" s="13">
        <v>53783</v>
      </c>
      <c r="B415" s="65">
        <f>6.1677 * CHOOSE(CONTROL!$C$23, $C$12, 100%, $E$12)</f>
        <v>6.1677</v>
      </c>
      <c r="C415" s="65">
        <f>6.1677 * CHOOSE(CONTROL!$C$23, $C$12, 100%, $E$12)</f>
        <v>6.1677</v>
      </c>
      <c r="D415" s="65">
        <f>6.1717 * CHOOSE(CONTROL!$C$23, $C$12, 100%, $E$12)</f>
        <v>6.1717000000000004</v>
      </c>
      <c r="E415" s="66">
        <f>7.4896 * CHOOSE(CONTROL!$C$23, $C$12, 100%, $E$12)</f>
        <v>7.4896000000000003</v>
      </c>
      <c r="F415" s="66">
        <f>7.4896 * CHOOSE(CONTROL!$C$23, $C$12, 100%, $E$12)</f>
        <v>7.4896000000000003</v>
      </c>
      <c r="G415" s="66">
        <f>7.4945 * CHOOSE(CONTROL!$C$23, $C$12, 100%, $E$12)</f>
        <v>7.4945000000000004</v>
      </c>
      <c r="H415" s="66">
        <f>13.5358* CHOOSE(CONTROL!$C$23, $C$12, 100%, $E$12)</f>
        <v>13.5358</v>
      </c>
      <c r="I415" s="66">
        <f>13.5407 * CHOOSE(CONTROL!$C$23, $C$12, 100%, $E$12)</f>
        <v>13.540699999999999</v>
      </c>
      <c r="J415" s="66">
        <f>13.5358 * CHOOSE(CONTROL!$C$23, $C$12, 100%, $E$12)</f>
        <v>13.5358</v>
      </c>
      <c r="K415" s="66">
        <f>13.5407 * CHOOSE(CONTROL!$C$23, $C$12, 100%, $E$12)</f>
        <v>13.540699999999999</v>
      </c>
      <c r="L415" s="66">
        <f>7.4896 * CHOOSE(CONTROL!$C$23, $C$12, 100%, $E$12)</f>
        <v>7.4896000000000003</v>
      </c>
      <c r="M415" s="66">
        <f>7.4945 * CHOOSE(CONTROL!$C$23, $C$12, 100%, $E$12)</f>
        <v>7.4945000000000004</v>
      </c>
      <c r="N415" s="66">
        <f>7.4896 * CHOOSE(CONTROL!$C$23, $C$12, 100%, $E$12)</f>
        <v>7.4896000000000003</v>
      </c>
      <c r="O415" s="66">
        <f>7.4945 * CHOOSE(CONTROL!$C$23, $C$12, 100%, $E$12)</f>
        <v>7.4945000000000004</v>
      </c>
    </row>
    <row r="416" spans="1:15" ht="15">
      <c r="A416" s="13">
        <v>53813</v>
      </c>
      <c r="B416" s="65">
        <f>6.1677 * CHOOSE(CONTROL!$C$23, $C$12, 100%, $E$12)</f>
        <v>6.1677</v>
      </c>
      <c r="C416" s="65">
        <f>6.1677 * CHOOSE(CONTROL!$C$23, $C$12, 100%, $E$12)</f>
        <v>6.1677</v>
      </c>
      <c r="D416" s="65">
        <f>6.1733 * CHOOSE(CONTROL!$C$23, $C$12, 100%, $E$12)</f>
        <v>6.1733000000000002</v>
      </c>
      <c r="E416" s="66">
        <f>7.5275 * CHOOSE(CONTROL!$C$23, $C$12, 100%, $E$12)</f>
        <v>7.5274999999999999</v>
      </c>
      <c r="F416" s="66">
        <f>7.5275 * CHOOSE(CONTROL!$C$23, $C$12, 100%, $E$12)</f>
        <v>7.5274999999999999</v>
      </c>
      <c r="G416" s="66">
        <f>7.5344 * CHOOSE(CONTROL!$C$23, $C$12, 100%, $E$12)</f>
        <v>7.5343999999999998</v>
      </c>
      <c r="H416" s="66">
        <f>13.564* CHOOSE(CONTROL!$C$23, $C$12, 100%, $E$12)</f>
        <v>13.564</v>
      </c>
      <c r="I416" s="66">
        <f>13.5709 * CHOOSE(CONTROL!$C$23, $C$12, 100%, $E$12)</f>
        <v>13.5709</v>
      </c>
      <c r="J416" s="66">
        <f>13.564 * CHOOSE(CONTROL!$C$23, $C$12, 100%, $E$12)</f>
        <v>13.564</v>
      </c>
      <c r="K416" s="66">
        <f>13.5709 * CHOOSE(CONTROL!$C$23, $C$12, 100%, $E$12)</f>
        <v>13.5709</v>
      </c>
      <c r="L416" s="66">
        <f>7.5275 * CHOOSE(CONTROL!$C$23, $C$12, 100%, $E$12)</f>
        <v>7.5274999999999999</v>
      </c>
      <c r="M416" s="66">
        <f>7.5344 * CHOOSE(CONTROL!$C$23, $C$12, 100%, $E$12)</f>
        <v>7.5343999999999998</v>
      </c>
      <c r="N416" s="66">
        <f>7.5275 * CHOOSE(CONTROL!$C$23, $C$12, 100%, $E$12)</f>
        <v>7.5274999999999999</v>
      </c>
      <c r="O416" s="66">
        <f>7.5344 * CHOOSE(CONTROL!$C$23, $C$12, 100%, $E$12)</f>
        <v>7.5343999999999998</v>
      </c>
    </row>
    <row r="417" spans="1:15" ht="15">
      <c r="A417" s="13">
        <v>53844</v>
      </c>
      <c r="B417" s="65">
        <f>6.1737 * CHOOSE(CONTROL!$C$23, $C$12, 100%, $E$12)</f>
        <v>6.1737000000000002</v>
      </c>
      <c r="C417" s="65">
        <f>6.1737 * CHOOSE(CONTROL!$C$23, $C$12, 100%, $E$12)</f>
        <v>6.1737000000000002</v>
      </c>
      <c r="D417" s="65">
        <f>6.1794 * CHOOSE(CONTROL!$C$23, $C$12, 100%, $E$12)</f>
        <v>6.1794000000000002</v>
      </c>
      <c r="E417" s="66">
        <f>7.4938 * CHOOSE(CONTROL!$C$23, $C$12, 100%, $E$12)</f>
        <v>7.4938000000000002</v>
      </c>
      <c r="F417" s="66">
        <f>7.4938 * CHOOSE(CONTROL!$C$23, $C$12, 100%, $E$12)</f>
        <v>7.4938000000000002</v>
      </c>
      <c r="G417" s="66">
        <f>7.5007 * CHOOSE(CONTROL!$C$23, $C$12, 100%, $E$12)</f>
        <v>7.5007000000000001</v>
      </c>
      <c r="H417" s="66">
        <f>13.5923* CHOOSE(CONTROL!$C$23, $C$12, 100%, $E$12)</f>
        <v>13.5923</v>
      </c>
      <c r="I417" s="66">
        <f>13.5991 * CHOOSE(CONTROL!$C$23, $C$12, 100%, $E$12)</f>
        <v>13.5991</v>
      </c>
      <c r="J417" s="66">
        <f>13.5923 * CHOOSE(CONTROL!$C$23, $C$12, 100%, $E$12)</f>
        <v>13.5923</v>
      </c>
      <c r="K417" s="66">
        <f>13.5991 * CHOOSE(CONTROL!$C$23, $C$12, 100%, $E$12)</f>
        <v>13.5991</v>
      </c>
      <c r="L417" s="66">
        <f>7.4938 * CHOOSE(CONTROL!$C$23, $C$12, 100%, $E$12)</f>
        <v>7.4938000000000002</v>
      </c>
      <c r="M417" s="66">
        <f>7.5007 * CHOOSE(CONTROL!$C$23, $C$12, 100%, $E$12)</f>
        <v>7.5007000000000001</v>
      </c>
      <c r="N417" s="66">
        <f>7.4938 * CHOOSE(CONTROL!$C$23, $C$12, 100%, $E$12)</f>
        <v>7.4938000000000002</v>
      </c>
      <c r="O417" s="66">
        <f>7.5007 * CHOOSE(CONTROL!$C$23, $C$12, 100%, $E$12)</f>
        <v>7.5007000000000001</v>
      </c>
    </row>
    <row r="418" spans="1:15" ht="15">
      <c r="A418" s="13">
        <v>53874</v>
      </c>
      <c r="B418" s="65">
        <f>6.273 * CHOOSE(CONTROL!$C$23, $C$12, 100%, $E$12)</f>
        <v>6.2729999999999997</v>
      </c>
      <c r="C418" s="65">
        <f>6.273 * CHOOSE(CONTROL!$C$23, $C$12, 100%, $E$12)</f>
        <v>6.2729999999999997</v>
      </c>
      <c r="D418" s="65">
        <f>6.2787 * CHOOSE(CONTROL!$C$23, $C$12, 100%, $E$12)</f>
        <v>6.2786999999999997</v>
      </c>
      <c r="E418" s="66">
        <f>7.6192 * CHOOSE(CONTROL!$C$23, $C$12, 100%, $E$12)</f>
        <v>7.6192000000000002</v>
      </c>
      <c r="F418" s="66">
        <f>7.6192 * CHOOSE(CONTROL!$C$23, $C$12, 100%, $E$12)</f>
        <v>7.6192000000000002</v>
      </c>
      <c r="G418" s="66">
        <f>7.6261 * CHOOSE(CONTROL!$C$23, $C$12, 100%, $E$12)</f>
        <v>7.6261000000000001</v>
      </c>
      <c r="H418" s="66">
        <f>13.6206* CHOOSE(CONTROL!$C$23, $C$12, 100%, $E$12)</f>
        <v>13.6206</v>
      </c>
      <c r="I418" s="66">
        <f>13.6275 * CHOOSE(CONTROL!$C$23, $C$12, 100%, $E$12)</f>
        <v>13.6275</v>
      </c>
      <c r="J418" s="66">
        <f>13.6206 * CHOOSE(CONTROL!$C$23, $C$12, 100%, $E$12)</f>
        <v>13.6206</v>
      </c>
      <c r="K418" s="66">
        <f>13.6275 * CHOOSE(CONTROL!$C$23, $C$12, 100%, $E$12)</f>
        <v>13.6275</v>
      </c>
      <c r="L418" s="66">
        <f>7.6192 * CHOOSE(CONTROL!$C$23, $C$12, 100%, $E$12)</f>
        <v>7.6192000000000002</v>
      </c>
      <c r="M418" s="66">
        <f>7.6261 * CHOOSE(CONTROL!$C$23, $C$12, 100%, $E$12)</f>
        <v>7.6261000000000001</v>
      </c>
      <c r="N418" s="66">
        <f>7.6192 * CHOOSE(CONTROL!$C$23, $C$12, 100%, $E$12)</f>
        <v>7.6192000000000002</v>
      </c>
      <c r="O418" s="66">
        <f>7.6261 * CHOOSE(CONTROL!$C$23, $C$12, 100%, $E$12)</f>
        <v>7.6261000000000001</v>
      </c>
    </row>
    <row r="419" spans="1:15" ht="15">
      <c r="A419" s="13">
        <v>53905</v>
      </c>
      <c r="B419" s="65">
        <f>6.2797 * CHOOSE(CONTROL!$C$23, $C$12, 100%, $E$12)</f>
        <v>6.2797000000000001</v>
      </c>
      <c r="C419" s="65">
        <f>6.2797 * CHOOSE(CONTROL!$C$23, $C$12, 100%, $E$12)</f>
        <v>6.2797000000000001</v>
      </c>
      <c r="D419" s="65">
        <f>6.2854 * CHOOSE(CONTROL!$C$23, $C$12, 100%, $E$12)</f>
        <v>6.2854000000000001</v>
      </c>
      <c r="E419" s="66">
        <f>7.5101 * CHOOSE(CONTROL!$C$23, $C$12, 100%, $E$12)</f>
        <v>7.5101000000000004</v>
      </c>
      <c r="F419" s="66">
        <f>7.5101 * CHOOSE(CONTROL!$C$23, $C$12, 100%, $E$12)</f>
        <v>7.5101000000000004</v>
      </c>
      <c r="G419" s="66">
        <f>7.517 * CHOOSE(CONTROL!$C$23, $C$12, 100%, $E$12)</f>
        <v>7.5170000000000003</v>
      </c>
      <c r="H419" s="66">
        <f>13.6489* CHOOSE(CONTROL!$C$23, $C$12, 100%, $E$12)</f>
        <v>13.648899999999999</v>
      </c>
      <c r="I419" s="66">
        <f>13.6558 * CHOOSE(CONTROL!$C$23, $C$12, 100%, $E$12)</f>
        <v>13.655799999999999</v>
      </c>
      <c r="J419" s="66">
        <f>13.6489 * CHOOSE(CONTROL!$C$23, $C$12, 100%, $E$12)</f>
        <v>13.648899999999999</v>
      </c>
      <c r="K419" s="66">
        <f>13.6558 * CHOOSE(CONTROL!$C$23, $C$12, 100%, $E$12)</f>
        <v>13.655799999999999</v>
      </c>
      <c r="L419" s="66">
        <f>7.5101 * CHOOSE(CONTROL!$C$23, $C$12, 100%, $E$12)</f>
        <v>7.5101000000000004</v>
      </c>
      <c r="M419" s="66">
        <f>7.517 * CHOOSE(CONTROL!$C$23, $C$12, 100%, $E$12)</f>
        <v>7.5170000000000003</v>
      </c>
      <c r="N419" s="66">
        <f>7.5101 * CHOOSE(CONTROL!$C$23, $C$12, 100%, $E$12)</f>
        <v>7.5101000000000004</v>
      </c>
      <c r="O419" s="66">
        <f>7.517 * CHOOSE(CONTROL!$C$23, $C$12, 100%, $E$12)</f>
        <v>7.5170000000000003</v>
      </c>
    </row>
    <row r="420" spans="1:15" ht="15">
      <c r="A420" s="13">
        <v>53936</v>
      </c>
      <c r="B420" s="65">
        <f>6.2767 * CHOOSE(CONTROL!$C$23, $C$12, 100%, $E$12)</f>
        <v>6.2766999999999999</v>
      </c>
      <c r="C420" s="65">
        <f>6.2767 * CHOOSE(CONTROL!$C$23, $C$12, 100%, $E$12)</f>
        <v>6.2766999999999999</v>
      </c>
      <c r="D420" s="65">
        <f>6.2823 * CHOOSE(CONTROL!$C$23, $C$12, 100%, $E$12)</f>
        <v>6.2823000000000002</v>
      </c>
      <c r="E420" s="66">
        <f>7.4953 * CHOOSE(CONTROL!$C$23, $C$12, 100%, $E$12)</f>
        <v>7.4953000000000003</v>
      </c>
      <c r="F420" s="66">
        <f>7.4953 * CHOOSE(CONTROL!$C$23, $C$12, 100%, $E$12)</f>
        <v>7.4953000000000003</v>
      </c>
      <c r="G420" s="66">
        <f>7.5022 * CHOOSE(CONTROL!$C$23, $C$12, 100%, $E$12)</f>
        <v>7.5022000000000002</v>
      </c>
      <c r="H420" s="66">
        <f>13.6774* CHOOSE(CONTROL!$C$23, $C$12, 100%, $E$12)</f>
        <v>13.6774</v>
      </c>
      <c r="I420" s="66">
        <f>13.6843 * CHOOSE(CONTROL!$C$23, $C$12, 100%, $E$12)</f>
        <v>13.6843</v>
      </c>
      <c r="J420" s="66">
        <f>13.6774 * CHOOSE(CONTROL!$C$23, $C$12, 100%, $E$12)</f>
        <v>13.6774</v>
      </c>
      <c r="K420" s="66">
        <f>13.6843 * CHOOSE(CONTROL!$C$23, $C$12, 100%, $E$12)</f>
        <v>13.6843</v>
      </c>
      <c r="L420" s="66">
        <f>7.4953 * CHOOSE(CONTROL!$C$23, $C$12, 100%, $E$12)</f>
        <v>7.4953000000000003</v>
      </c>
      <c r="M420" s="66">
        <f>7.5022 * CHOOSE(CONTROL!$C$23, $C$12, 100%, $E$12)</f>
        <v>7.5022000000000002</v>
      </c>
      <c r="N420" s="66">
        <f>7.4953 * CHOOSE(CONTROL!$C$23, $C$12, 100%, $E$12)</f>
        <v>7.4953000000000003</v>
      </c>
      <c r="O420" s="66">
        <f>7.5022 * CHOOSE(CONTROL!$C$23, $C$12, 100%, $E$12)</f>
        <v>7.5022000000000002</v>
      </c>
    </row>
    <row r="421" spans="1:15" ht="15">
      <c r="A421" s="13">
        <v>53966</v>
      </c>
      <c r="B421" s="65">
        <f>6.2793 * CHOOSE(CONTROL!$C$23, $C$12, 100%, $E$12)</f>
        <v>6.2793000000000001</v>
      </c>
      <c r="C421" s="65">
        <f>6.2793 * CHOOSE(CONTROL!$C$23, $C$12, 100%, $E$12)</f>
        <v>6.2793000000000001</v>
      </c>
      <c r="D421" s="65">
        <f>6.2833 * CHOOSE(CONTROL!$C$23, $C$12, 100%, $E$12)</f>
        <v>6.2832999999999997</v>
      </c>
      <c r="E421" s="66">
        <f>7.5325 * CHOOSE(CONTROL!$C$23, $C$12, 100%, $E$12)</f>
        <v>7.5324999999999998</v>
      </c>
      <c r="F421" s="66">
        <f>7.5325 * CHOOSE(CONTROL!$C$23, $C$12, 100%, $E$12)</f>
        <v>7.5324999999999998</v>
      </c>
      <c r="G421" s="66">
        <f>7.5374 * CHOOSE(CONTROL!$C$23, $C$12, 100%, $E$12)</f>
        <v>7.5373999999999999</v>
      </c>
      <c r="H421" s="66">
        <f>13.7059* CHOOSE(CONTROL!$C$23, $C$12, 100%, $E$12)</f>
        <v>13.7059</v>
      </c>
      <c r="I421" s="66">
        <f>13.7108 * CHOOSE(CONTROL!$C$23, $C$12, 100%, $E$12)</f>
        <v>13.710800000000001</v>
      </c>
      <c r="J421" s="66">
        <f>13.7059 * CHOOSE(CONTROL!$C$23, $C$12, 100%, $E$12)</f>
        <v>13.7059</v>
      </c>
      <c r="K421" s="66">
        <f>13.7108 * CHOOSE(CONTROL!$C$23, $C$12, 100%, $E$12)</f>
        <v>13.710800000000001</v>
      </c>
      <c r="L421" s="66">
        <f>7.5325 * CHOOSE(CONTROL!$C$23, $C$12, 100%, $E$12)</f>
        <v>7.5324999999999998</v>
      </c>
      <c r="M421" s="66">
        <f>7.5374 * CHOOSE(CONTROL!$C$23, $C$12, 100%, $E$12)</f>
        <v>7.5373999999999999</v>
      </c>
      <c r="N421" s="66">
        <f>7.5325 * CHOOSE(CONTROL!$C$23, $C$12, 100%, $E$12)</f>
        <v>7.5324999999999998</v>
      </c>
      <c r="O421" s="66">
        <f>7.5374 * CHOOSE(CONTROL!$C$23, $C$12, 100%, $E$12)</f>
        <v>7.5373999999999999</v>
      </c>
    </row>
    <row r="422" spans="1:15" ht="15">
      <c r="A422" s="13">
        <v>53997</v>
      </c>
      <c r="B422" s="65">
        <f>6.2823 * CHOOSE(CONTROL!$C$23, $C$12, 100%, $E$12)</f>
        <v>6.2823000000000002</v>
      </c>
      <c r="C422" s="65">
        <f>6.2823 * CHOOSE(CONTROL!$C$23, $C$12, 100%, $E$12)</f>
        <v>6.2823000000000002</v>
      </c>
      <c r="D422" s="65">
        <f>6.2863 * CHOOSE(CONTROL!$C$23, $C$12, 100%, $E$12)</f>
        <v>6.2862999999999998</v>
      </c>
      <c r="E422" s="66">
        <f>7.5599 * CHOOSE(CONTROL!$C$23, $C$12, 100%, $E$12)</f>
        <v>7.5598999999999998</v>
      </c>
      <c r="F422" s="66">
        <f>7.5599 * CHOOSE(CONTROL!$C$23, $C$12, 100%, $E$12)</f>
        <v>7.5598999999999998</v>
      </c>
      <c r="G422" s="66">
        <f>7.5648 * CHOOSE(CONTROL!$C$23, $C$12, 100%, $E$12)</f>
        <v>7.5648</v>
      </c>
      <c r="H422" s="66">
        <f>13.7344* CHOOSE(CONTROL!$C$23, $C$12, 100%, $E$12)</f>
        <v>13.734400000000001</v>
      </c>
      <c r="I422" s="66">
        <f>13.7394 * CHOOSE(CONTROL!$C$23, $C$12, 100%, $E$12)</f>
        <v>13.7394</v>
      </c>
      <c r="J422" s="66">
        <f>13.7344 * CHOOSE(CONTROL!$C$23, $C$12, 100%, $E$12)</f>
        <v>13.734400000000001</v>
      </c>
      <c r="K422" s="66">
        <f>13.7394 * CHOOSE(CONTROL!$C$23, $C$12, 100%, $E$12)</f>
        <v>13.7394</v>
      </c>
      <c r="L422" s="66">
        <f>7.5599 * CHOOSE(CONTROL!$C$23, $C$12, 100%, $E$12)</f>
        <v>7.5598999999999998</v>
      </c>
      <c r="M422" s="66">
        <f>7.5648 * CHOOSE(CONTROL!$C$23, $C$12, 100%, $E$12)</f>
        <v>7.5648</v>
      </c>
      <c r="N422" s="66">
        <f>7.5599 * CHOOSE(CONTROL!$C$23, $C$12, 100%, $E$12)</f>
        <v>7.5598999999999998</v>
      </c>
      <c r="O422" s="66">
        <f>7.5648 * CHOOSE(CONTROL!$C$23, $C$12, 100%, $E$12)</f>
        <v>7.5648</v>
      </c>
    </row>
    <row r="423" spans="1:15" ht="15">
      <c r="A423" s="13">
        <v>54027</v>
      </c>
      <c r="B423" s="65">
        <f>6.2823 * CHOOSE(CONTROL!$C$23, $C$12, 100%, $E$12)</f>
        <v>6.2823000000000002</v>
      </c>
      <c r="C423" s="65">
        <f>6.2823 * CHOOSE(CONTROL!$C$23, $C$12, 100%, $E$12)</f>
        <v>6.2823000000000002</v>
      </c>
      <c r="D423" s="65">
        <f>6.2863 * CHOOSE(CONTROL!$C$23, $C$12, 100%, $E$12)</f>
        <v>6.2862999999999998</v>
      </c>
      <c r="E423" s="66">
        <f>7.4967 * CHOOSE(CONTROL!$C$23, $C$12, 100%, $E$12)</f>
        <v>7.4966999999999997</v>
      </c>
      <c r="F423" s="66">
        <f>7.4967 * CHOOSE(CONTROL!$C$23, $C$12, 100%, $E$12)</f>
        <v>7.4966999999999997</v>
      </c>
      <c r="G423" s="66">
        <f>7.5016 * CHOOSE(CONTROL!$C$23, $C$12, 100%, $E$12)</f>
        <v>7.5015999999999998</v>
      </c>
      <c r="H423" s="66">
        <f>13.763* CHOOSE(CONTROL!$C$23, $C$12, 100%, $E$12)</f>
        <v>13.763</v>
      </c>
      <c r="I423" s="66">
        <f>13.768 * CHOOSE(CONTROL!$C$23, $C$12, 100%, $E$12)</f>
        <v>13.768000000000001</v>
      </c>
      <c r="J423" s="66">
        <f>13.763 * CHOOSE(CONTROL!$C$23, $C$12, 100%, $E$12)</f>
        <v>13.763</v>
      </c>
      <c r="K423" s="66">
        <f>13.768 * CHOOSE(CONTROL!$C$23, $C$12, 100%, $E$12)</f>
        <v>13.768000000000001</v>
      </c>
      <c r="L423" s="66">
        <f>7.4967 * CHOOSE(CONTROL!$C$23, $C$12, 100%, $E$12)</f>
        <v>7.4966999999999997</v>
      </c>
      <c r="M423" s="66">
        <f>7.5016 * CHOOSE(CONTROL!$C$23, $C$12, 100%, $E$12)</f>
        <v>7.5015999999999998</v>
      </c>
      <c r="N423" s="66">
        <f>7.4967 * CHOOSE(CONTROL!$C$23, $C$12, 100%, $E$12)</f>
        <v>7.4966999999999997</v>
      </c>
      <c r="O423" s="66">
        <f>7.5016 * CHOOSE(CONTROL!$C$23, $C$12, 100%, $E$12)</f>
        <v>7.5015999999999998</v>
      </c>
    </row>
    <row r="424" spans="1:15" ht="15">
      <c r="A424" s="13">
        <v>54058</v>
      </c>
      <c r="B424" s="65">
        <f>6.3372 * CHOOSE(CONTROL!$C$23, $C$12, 100%, $E$12)</f>
        <v>6.3372000000000002</v>
      </c>
      <c r="C424" s="65">
        <f>6.3372 * CHOOSE(CONTROL!$C$23, $C$12, 100%, $E$12)</f>
        <v>6.3372000000000002</v>
      </c>
      <c r="D424" s="65">
        <f>6.3412 * CHOOSE(CONTROL!$C$23, $C$12, 100%, $E$12)</f>
        <v>6.3411999999999997</v>
      </c>
      <c r="E424" s="66">
        <f>7.6035 * CHOOSE(CONTROL!$C$23, $C$12, 100%, $E$12)</f>
        <v>7.6035000000000004</v>
      </c>
      <c r="F424" s="66">
        <f>7.6035 * CHOOSE(CONTROL!$C$23, $C$12, 100%, $E$12)</f>
        <v>7.6035000000000004</v>
      </c>
      <c r="G424" s="66">
        <f>7.6085 * CHOOSE(CONTROL!$C$23, $C$12, 100%, $E$12)</f>
        <v>7.6085000000000003</v>
      </c>
      <c r="H424" s="66">
        <f>13.7917* CHOOSE(CONTROL!$C$23, $C$12, 100%, $E$12)</f>
        <v>13.791700000000001</v>
      </c>
      <c r="I424" s="66">
        <f>13.7966 * CHOOSE(CONTROL!$C$23, $C$12, 100%, $E$12)</f>
        <v>13.7966</v>
      </c>
      <c r="J424" s="66">
        <f>13.7917 * CHOOSE(CONTROL!$C$23, $C$12, 100%, $E$12)</f>
        <v>13.791700000000001</v>
      </c>
      <c r="K424" s="66">
        <f>13.7966 * CHOOSE(CONTROL!$C$23, $C$12, 100%, $E$12)</f>
        <v>13.7966</v>
      </c>
      <c r="L424" s="66">
        <f>7.6035 * CHOOSE(CONTROL!$C$23, $C$12, 100%, $E$12)</f>
        <v>7.6035000000000004</v>
      </c>
      <c r="M424" s="66">
        <f>7.6085 * CHOOSE(CONTROL!$C$23, $C$12, 100%, $E$12)</f>
        <v>7.6085000000000003</v>
      </c>
      <c r="N424" s="66">
        <f>7.6035 * CHOOSE(CONTROL!$C$23, $C$12, 100%, $E$12)</f>
        <v>7.6035000000000004</v>
      </c>
      <c r="O424" s="66">
        <f>7.6085 * CHOOSE(CONTROL!$C$23, $C$12, 100%, $E$12)</f>
        <v>7.6085000000000003</v>
      </c>
    </row>
    <row r="425" spans="1:15" ht="15">
      <c r="A425" s="13">
        <v>54089</v>
      </c>
      <c r="B425" s="65">
        <f>6.3341 * CHOOSE(CONTROL!$C$23, $C$12, 100%, $E$12)</f>
        <v>6.3341000000000003</v>
      </c>
      <c r="C425" s="65">
        <f>6.3341 * CHOOSE(CONTROL!$C$23, $C$12, 100%, $E$12)</f>
        <v>6.3341000000000003</v>
      </c>
      <c r="D425" s="65">
        <f>6.3381 * CHOOSE(CONTROL!$C$23, $C$12, 100%, $E$12)</f>
        <v>6.3380999999999998</v>
      </c>
      <c r="E425" s="66">
        <f>7.4786 * CHOOSE(CONTROL!$C$23, $C$12, 100%, $E$12)</f>
        <v>7.4786000000000001</v>
      </c>
      <c r="F425" s="66">
        <f>7.4786 * CHOOSE(CONTROL!$C$23, $C$12, 100%, $E$12)</f>
        <v>7.4786000000000001</v>
      </c>
      <c r="G425" s="66">
        <f>7.4836 * CHOOSE(CONTROL!$C$23, $C$12, 100%, $E$12)</f>
        <v>7.4836</v>
      </c>
      <c r="H425" s="66">
        <f>13.8204* CHOOSE(CONTROL!$C$23, $C$12, 100%, $E$12)</f>
        <v>13.820399999999999</v>
      </c>
      <c r="I425" s="66">
        <f>13.8254 * CHOOSE(CONTROL!$C$23, $C$12, 100%, $E$12)</f>
        <v>13.8254</v>
      </c>
      <c r="J425" s="66">
        <f>13.8204 * CHOOSE(CONTROL!$C$23, $C$12, 100%, $E$12)</f>
        <v>13.820399999999999</v>
      </c>
      <c r="K425" s="66">
        <f>13.8254 * CHOOSE(CONTROL!$C$23, $C$12, 100%, $E$12)</f>
        <v>13.8254</v>
      </c>
      <c r="L425" s="66">
        <f>7.4786 * CHOOSE(CONTROL!$C$23, $C$12, 100%, $E$12)</f>
        <v>7.4786000000000001</v>
      </c>
      <c r="M425" s="66">
        <f>7.4836 * CHOOSE(CONTROL!$C$23, $C$12, 100%, $E$12)</f>
        <v>7.4836</v>
      </c>
      <c r="N425" s="66">
        <f>7.4786 * CHOOSE(CONTROL!$C$23, $C$12, 100%, $E$12)</f>
        <v>7.4786000000000001</v>
      </c>
      <c r="O425" s="66">
        <f>7.4836 * CHOOSE(CONTROL!$C$23, $C$12, 100%, $E$12)</f>
        <v>7.4836</v>
      </c>
    </row>
    <row r="426" spans="1:15" ht="15">
      <c r="A426" s="13">
        <v>54118</v>
      </c>
      <c r="B426" s="65">
        <f>6.3311 * CHOOSE(CONTROL!$C$23, $C$12, 100%, $E$12)</f>
        <v>6.3311000000000002</v>
      </c>
      <c r="C426" s="65">
        <f>6.3311 * CHOOSE(CONTROL!$C$23, $C$12, 100%, $E$12)</f>
        <v>6.3311000000000002</v>
      </c>
      <c r="D426" s="65">
        <f>6.3351 * CHOOSE(CONTROL!$C$23, $C$12, 100%, $E$12)</f>
        <v>6.3350999999999997</v>
      </c>
      <c r="E426" s="66">
        <f>7.5733 * CHOOSE(CONTROL!$C$23, $C$12, 100%, $E$12)</f>
        <v>7.5732999999999997</v>
      </c>
      <c r="F426" s="66">
        <f>7.5733 * CHOOSE(CONTROL!$C$23, $C$12, 100%, $E$12)</f>
        <v>7.5732999999999997</v>
      </c>
      <c r="G426" s="66">
        <f>7.5782 * CHOOSE(CONTROL!$C$23, $C$12, 100%, $E$12)</f>
        <v>7.5781999999999998</v>
      </c>
      <c r="H426" s="66">
        <f>13.8492* CHOOSE(CONTROL!$C$23, $C$12, 100%, $E$12)</f>
        <v>13.8492</v>
      </c>
      <c r="I426" s="66">
        <f>13.8542 * CHOOSE(CONTROL!$C$23, $C$12, 100%, $E$12)</f>
        <v>13.854200000000001</v>
      </c>
      <c r="J426" s="66">
        <f>13.8492 * CHOOSE(CONTROL!$C$23, $C$12, 100%, $E$12)</f>
        <v>13.8492</v>
      </c>
      <c r="K426" s="66">
        <f>13.8542 * CHOOSE(CONTROL!$C$23, $C$12, 100%, $E$12)</f>
        <v>13.854200000000001</v>
      </c>
      <c r="L426" s="66">
        <f>7.5733 * CHOOSE(CONTROL!$C$23, $C$12, 100%, $E$12)</f>
        <v>7.5732999999999997</v>
      </c>
      <c r="M426" s="66">
        <f>7.5782 * CHOOSE(CONTROL!$C$23, $C$12, 100%, $E$12)</f>
        <v>7.5781999999999998</v>
      </c>
      <c r="N426" s="66">
        <f>7.5733 * CHOOSE(CONTROL!$C$23, $C$12, 100%, $E$12)</f>
        <v>7.5732999999999997</v>
      </c>
      <c r="O426" s="66">
        <f>7.5782 * CHOOSE(CONTROL!$C$23, $C$12, 100%, $E$12)</f>
        <v>7.5781999999999998</v>
      </c>
    </row>
    <row r="427" spans="1:15" ht="15">
      <c r="A427" s="13">
        <v>54149</v>
      </c>
      <c r="B427" s="65">
        <f>6.3307 * CHOOSE(CONTROL!$C$23, $C$12, 100%, $E$12)</f>
        <v>6.3307000000000002</v>
      </c>
      <c r="C427" s="65">
        <f>6.3307 * CHOOSE(CONTROL!$C$23, $C$12, 100%, $E$12)</f>
        <v>6.3307000000000002</v>
      </c>
      <c r="D427" s="65">
        <f>6.3347 * CHOOSE(CONTROL!$C$23, $C$12, 100%, $E$12)</f>
        <v>6.3346999999999998</v>
      </c>
      <c r="E427" s="66">
        <f>7.673 * CHOOSE(CONTROL!$C$23, $C$12, 100%, $E$12)</f>
        <v>7.673</v>
      </c>
      <c r="F427" s="66">
        <f>7.673 * CHOOSE(CONTROL!$C$23, $C$12, 100%, $E$12)</f>
        <v>7.673</v>
      </c>
      <c r="G427" s="66">
        <f>7.678 * CHOOSE(CONTROL!$C$23, $C$12, 100%, $E$12)</f>
        <v>7.6779999999999999</v>
      </c>
      <c r="H427" s="66">
        <f>13.8781* CHOOSE(CONTROL!$C$23, $C$12, 100%, $E$12)</f>
        <v>13.8781</v>
      </c>
      <c r="I427" s="66">
        <f>13.883 * CHOOSE(CONTROL!$C$23, $C$12, 100%, $E$12)</f>
        <v>13.882999999999999</v>
      </c>
      <c r="J427" s="66">
        <f>13.8781 * CHOOSE(CONTROL!$C$23, $C$12, 100%, $E$12)</f>
        <v>13.8781</v>
      </c>
      <c r="K427" s="66">
        <f>13.883 * CHOOSE(CONTROL!$C$23, $C$12, 100%, $E$12)</f>
        <v>13.882999999999999</v>
      </c>
      <c r="L427" s="66">
        <f>7.673 * CHOOSE(CONTROL!$C$23, $C$12, 100%, $E$12)</f>
        <v>7.673</v>
      </c>
      <c r="M427" s="66">
        <f>7.678 * CHOOSE(CONTROL!$C$23, $C$12, 100%, $E$12)</f>
        <v>7.6779999999999999</v>
      </c>
      <c r="N427" s="66">
        <f>7.673 * CHOOSE(CONTROL!$C$23, $C$12, 100%, $E$12)</f>
        <v>7.673</v>
      </c>
      <c r="O427" s="66">
        <f>7.678 * CHOOSE(CONTROL!$C$23, $C$12, 100%, $E$12)</f>
        <v>7.6779999999999999</v>
      </c>
    </row>
    <row r="428" spans="1:15" ht="15">
      <c r="A428" s="13">
        <v>54179</v>
      </c>
      <c r="B428" s="65">
        <f>6.3307 * CHOOSE(CONTROL!$C$23, $C$12, 100%, $E$12)</f>
        <v>6.3307000000000002</v>
      </c>
      <c r="C428" s="65">
        <f>6.3307 * CHOOSE(CONTROL!$C$23, $C$12, 100%, $E$12)</f>
        <v>6.3307000000000002</v>
      </c>
      <c r="D428" s="65">
        <f>6.3364 * CHOOSE(CONTROL!$C$23, $C$12, 100%, $E$12)</f>
        <v>6.3364000000000003</v>
      </c>
      <c r="E428" s="66">
        <f>7.712 * CHOOSE(CONTROL!$C$23, $C$12, 100%, $E$12)</f>
        <v>7.7119999999999997</v>
      </c>
      <c r="F428" s="66">
        <f>7.712 * CHOOSE(CONTROL!$C$23, $C$12, 100%, $E$12)</f>
        <v>7.7119999999999997</v>
      </c>
      <c r="G428" s="66">
        <f>7.7189 * CHOOSE(CONTROL!$C$23, $C$12, 100%, $E$12)</f>
        <v>7.7188999999999997</v>
      </c>
      <c r="H428" s="66">
        <f>13.907* CHOOSE(CONTROL!$C$23, $C$12, 100%, $E$12)</f>
        <v>13.907</v>
      </c>
      <c r="I428" s="66">
        <f>13.9139 * CHOOSE(CONTROL!$C$23, $C$12, 100%, $E$12)</f>
        <v>13.9139</v>
      </c>
      <c r="J428" s="66">
        <f>13.907 * CHOOSE(CONTROL!$C$23, $C$12, 100%, $E$12)</f>
        <v>13.907</v>
      </c>
      <c r="K428" s="66">
        <f>13.9139 * CHOOSE(CONTROL!$C$23, $C$12, 100%, $E$12)</f>
        <v>13.9139</v>
      </c>
      <c r="L428" s="66">
        <f>7.712 * CHOOSE(CONTROL!$C$23, $C$12, 100%, $E$12)</f>
        <v>7.7119999999999997</v>
      </c>
      <c r="M428" s="66">
        <f>7.7189 * CHOOSE(CONTROL!$C$23, $C$12, 100%, $E$12)</f>
        <v>7.7188999999999997</v>
      </c>
      <c r="N428" s="66">
        <f>7.712 * CHOOSE(CONTROL!$C$23, $C$12, 100%, $E$12)</f>
        <v>7.7119999999999997</v>
      </c>
      <c r="O428" s="66">
        <f>7.7189 * CHOOSE(CONTROL!$C$23, $C$12, 100%, $E$12)</f>
        <v>7.7188999999999997</v>
      </c>
    </row>
    <row r="429" spans="1:15" ht="15">
      <c r="A429" s="13">
        <v>54210</v>
      </c>
      <c r="B429" s="65">
        <f>6.3368 * CHOOSE(CONTROL!$C$23, $C$12, 100%, $E$12)</f>
        <v>6.3368000000000002</v>
      </c>
      <c r="C429" s="65">
        <f>6.3368 * CHOOSE(CONTROL!$C$23, $C$12, 100%, $E$12)</f>
        <v>6.3368000000000002</v>
      </c>
      <c r="D429" s="65">
        <f>6.3425 * CHOOSE(CONTROL!$C$23, $C$12, 100%, $E$12)</f>
        <v>6.3425000000000002</v>
      </c>
      <c r="E429" s="66">
        <f>7.6773 * CHOOSE(CONTROL!$C$23, $C$12, 100%, $E$12)</f>
        <v>7.6772999999999998</v>
      </c>
      <c r="F429" s="66">
        <f>7.6773 * CHOOSE(CONTROL!$C$23, $C$12, 100%, $E$12)</f>
        <v>7.6772999999999998</v>
      </c>
      <c r="G429" s="66">
        <f>7.6842 * CHOOSE(CONTROL!$C$23, $C$12, 100%, $E$12)</f>
        <v>7.6841999999999997</v>
      </c>
      <c r="H429" s="66">
        <f>13.936* CHOOSE(CONTROL!$C$23, $C$12, 100%, $E$12)</f>
        <v>13.936</v>
      </c>
      <c r="I429" s="66">
        <f>13.9429 * CHOOSE(CONTROL!$C$23, $C$12, 100%, $E$12)</f>
        <v>13.9429</v>
      </c>
      <c r="J429" s="66">
        <f>13.936 * CHOOSE(CONTROL!$C$23, $C$12, 100%, $E$12)</f>
        <v>13.936</v>
      </c>
      <c r="K429" s="66">
        <f>13.9429 * CHOOSE(CONTROL!$C$23, $C$12, 100%, $E$12)</f>
        <v>13.9429</v>
      </c>
      <c r="L429" s="66">
        <f>7.6773 * CHOOSE(CONTROL!$C$23, $C$12, 100%, $E$12)</f>
        <v>7.6772999999999998</v>
      </c>
      <c r="M429" s="66">
        <f>7.6842 * CHOOSE(CONTROL!$C$23, $C$12, 100%, $E$12)</f>
        <v>7.6841999999999997</v>
      </c>
      <c r="N429" s="66">
        <f>7.6773 * CHOOSE(CONTROL!$C$23, $C$12, 100%, $E$12)</f>
        <v>7.6772999999999998</v>
      </c>
      <c r="O429" s="66">
        <f>7.6842 * CHOOSE(CONTROL!$C$23, $C$12, 100%, $E$12)</f>
        <v>7.6841999999999997</v>
      </c>
    </row>
    <row r="430" spans="1:15" ht="15">
      <c r="A430" s="13">
        <v>54240</v>
      </c>
      <c r="B430" s="65">
        <f>6.4385 * CHOOSE(CONTROL!$C$23, $C$12, 100%, $E$12)</f>
        <v>6.4385000000000003</v>
      </c>
      <c r="C430" s="65">
        <f>6.4385 * CHOOSE(CONTROL!$C$23, $C$12, 100%, $E$12)</f>
        <v>6.4385000000000003</v>
      </c>
      <c r="D430" s="65">
        <f>6.4441 * CHOOSE(CONTROL!$C$23, $C$12, 100%, $E$12)</f>
        <v>6.4440999999999997</v>
      </c>
      <c r="E430" s="66">
        <f>7.8054 * CHOOSE(CONTROL!$C$23, $C$12, 100%, $E$12)</f>
        <v>7.8053999999999997</v>
      </c>
      <c r="F430" s="66">
        <f>7.8054 * CHOOSE(CONTROL!$C$23, $C$12, 100%, $E$12)</f>
        <v>7.8053999999999997</v>
      </c>
      <c r="G430" s="66">
        <f>7.8123 * CHOOSE(CONTROL!$C$23, $C$12, 100%, $E$12)</f>
        <v>7.8122999999999996</v>
      </c>
      <c r="H430" s="66">
        <f>13.965* CHOOSE(CONTROL!$C$23, $C$12, 100%, $E$12)</f>
        <v>13.965</v>
      </c>
      <c r="I430" s="66">
        <f>13.9719 * CHOOSE(CONTROL!$C$23, $C$12, 100%, $E$12)</f>
        <v>13.9719</v>
      </c>
      <c r="J430" s="66">
        <f>13.965 * CHOOSE(CONTROL!$C$23, $C$12, 100%, $E$12)</f>
        <v>13.965</v>
      </c>
      <c r="K430" s="66">
        <f>13.9719 * CHOOSE(CONTROL!$C$23, $C$12, 100%, $E$12)</f>
        <v>13.9719</v>
      </c>
      <c r="L430" s="66">
        <f>7.8054 * CHOOSE(CONTROL!$C$23, $C$12, 100%, $E$12)</f>
        <v>7.8053999999999997</v>
      </c>
      <c r="M430" s="66">
        <f>7.8123 * CHOOSE(CONTROL!$C$23, $C$12, 100%, $E$12)</f>
        <v>7.8122999999999996</v>
      </c>
      <c r="N430" s="66">
        <f>7.8054 * CHOOSE(CONTROL!$C$23, $C$12, 100%, $E$12)</f>
        <v>7.8053999999999997</v>
      </c>
      <c r="O430" s="66">
        <f>7.8123 * CHOOSE(CONTROL!$C$23, $C$12, 100%, $E$12)</f>
        <v>7.8122999999999996</v>
      </c>
    </row>
    <row r="431" spans="1:15" ht="15">
      <c r="A431" s="13">
        <v>54271</v>
      </c>
      <c r="B431" s="65">
        <f>6.4451 * CHOOSE(CONTROL!$C$23, $C$12, 100%, $E$12)</f>
        <v>6.4451000000000001</v>
      </c>
      <c r="C431" s="65">
        <f>6.4451 * CHOOSE(CONTROL!$C$23, $C$12, 100%, $E$12)</f>
        <v>6.4451000000000001</v>
      </c>
      <c r="D431" s="65">
        <f>6.4508 * CHOOSE(CONTROL!$C$23, $C$12, 100%, $E$12)</f>
        <v>6.4508000000000001</v>
      </c>
      <c r="E431" s="66">
        <f>7.6932 * CHOOSE(CONTROL!$C$23, $C$12, 100%, $E$12)</f>
        <v>7.6932</v>
      </c>
      <c r="F431" s="66">
        <f>7.6932 * CHOOSE(CONTROL!$C$23, $C$12, 100%, $E$12)</f>
        <v>7.6932</v>
      </c>
      <c r="G431" s="66">
        <f>7.7001 * CHOOSE(CONTROL!$C$23, $C$12, 100%, $E$12)</f>
        <v>7.7000999999999999</v>
      </c>
      <c r="H431" s="66">
        <f>13.9941* CHOOSE(CONTROL!$C$23, $C$12, 100%, $E$12)</f>
        <v>13.9941</v>
      </c>
      <c r="I431" s="66">
        <f>14.001 * CHOOSE(CONTROL!$C$23, $C$12, 100%, $E$12)</f>
        <v>14.000999999999999</v>
      </c>
      <c r="J431" s="66">
        <f>13.9941 * CHOOSE(CONTROL!$C$23, $C$12, 100%, $E$12)</f>
        <v>13.9941</v>
      </c>
      <c r="K431" s="66">
        <f>14.001 * CHOOSE(CONTROL!$C$23, $C$12, 100%, $E$12)</f>
        <v>14.000999999999999</v>
      </c>
      <c r="L431" s="66">
        <f>7.6932 * CHOOSE(CONTROL!$C$23, $C$12, 100%, $E$12)</f>
        <v>7.6932</v>
      </c>
      <c r="M431" s="66">
        <f>7.7001 * CHOOSE(CONTROL!$C$23, $C$12, 100%, $E$12)</f>
        <v>7.7000999999999999</v>
      </c>
      <c r="N431" s="66">
        <f>7.6932 * CHOOSE(CONTROL!$C$23, $C$12, 100%, $E$12)</f>
        <v>7.6932</v>
      </c>
      <c r="O431" s="66">
        <f>7.7001 * CHOOSE(CONTROL!$C$23, $C$12, 100%, $E$12)</f>
        <v>7.7000999999999999</v>
      </c>
    </row>
    <row r="432" spans="1:15" ht="15">
      <c r="A432" s="13">
        <v>54302</v>
      </c>
      <c r="B432" s="65">
        <f>6.4421 * CHOOSE(CONTROL!$C$23, $C$12, 100%, $E$12)</f>
        <v>6.4420999999999999</v>
      </c>
      <c r="C432" s="65">
        <f>6.4421 * CHOOSE(CONTROL!$C$23, $C$12, 100%, $E$12)</f>
        <v>6.4420999999999999</v>
      </c>
      <c r="D432" s="65">
        <f>6.4477 * CHOOSE(CONTROL!$C$23, $C$12, 100%, $E$12)</f>
        <v>6.4477000000000002</v>
      </c>
      <c r="E432" s="66">
        <f>7.678 * CHOOSE(CONTROL!$C$23, $C$12, 100%, $E$12)</f>
        <v>7.6779999999999999</v>
      </c>
      <c r="F432" s="66">
        <f>7.678 * CHOOSE(CONTROL!$C$23, $C$12, 100%, $E$12)</f>
        <v>7.6779999999999999</v>
      </c>
      <c r="G432" s="66">
        <f>7.6849 * CHOOSE(CONTROL!$C$23, $C$12, 100%, $E$12)</f>
        <v>7.6848999999999998</v>
      </c>
      <c r="H432" s="66">
        <f>14.0233* CHOOSE(CONTROL!$C$23, $C$12, 100%, $E$12)</f>
        <v>14.023300000000001</v>
      </c>
      <c r="I432" s="66">
        <f>14.0302 * CHOOSE(CONTROL!$C$23, $C$12, 100%, $E$12)</f>
        <v>14.030200000000001</v>
      </c>
      <c r="J432" s="66">
        <f>14.0233 * CHOOSE(CONTROL!$C$23, $C$12, 100%, $E$12)</f>
        <v>14.023300000000001</v>
      </c>
      <c r="K432" s="66">
        <f>14.0302 * CHOOSE(CONTROL!$C$23, $C$12, 100%, $E$12)</f>
        <v>14.030200000000001</v>
      </c>
      <c r="L432" s="66">
        <f>7.678 * CHOOSE(CONTROL!$C$23, $C$12, 100%, $E$12)</f>
        <v>7.6779999999999999</v>
      </c>
      <c r="M432" s="66">
        <f>7.6849 * CHOOSE(CONTROL!$C$23, $C$12, 100%, $E$12)</f>
        <v>7.6848999999999998</v>
      </c>
      <c r="N432" s="66">
        <f>7.678 * CHOOSE(CONTROL!$C$23, $C$12, 100%, $E$12)</f>
        <v>7.6779999999999999</v>
      </c>
      <c r="O432" s="66">
        <f>7.6849 * CHOOSE(CONTROL!$C$23, $C$12, 100%, $E$12)</f>
        <v>7.6848999999999998</v>
      </c>
    </row>
    <row r="433" spans="1:15" ht="15">
      <c r="A433" s="13">
        <v>54332</v>
      </c>
      <c r="B433" s="65">
        <f>6.4452 * CHOOSE(CONTROL!$C$23, $C$12, 100%, $E$12)</f>
        <v>6.4451999999999998</v>
      </c>
      <c r="C433" s="65">
        <f>6.4452 * CHOOSE(CONTROL!$C$23, $C$12, 100%, $E$12)</f>
        <v>6.4451999999999998</v>
      </c>
      <c r="D433" s="65">
        <f>6.4492 * CHOOSE(CONTROL!$C$23, $C$12, 100%, $E$12)</f>
        <v>6.4492000000000003</v>
      </c>
      <c r="E433" s="66">
        <f>7.7166 * CHOOSE(CONTROL!$C$23, $C$12, 100%, $E$12)</f>
        <v>7.7165999999999997</v>
      </c>
      <c r="F433" s="66">
        <f>7.7166 * CHOOSE(CONTROL!$C$23, $C$12, 100%, $E$12)</f>
        <v>7.7165999999999997</v>
      </c>
      <c r="G433" s="66">
        <f>7.7215 * CHOOSE(CONTROL!$C$23, $C$12, 100%, $E$12)</f>
        <v>7.7214999999999998</v>
      </c>
      <c r="H433" s="66">
        <f>14.0525* CHOOSE(CONTROL!$C$23, $C$12, 100%, $E$12)</f>
        <v>14.0525</v>
      </c>
      <c r="I433" s="66">
        <f>14.0574 * CHOOSE(CONTROL!$C$23, $C$12, 100%, $E$12)</f>
        <v>14.057399999999999</v>
      </c>
      <c r="J433" s="66">
        <f>14.0525 * CHOOSE(CONTROL!$C$23, $C$12, 100%, $E$12)</f>
        <v>14.0525</v>
      </c>
      <c r="K433" s="66">
        <f>14.0574 * CHOOSE(CONTROL!$C$23, $C$12, 100%, $E$12)</f>
        <v>14.057399999999999</v>
      </c>
      <c r="L433" s="66">
        <f>7.7166 * CHOOSE(CONTROL!$C$23, $C$12, 100%, $E$12)</f>
        <v>7.7165999999999997</v>
      </c>
      <c r="M433" s="66">
        <f>7.7215 * CHOOSE(CONTROL!$C$23, $C$12, 100%, $E$12)</f>
        <v>7.7214999999999998</v>
      </c>
      <c r="N433" s="66">
        <f>7.7166 * CHOOSE(CONTROL!$C$23, $C$12, 100%, $E$12)</f>
        <v>7.7165999999999997</v>
      </c>
      <c r="O433" s="66">
        <f>7.7215 * CHOOSE(CONTROL!$C$23, $C$12, 100%, $E$12)</f>
        <v>7.7214999999999998</v>
      </c>
    </row>
    <row r="434" spans="1:15" ht="15">
      <c r="A434" s="13">
        <v>54363</v>
      </c>
      <c r="B434" s="65">
        <f>6.4483 * CHOOSE(CONTROL!$C$23, $C$12, 100%, $E$12)</f>
        <v>6.4482999999999997</v>
      </c>
      <c r="C434" s="65">
        <f>6.4483 * CHOOSE(CONTROL!$C$23, $C$12, 100%, $E$12)</f>
        <v>6.4482999999999997</v>
      </c>
      <c r="D434" s="65">
        <f>6.4523 * CHOOSE(CONTROL!$C$23, $C$12, 100%, $E$12)</f>
        <v>6.4523000000000001</v>
      </c>
      <c r="E434" s="66">
        <f>7.7447 * CHOOSE(CONTROL!$C$23, $C$12, 100%, $E$12)</f>
        <v>7.7446999999999999</v>
      </c>
      <c r="F434" s="66">
        <f>7.7447 * CHOOSE(CONTROL!$C$23, $C$12, 100%, $E$12)</f>
        <v>7.7446999999999999</v>
      </c>
      <c r="G434" s="66">
        <f>7.7496 * CHOOSE(CONTROL!$C$23, $C$12, 100%, $E$12)</f>
        <v>7.7496</v>
      </c>
      <c r="H434" s="66">
        <f>14.0818* CHOOSE(CONTROL!$C$23, $C$12, 100%, $E$12)</f>
        <v>14.081799999999999</v>
      </c>
      <c r="I434" s="66">
        <f>14.0867 * CHOOSE(CONTROL!$C$23, $C$12, 100%, $E$12)</f>
        <v>14.0867</v>
      </c>
      <c r="J434" s="66">
        <f>14.0818 * CHOOSE(CONTROL!$C$23, $C$12, 100%, $E$12)</f>
        <v>14.081799999999999</v>
      </c>
      <c r="K434" s="66">
        <f>14.0867 * CHOOSE(CONTROL!$C$23, $C$12, 100%, $E$12)</f>
        <v>14.0867</v>
      </c>
      <c r="L434" s="66">
        <f>7.7447 * CHOOSE(CONTROL!$C$23, $C$12, 100%, $E$12)</f>
        <v>7.7446999999999999</v>
      </c>
      <c r="M434" s="66">
        <f>7.7496 * CHOOSE(CONTROL!$C$23, $C$12, 100%, $E$12)</f>
        <v>7.7496</v>
      </c>
      <c r="N434" s="66">
        <f>7.7447 * CHOOSE(CONTROL!$C$23, $C$12, 100%, $E$12)</f>
        <v>7.7446999999999999</v>
      </c>
      <c r="O434" s="66">
        <f>7.7496 * CHOOSE(CONTROL!$C$23, $C$12, 100%, $E$12)</f>
        <v>7.7496</v>
      </c>
    </row>
    <row r="435" spans="1:15" ht="15">
      <c r="A435" s="13">
        <v>54393</v>
      </c>
      <c r="B435" s="65">
        <f>6.4483 * CHOOSE(CONTROL!$C$23, $C$12, 100%, $E$12)</f>
        <v>6.4482999999999997</v>
      </c>
      <c r="C435" s="65">
        <f>6.4483 * CHOOSE(CONTROL!$C$23, $C$12, 100%, $E$12)</f>
        <v>6.4482999999999997</v>
      </c>
      <c r="D435" s="65">
        <f>6.4523 * CHOOSE(CONTROL!$C$23, $C$12, 100%, $E$12)</f>
        <v>6.4523000000000001</v>
      </c>
      <c r="E435" s="66">
        <f>7.6797 * CHOOSE(CONTROL!$C$23, $C$12, 100%, $E$12)</f>
        <v>7.6797000000000004</v>
      </c>
      <c r="F435" s="66">
        <f>7.6797 * CHOOSE(CONTROL!$C$23, $C$12, 100%, $E$12)</f>
        <v>7.6797000000000004</v>
      </c>
      <c r="G435" s="66">
        <f>7.6847 * CHOOSE(CONTROL!$C$23, $C$12, 100%, $E$12)</f>
        <v>7.6847000000000003</v>
      </c>
      <c r="H435" s="66">
        <f>14.1111* CHOOSE(CONTROL!$C$23, $C$12, 100%, $E$12)</f>
        <v>14.1111</v>
      </c>
      <c r="I435" s="66">
        <f>14.116 * CHOOSE(CONTROL!$C$23, $C$12, 100%, $E$12)</f>
        <v>14.116</v>
      </c>
      <c r="J435" s="66">
        <f>14.1111 * CHOOSE(CONTROL!$C$23, $C$12, 100%, $E$12)</f>
        <v>14.1111</v>
      </c>
      <c r="K435" s="66">
        <f>14.116 * CHOOSE(CONTROL!$C$23, $C$12, 100%, $E$12)</f>
        <v>14.116</v>
      </c>
      <c r="L435" s="66">
        <f>7.6797 * CHOOSE(CONTROL!$C$23, $C$12, 100%, $E$12)</f>
        <v>7.6797000000000004</v>
      </c>
      <c r="M435" s="66">
        <f>7.6847 * CHOOSE(CONTROL!$C$23, $C$12, 100%, $E$12)</f>
        <v>7.6847000000000003</v>
      </c>
      <c r="N435" s="66">
        <f>7.6797 * CHOOSE(CONTROL!$C$23, $C$12, 100%, $E$12)</f>
        <v>7.6797000000000004</v>
      </c>
      <c r="O435" s="66">
        <f>7.6847 * CHOOSE(CONTROL!$C$23, $C$12, 100%, $E$12)</f>
        <v>7.6847000000000003</v>
      </c>
    </row>
    <row r="436" spans="1:15" ht="15">
      <c r="A436" s="13">
        <v>54424</v>
      </c>
      <c r="B436" s="65">
        <f>6.5044 * CHOOSE(CONTROL!$C$23, $C$12, 100%, $E$12)</f>
        <v>6.5044000000000004</v>
      </c>
      <c r="C436" s="65">
        <f>6.5044 * CHOOSE(CONTROL!$C$23, $C$12, 100%, $E$12)</f>
        <v>6.5044000000000004</v>
      </c>
      <c r="D436" s="65">
        <f>6.5084 * CHOOSE(CONTROL!$C$23, $C$12, 100%, $E$12)</f>
        <v>6.5084</v>
      </c>
      <c r="E436" s="66">
        <f>7.7893 * CHOOSE(CONTROL!$C$23, $C$12, 100%, $E$12)</f>
        <v>7.7892999999999999</v>
      </c>
      <c r="F436" s="66">
        <f>7.7893 * CHOOSE(CONTROL!$C$23, $C$12, 100%, $E$12)</f>
        <v>7.7892999999999999</v>
      </c>
      <c r="G436" s="66">
        <f>7.7943 * CHOOSE(CONTROL!$C$23, $C$12, 100%, $E$12)</f>
        <v>7.7942999999999998</v>
      </c>
      <c r="H436" s="66">
        <f>14.1405* CHOOSE(CONTROL!$C$23, $C$12, 100%, $E$12)</f>
        <v>14.140499999999999</v>
      </c>
      <c r="I436" s="66">
        <f>14.1454 * CHOOSE(CONTROL!$C$23, $C$12, 100%, $E$12)</f>
        <v>14.1454</v>
      </c>
      <c r="J436" s="66">
        <f>14.1405 * CHOOSE(CONTROL!$C$23, $C$12, 100%, $E$12)</f>
        <v>14.140499999999999</v>
      </c>
      <c r="K436" s="66">
        <f>14.1454 * CHOOSE(CONTROL!$C$23, $C$12, 100%, $E$12)</f>
        <v>14.1454</v>
      </c>
      <c r="L436" s="66">
        <f>7.7893 * CHOOSE(CONTROL!$C$23, $C$12, 100%, $E$12)</f>
        <v>7.7892999999999999</v>
      </c>
      <c r="M436" s="66">
        <f>7.7943 * CHOOSE(CONTROL!$C$23, $C$12, 100%, $E$12)</f>
        <v>7.7942999999999998</v>
      </c>
      <c r="N436" s="66">
        <f>7.7893 * CHOOSE(CONTROL!$C$23, $C$12, 100%, $E$12)</f>
        <v>7.7892999999999999</v>
      </c>
      <c r="O436" s="66">
        <f>7.7943 * CHOOSE(CONTROL!$C$23, $C$12, 100%, $E$12)</f>
        <v>7.7942999999999998</v>
      </c>
    </row>
    <row r="437" spans="1:15" ht="15">
      <c r="A437" s="13">
        <v>54455</v>
      </c>
      <c r="B437" s="65">
        <f>6.5014 * CHOOSE(CONTROL!$C$23, $C$12, 100%, $E$12)</f>
        <v>6.5014000000000003</v>
      </c>
      <c r="C437" s="65">
        <f>6.5014 * CHOOSE(CONTROL!$C$23, $C$12, 100%, $E$12)</f>
        <v>6.5014000000000003</v>
      </c>
      <c r="D437" s="65">
        <f>6.5054 * CHOOSE(CONTROL!$C$23, $C$12, 100%, $E$12)</f>
        <v>6.5053999999999998</v>
      </c>
      <c r="E437" s="66">
        <f>7.661 * CHOOSE(CONTROL!$C$23, $C$12, 100%, $E$12)</f>
        <v>7.6609999999999996</v>
      </c>
      <c r="F437" s="66">
        <f>7.661 * CHOOSE(CONTROL!$C$23, $C$12, 100%, $E$12)</f>
        <v>7.6609999999999996</v>
      </c>
      <c r="G437" s="66">
        <f>7.6659 * CHOOSE(CONTROL!$C$23, $C$12, 100%, $E$12)</f>
        <v>7.6658999999999997</v>
      </c>
      <c r="H437" s="66">
        <f>14.1699* CHOOSE(CONTROL!$C$23, $C$12, 100%, $E$12)</f>
        <v>14.1699</v>
      </c>
      <c r="I437" s="66">
        <f>14.1749 * CHOOSE(CONTROL!$C$23, $C$12, 100%, $E$12)</f>
        <v>14.174899999999999</v>
      </c>
      <c r="J437" s="66">
        <f>14.1699 * CHOOSE(CONTROL!$C$23, $C$12, 100%, $E$12)</f>
        <v>14.1699</v>
      </c>
      <c r="K437" s="66">
        <f>14.1749 * CHOOSE(CONTROL!$C$23, $C$12, 100%, $E$12)</f>
        <v>14.174899999999999</v>
      </c>
      <c r="L437" s="66">
        <f>7.661 * CHOOSE(CONTROL!$C$23, $C$12, 100%, $E$12)</f>
        <v>7.6609999999999996</v>
      </c>
      <c r="M437" s="66">
        <f>7.6659 * CHOOSE(CONTROL!$C$23, $C$12, 100%, $E$12)</f>
        <v>7.6658999999999997</v>
      </c>
      <c r="N437" s="66">
        <f>7.661 * CHOOSE(CONTROL!$C$23, $C$12, 100%, $E$12)</f>
        <v>7.6609999999999996</v>
      </c>
      <c r="O437" s="66">
        <f>7.6659 * CHOOSE(CONTROL!$C$23, $C$12, 100%, $E$12)</f>
        <v>7.6658999999999997</v>
      </c>
    </row>
    <row r="438" spans="1:15" ht="15">
      <c r="A438" s="13">
        <v>54483</v>
      </c>
      <c r="B438" s="65">
        <f>6.4984 * CHOOSE(CONTROL!$C$23, $C$12, 100%, $E$12)</f>
        <v>6.4984000000000002</v>
      </c>
      <c r="C438" s="65">
        <f>6.4984 * CHOOSE(CONTROL!$C$23, $C$12, 100%, $E$12)</f>
        <v>6.4984000000000002</v>
      </c>
      <c r="D438" s="65">
        <f>6.5024 * CHOOSE(CONTROL!$C$23, $C$12, 100%, $E$12)</f>
        <v>6.5023999999999997</v>
      </c>
      <c r="E438" s="66">
        <f>7.7584 * CHOOSE(CONTROL!$C$23, $C$12, 100%, $E$12)</f>
        <v>7.7584</v>
      </c>
      <c r="F438" s="66">
        <f>7.7584 * CHOOSE(CONTROL!$C$23, $C$12, 100%, $E$12)</f>
        <v>7.7584</v>
      </c>
      <c r="G438" s="66">
        <f>7.7633 * CHOOSE(CONTROL!$C$23, $C$12, 100%, $E$12)</f>
        <v>7.7633000000000001</v>
      </c>
      <c r="H438" s="66">
        <f>14.1995* CHOOSE(CONTROL!$C$23, $C$12, 100%, $E$12)</f>
        <v>14.1995</v>
      </c>
      <c r="I438" s="66">
        <f>14.2044 * CHOOSE(CONTROL!$C$23, $C$12, 100%, $E$12)</f>
        <v>14.2044</v>
      </c>
      <c r="J438" s="66">
        <f>14.1995 * CHOOSE(CONTROL!$C$23, $C$12, 100%, $E$12)</f>
        <v>14.1995</v>
      </c>
      <c r="K438" s="66">
        <f>14.2044 * CHOOSE(CONTROL!$C$23, $C$12, 100%, $E$12)</f>
        <v>14.2044</v>
      </c>
      <c r="L438" s="66">
        <f>7.7584 * CHOOSE(CONTROL!$C$23, $C$12, 100%, $E$12)</f>
        <v>7.7584</v>
      </c>
      <c r="M438" s="66">
        <f>7.7633 * CHOOSE(CONTROL!$C$23, $C$12, 100%, $E$12)</f>
        <v>7.7633000000000001</v>
      </c>
      <c r="N438" s="66">
        <f>7.7584 * CHOOSE(CONTROL!$C$23, $C$12, 100%, $E$12)</f>
        <v>7.7584</v>
      </c>
      <c r="O438" s="66">
        <f>7.7633 * CHOOSE(CONTROL!$C$23, $C$12, 100%, $E$12)</f>
        <v>7.7633000000000001</v>
      </c>
    </row>
    <row r="439" spans="1:15" ht="15">
      <c r="A439" s="13">
        <v>54514</v>
      </c>
      <c r="B439" s="65">
        <f>6.4982 * CHOOSE(CONTROL!$C$23, $C$12, 100%, $E$12)</f>
        <v>6.4981999999999998</v>
      </c>
      <c r="C439" s="65">
        <f>6.4982 * CHOOSE(CONTROL!$C$23, $C$12, 100%, $E$12)</f>
        <v>6.4981999999999998</v>
      </c>
      <c r="D439" s="65">
        <f>6.5022 * CHOOSE(CONTROL!$C$23, $C$12, 100%, $E$12)</f>
        <v>6.5022000000000002</v>
      </c>
      <c r="E439" s="66">
        <f>7.861 * CHOOSE(CONTROL!$C$23, $C$12, 100%, $E$12)</f>
        <v>7.8609999999999998</v>
      </c>
      <c r="F439" s="66">
        <f>7.861 * CHOOSE(CONTROL!$C$23, $C$12, 100%, $E$12)</f>
        <v>7.8609999999999998</v>
      </c>
      <c r="G439" s="66">
        <f>7.866 * CHOOSE(CONTROL!$C$23, $C$12, 100%, $E$12)</f>
        <v>7.8659999999999997</v>
      </c>
      <c r="H439" s="66">
        <f>14.2291* CHOOSE(CONTROL!$C$23, $C$12, 100%, $E$12)</f>
        <v>14.229100000000001</v>
      </c>
      <c r="I439" s="66">
        <f>14.234 * CHOOSE(CONTROL!$C$23, $C$12, 100%, $E$12)</f>
        <v>14.234</v>
      </c>
      <c r="J439" s="66">
        <f>14.2291 * CHOOSE(CONTROL!$C$23, $C$12, 100%, $E$12)</f>
        <v>14.229100000000001</v>
      </c>
      <c r="K439" s="66">
        <f>14.234 * CHOOSE(CONTROL!$C$23, $C$12, 100%, $E$12)</f>
        <v>14.234</v>
      </c>
      <c r="L439" s="66">
        <f>7.861 * CHOOSE(CONTROL!$C$23, $C$12, 100%, $E$12)</f>
        <v>7.8609999999999998</v>
      </c>
      <c r="M439" s="66">
        <f>7.866 * CHOOSE(CONTROL!$C$23, $C$12, 100%, $E$12)</f>
        <v>7.8659999999999997</v>
      </c>
      <c r="N439" s="66">
        <f>7.861 * CHOOSE(CONTROL!$C$23, $C$12, 100%, $E$12)</f>
        <v>7.8609999999999998</v>
      </c>
      <c r="O439" s="66">
        <f>7.866 * CHOOSE(CONTROL!$C$23, $C$12, 100%, $E$12)</f>
        <v>7.8659999999999997</v>
      </c>
    </row>
    <row r="440" spans="1:15" ht="15">
      <c r="A440" s="13">
        <v>54544</v>
      </c>
      <c r="B440" s="65">
        <f>6.4982 * CHOOSE(CONTROL!$C$23, $C$12, 100%, $E$12)</f>
        <v>6.4981999999999998</v>
      </c>
      <c r="C440" s="65">
        <f>6.4982 * CHOOSE(CONTROL!$C$23, $C$12, 100%, $E$12)</f>
        <v>6.4981999999999998</v>
      </c>
      <c r="D440" s="65">
        <f>6.5038 * CHOOSE(CONTROL!$C$23, $C$12, 100%, $E$12)</f>
        <v>6.5038</v>
      </c>
      <c r="E440" s="66">
        <f>7.9011 * CHOOSE(CONTROL!$C$23, $C$12, 100%, $E$12)</f>
        <v>7.9010999999999996</v>
      </c>
      <c r="F440" s="66">
        <f>7.9011 * CHOOSE(CONTROL!$C$23, $C$12, 100%, $E$12)</f>
        <v>7.9010999999999996</v>
      </c>
      <c r="G440" s="66">
        <f>7.908 * CHOOSE(CONTROL!$C$23, $C$12, 100%, $E$12)</f>
        <v>7.9080000000000004</v>
      </c>
      <c r="H440" s="66">
        <f>14.2587* CHOOSE(CONTROL!$C$23, $C$12, 100%, $E$12)</f>
        <v>14.258699999999999</v>
      </c>
      <c r="I440" s="66">
        <f>14.2656 * CHOOSE(CONTROL!$C$23, $C$12, 100%, $E$12)</f>
        <v>14.265599999999999</v>
      </c>
      <c r="J440" s="66">
        <f>14.2587 * CHOOSE(CONTROL!$C$23, $C$12, 100%, $E$12)</f>
        <v>14.258699999999999</v>
      </c>
      <c r="K440" s="66">
        <f>14.2656 * CHOOSE(CONTROL!$C$23, $C$12, 100%, $E$12)</f>
        <v>14.265599999999999</v>
      </c>
      <c r="L440" s="66">
        <f>7.9011 * CHOOSE(CONTROL!$C$23, $C$12, 100%, $E$12)</f>
        <v>7.9010999999999996</v>
      </c>
      <c r="M440" s="66">
        <f>7.908 * CHOOSE(CONTROL!$C$23, $C$12, 100%, $E$12)</f>
        <v>7.9080000000000004</v>
      </c>
      <c r="N440" s="66">
        <f>7.9011 * CHOOSE(CONTROL!$C$23, $C$12, 100%, $E$12)</f>
        <v>7.9010999999999996</v>
      </c>
      <c r="O440" s="66">
        <f>7.908 * CHOOSE(CONTROL!$C$23, $C$12, 100%, $E$12)</f>
        <v>7.9080000000000004</v>
      </c>
    </row>
    <row r="441" spans="1:15" ht="15">
      <c r="A441" s="13">
        <v>54575</v>
      </c>
      <c r="B441" s="65">
        <f>6.5042 * CHOOSE(CONTROL!$C$23, $C$12, 100%, $E$12)</f>
        <v>6.5042</v>
      </c>
      <c r="C441" s="65">
        <f>6.5042 * CHOOSE(CONTROL!$C$23, $C$12, 100%, $E$12)</f>
        <v>6.5042</v>
      </c>
      <c r="D441" s="65">
        <f>6.5099 * CHOOSE(CONTROL!$C$23, $C$12, 100%, $E$12)</f>
        <v>6.5099</v>
      </c>
      <c r="E441" s="66">
        <f>7.8653 * CHOOSE(CONTROL!$C$23, $C$12, 100%, $E$12)</f>
        <v>7.8653000000000004</v>
      </c>
      <c r="F441" s="66">
        <f>7.8653 * CHOOSE(CONTROL!$C$23, $C$12, 100%, $E$12)</f>
        <v>7.8653000000000004</v>
      </c>
      <c r="G441" s="66">
        <f>7.8722 * CHOOSE(CONTROL!$C$23, $C$12, 100%, $E$12)</f>
        <v>7.8722000000000003</v>
      </c>
      <c r="H441" s="66">
        <f>14.2884* CHOOSE(CONTROL!$C$23, $C$12, 100%, $E$12)</f>
        <v>14.288399999999999</v>
      </c>
      <c r="I441" s="66">
        <f>14.2953 * CHOOSE(CONTROL!$C$23, $C$12, 100%, $E$12)</f>
        <v>14.295299999999999</v>
      </c>
      <c r="J441" s="66">
        <f>14.2884 * CHOOSE(CONTROL!$C$23, $C$12, 100%, $E$12)</f>
        <v>14.288399999999999</v>
      </c>
      <c r="K441" s="66">
        <f>14.2953 * CHOOSE(CONTROL!$C$23, $C$12, 100%, $E$12)</f>
        <v>14.295299999999999</v>
      </c>
      <c r="L441" s="66">
        <f>7.8653 * CHOOSE(CONTROL!$C$23, $C$12, 100%, $E$12)</f>
        <v>7.8653000000000004</v>
      </c>
      <c r="M441" s="66">
        <f>7.8722 * CHOOSE(CONTROL!$C$23, $C$12, 100%, $E$12)</f>
        <v>7.8722000000000003</v>
      </c>
      <c r="N441" s="66">
        <f>7.8653 * CHOOSE(CONTROL!$C$23, $C$12, 100%, $E$12)</f>
        <v>7.8653000000000004</v>
      </c>
      <c r="O441" s="66">
        <f>7.8722 * CHOOSE(CONTROL!$C$23, $C$12, 100%, $E$12)</f>
        <v>7.8722000000000003</v>
      </c>
    </row>
    <row r="442" spans="1:15" ht="15">
      <c r="A442" s="13">
        <v>54605</v>
      </c>
      <c r="B442" s="65">
        <f>6.6083 * CHOOSE(CONTROL!$C$23, $C$12, 100%, $E$12)</f>
        <v>6.6082999999999998</v>
      </c>
      <c r="C442" s="65">
        <f>6.6083 * CHOOSE(CONTROL!$C$23, $C$12, 100%, $E$12)</f>
        <v>6.6082999999999998</v>
      </c>
      <c r="D442" s="65">
        <f>6.6139 * CHOOSE(CONTROL!$C$23, $C$12, 100%, $E$12)</f>
        <v>6.6139000000000001</v>
      </c>
      <c r="E442" s="66">
        <f>7.9963 * CHOOSE(CONTROL!$C$23, $C$12, 100%, $E$12)</f>
        <v>7.9962999999999997</v>
      </c>
      <c r="F442" s="66">
        <f>7.9963 * CHOOSE(CONTROL!$C$23, $C$12, 100%, $E$12)</f>
        <v>7.9962999999999997</v>
      </c>
      <c r="G442" s="66">
        <f>8.0032 * CHOOSE(CONTROL!$C$23, $C$12, 100%, $E$12)</f>
        <v>8.0031999999999996</v>
      </c>
      <c r="H442" s="66">
        <f>14.3182* CHOOSE(CONTROL!$C$23, $C$12, 100%, $E$12)</f>
        <v>14.318199999999999</v>
      </c>
      <c r="I442" s="66">
        <f>14.3251 * CHOOSE(CONTROL!$C$23, $C$12, 100%, $E$12)</f>
        <v>14.325100000000001</v>
      </c>
      <c r="J442" s="66">
        <f>14.3182 * CHOOSE(CONTROL!$C$23, $C$12, 100%, $E$12)</f>
        <v>14.318199999999999</v>
      </c>
      <c r="K442" s="66">
        <f>14.3251 * CHOOSE(CONTROL!$C$23, $C$12, 100%, $E$12)</f>
        <v>14.325100000000001</v>
      </c>
      <c r="L442" s="66">
        <f>7.9963 * CHOOSE(CONTROL!$C$23, $C$12, 100%, $E$12)</f>
        <v>7.9962999999999997</v>
      </c>
      <c r="M442" s="66">
        <f>8.0032 * CHOOSE(CONTROL!$C$23, $C$12, 100%, $E$12)</f>
        <v>8.0031999999999996</v>
      </c>
      <c r="N442" s="66">
        <f>7.9963 * CHOOSE(CONTROL!$C$23, $C$12, 100%, $E$12)</f>
        <v>7.9962999999999997</v>
      </c>
      <c r="O442" s="66">
        <f>8.0032 * CHOOSE(CONTROL!$C$23, $C$12, 100%, $E$12)</f>
        <v>8.0031999999999996</v>
      </c>
    </row>
    <row r="443" spans="1:15" ht="15">
      <c r="A443" s="13">
        <v>54636</v>
      </c>
      <c r="B443" s="65">
        <f>6.615 * CHOOSE(CONTROL!$C$23, $C$12, 100%, $E$12)</f>
        <v>6.6150000000000002</v>
      </c>
      <c r="C443" s="65">
        <f>6.615 * CHOOSE(CONTROL!$C$23, $C$12, 100%, $E$12)</f>
        <v>6.6150000000000002</v>
      </c>
      <c r="D443" s="65">
        <f>6.6206 * CHOOSE(CONTROL!$C$23, $C$12, 100%, $E$12)</f>
        <v>6.6205999999999996</v>
      </c>
      <c r="E443" s="66">
        <f>7.8807 * CHOOSE(CONTROL!$C$23, $C$12, 100%, $E$12)</f>
        <v>7.8807</v>
      </c>
      <c r="F443" s="66">
        <f>7.8807 * CHOOSE(CONTROL!$C$23, $C$12, 100%, $E$12)</f>
        <v>7.8807</v>
      </c>
      <c r="G443" s="66">
        <f>7.8876 * CHOOSE(CONTROL!$C$23, $C$12, 100%, $E$12)</f>
        <v>7.8875999999999999</v>
      </c>
      <c r="H443" s="66">
        <f>14.348* CHOOSE(CONTROL!$C$23, $C$12, 100%, $E$12)</f>
        <v>14.348000000000001</v>
      </c>
      <c r="I443" s="66">
        <f>14.3549 * CHOOSE(CONTROL!$C$23, $C$12, 100%, $E$12)</f>
        <v>14.354900000000001</v>
      </c>
      <c r="J443" s="66">
        <f>14.348 * CHOOSE(CONTROL!$C$23, $C$12, 100%, $E$12)</f>
        <v>14.348000000000001</v>
      </c>
      <c r="K443" s="66">
        <f>14.3549 * CHOOSE(CONTROL!$C$23, $C$12, 100%, $E$12)</f>
        <v>14.354900000000001</v>
      </c>
      <c r="L443" s="66">
        <f>7.8807 * CHOOSE(CONTROL!$C$23, $C$12, 100%, $E$12)</f>
        <v>7.8807</v>
      </c>
      <c r="M443" s="66">
        <f>7.8876 * CHOOSE(CONTROL!$C$23, $C$12, 100%, $E$12)</f>
        <v>7.8875999999999999</v>
      </c>
      <c r="N443" s="66">
        <f>7.8807 * CHOOSE(CONTROL!$C$23, $C$12, 100%, $E$12)</f>
        <v>7.8807</v>
      </c>
      <c r="O443" s="66">
        <f>7.8876 * CHOOSE(CONTROL!$C$23, $C$12, 100%, $E$12)</f>
        <v>7.8875999999999999</v>
      </c>
    </row>
    <row r="444" spans="1:15" ht="15">
      <c r="A444" s="13">
        <v>54667</v>
      </c>
      <c r="B444" s="65">
        <f>6.6119 * CHOOSE(CONTROL!$C$23, $C$12, 100%, $E$12)</f>
        <v>6.6119000000000003</v>
      </c>
      <c r="C444" s="65">
        <f>6.6119 * CHOOSE(CONTROL!$C$23, $C$12, 100%, $E$12)</f>
        <v>6.6119000000000003</v>
      </c>
      <c r="D444" s="65">
        <f>6.6176 * CHOOSE(CONTROL!$C$23, $C$12, 100%, $E$12)</f>
        <v>6.6176000000000004</v>
      </c>
      <c r="E444" s="66">
        <f>7.8653 * CHOOSE(CONTROL!$C$23, $C$12, 100%, $E$12)</f>
        <v>7.8653000000000004</v>
      </c>
      <c r="F444" s="66">
        <f>7.8653 * CHOOSE(CONTROL!$C$23, $C$12, 100%, $E$12)</f>
        <v>7.8653000000000004</v>
      </c>
      <c r="G444" s="66">
        <f>7.8721 * CHOOSE(CONTROL!$C$23, $C$12, 100%, $E$12)</f>
        <v>7.8720999999999997</v>
      </c>
      <c r="H444" s="66">
        <f>14.3779* CHOOSE(CONTROL!$C$23, $C$12, 100%, $E$12)</f>
        <v>14.3779</v>
      </c>
      <c r="I444" s="66">
        <f>14.3848 * CHOOSE(CONTROL!$C$23, $C$12, 100%, $E$12)</f>
        <v>14.3848</v>
      </c>
      <c r="J444" s="66">
        <f>14.3779 * CHOOSE(CONTROL!$C$23, $C$12, 100%, $E$12)</f>
        <v>14.3779</v>
      </c>
      <c r="K444" s="66">
        <f>14.3848 * CHOOSE(CONTROL!$C$23, $C$12, 100%, $E$12)</f>
        <v>14.3848</v>
      </c>
      <c r="L444" s="66">
        <f>7.8653 * CHOOSE(CONTROL!$C$23, $C$12, 100%, $E$12)</f>
        <v>7.8653000000000004</v>
      </c>
      <c r="M444" s="66">
        <f>7.8721 * CHOOSE(CONTROL!$C$23, $C$12, 100%, $E$12)</f>
        <v>7.8720999999999997</v>
      </c>
      <c r="N444" s="66">
        <f>7.8653 * CHOOSE(CONTROL!$C$23, $C$12, 100%, $E$12)</f>
        <v>7.8653000000000004</v>
      </c>
      <c r="O444" s="66">
        <f>7.8721 * CHOOSE(CONTROL!$C$23, $C$12, 100%, $E$12)</f>
        <v>7.8720999999999997</v>
      </c>
    </row>
    <row r="445" spans="1:15" ht="15">
      <c r="A445" s="13">
        <v>54697</v>
      </c>
      <c r="B445" s="65">
        <f>6.6156 * CHOOSE(CONTROL!$C$23, $C$12, 100%, $E$12)</f>
        <v>6.6155999999999997</v>
      </c>
      <c r="C445" s="65">
        <f>6.6156 * CHOOSE(CONTROL!$C$23, $C$12, 100%, $E$12)</f>
        <v>6.6155999999999997</v>
      </c>
      <c r="D445" s="65">
        <f>6.6196 * CHOOSE(CONTROL!$C$23, $C$12, 100%, $E$12)</f>
        <v>6.6196000000000002</v>
      </c>
      <c r="E445" s="66">
        <f>7.9053 * CHOOSE(CONTROL!$C$23, $C$12, 100%, $E$12)</f>
        <v>7.9053000000000004</v>
      </c>
      <c r="F445" s="66">
        <f>7.9053 * CHOOSE(CONTROL!$C$23, $C$12, 100%, $E$12)</f>
        <v>7.9053000000000004</v>
      </c>
      <c r="G445" s="66">
        <f>7.9102 * CHOOSE(CONTROL!$C$23, $C$12, 100%, $E$12)</f>
        <v>7.9101999999999997</v>
      </c>
      <c r="H445" s="66">
        <f>14.4078* CHOOSE(CONTROL!$C$23, $C$12, 100%, $E$12)</f>
        <v>14.4078</v>
      </c>
      <c r="I445" s="66">
        <f>14.4128 * CHOOSE(CONTROL!$C$23, $C$12, 100%, $E$12)</f>
        <v>14.412800000000001</v>
      </c>
      <c r="J445" s="66">
        <f>14.4078 * CHOOSE(CONTROL!$C$23, $C$12, 100%, $E$12)</f>
        <v>14.4078</v>
      </c>
      <c r="K445" s="66">
        <f>14.4128 * CHOOSE(CONTROL!$C$23, $C$12, 100%, $E$12)</f>
        <v>14.412800000000001</v>
      </c>
      <c r="L445" s="66">
        <f>7.9053 * CHOOSE(CONTROL!$C$23, $C$12, 100%, $E$12)</f>
        <v>7.9053000000000004</v>
      </c>
      <c r="M445" s="66">
        <f>7.9102 * CHOOSE(CONTROL!$C$23, $C$12, 100%, $E$12)</f>
        <v>7.9101999999999997</v>
      </c>
      <c r="N445" s="66">
        <f>7.9053 * CHOOSE(CONTROL!$C$23, $C$12, 100%, $E$12)</f>
        <v>7.9053000000000004</v>
      </c>
      <c r="O445" s="66">
        <f>7.9102 * CHOOSE(CONTROL!$C$23, $C$12, 100%, $E$12)</f>
        <v>7.9101999999999997</v>
      </c>
    </row>
    <row r="446" spans="1:15" ht="15">
      <c r="A446" s="13">
        <v>54728</v>
      </c>
      <c r="B446" s="65">
        <f>6.6186 * CHOOSE(CONTROL!$C$23, $C$12, 100%, $E$12)</f>
        <v>6.6185999999999998</v>
      </c>
      <c r="C446" s="65">
        <f>6.6186 * CHOOSE(CONTROL!$C$23, $C$12, 100%, $E$12)</f>
        <v>6.6185999999999998</v>
      </c>
      <c r="D446" s="65">
        <f>6.6226 * CHOOSE(CONTROL!$C$23, $C$12, 100%, $E$12)</f>
        <v>6.6226000000000003</v>
      </c>
      <c r="E446" s="66">
        <f>7.9341 * CHOOSE(CONTROL!$C$23, $C$12, 100%, $E$12)</f>
        <v>7.9340999999999999</v>
      </c>
      <c r="F446" s="66">
        <f>7.9341 * CHOOSE(CONTROL!$C$23, $C$12, 100%, $E$12)</f>
        <v>7.9340999999999999</v>
      </c>
      <c r="G446" s="66">
        <f>7.939 * CHOOSE(CONTROL!$C$23, $C$12, 100%, $E$12)</f>
        <v>7.9390000000000001</v>
      </c>
      <c r="H446" s="66">
        <f>14.4379* CHOOSE(CONTROL!$C$23, $C$12, 100%, $E$12)</f>
        <v>14.437900000000001</v>
      </c>
      <c r="I446" s="66">
        <f>14.4428 * CHOOSE(CONTROL!$C$23, $C$12, 100%, $E$12)</f>
        <v>14.4428</v>
      </c>
      <c r="J446" s="66">
        <f>14.4379 * CHOOSE(CONTROL!$C$23, $C$12, 100%, $E$12)</f>
        <v>14.437900000000001</v>
      </c>
      <c r="K446" s="66">
        <f>14.4428 * CHOOSE(CONTROL!$C$23, $C$12, 100%, $E$12)</f>
        <v>14.4428</v>
      </c>
      <c r="L446" s="66">
        <f>7.9341 * CHOOSE(CONTROL!$C$23, $C$12, 100%, $E$12)</f>
        <v>7.9340999999999999</v>
      </c>
      <c r="M446" s="66">
        <f>7.939 * CHOOSE(CONTROL!$C$23, $C$12, 100%, $E$12)</f>
        <v>7.9390000000000001</v>
      </c>
      <c r="N446" s="66">
        <f>7.9341 * CHOOSE(CONTROL!$C$23, $C$12, 100%, $E$12)</f>
        <v>7.9340999999999999</v>
      </c>
      <c r="O446" s="66">
        <f>7.939 * CHOOSE(CONTROL!$C$23, $C$12, 100%, $E$12)</f>
        <v>7.9390000000000001</v>
      </c>
    </row>
    <row r="447" spans="1:15" ht="15">
      <c r="A447" s="13">
        <v>54758</v>
      </c>
      <c r="B447" s="65">
        <f>6.6186 * CHOOSE(CONTROL!$C$23, $C$12, 100%, $E$12)</f>
        <v>6.6185999999999998</v>
      </c>
      <c r="C447" s="65">
        <f>6.6186 * CHOOSE(CONTROL!$C$23, $C$12, 100%, $E$12)</f>
        <v>6.6185999999999998</v>
      </c>
      <c r="D447" s="65">
        <f>6.6226 * CHOOSE(CONTROL!$C$23, $C$12, 100%, $E$12)</f>
        <v>6.6226000000000003</v>
      </c>
      <c r="E447" s="66">
        <f>7.8673 * CHOOSE(CONTROL!$C$23, $C$12, 100%, $E$12)</f>
        <v>7.8673000000000002</v>
      </c>
      <c r="F447" s="66">
        <f>7.8673 * CHOOSE(CONTROL!$C$23, $C$12, 100%, $E$12)</f>
        <v>7.8673000000000002</v>
      </c>
      <c r="G447" s="66">
        <f>7.8722 * CHOOSE(CONTROL!$C$23, $C$12, 100%, $E$12)</f>
        <v>7.8722000000000003</v>
      </c>
      <c r="H447" s="66">
        <f>14.4679* CHOOSE(CONTROL!$C$23, $C$12, 100%, $E$12)</f>
        <v>14.4679</v>
      </c>
      <c r="I447" s="66">
        <f>14.4729 * CHOOSE(CONTROL!$C$23, $C$12, 100%, $E$12)</f>
        <v>14.472899999999999</v>
      </c>
      <c r="J447" s="66">
        <f>14.4679 * CHOOSE(CONTROL!$C$23, $C$12, 100%, $E$12)</f>
        <v>14.4679</v>
      </c>
      <c r="K447" s="66">
        <f>14.4729 * CHOOSE(CONTROL!$C$23, $C$12, 100%, $E$12)</f>
        <v>14.472899999999999</v>
      </c>
      <c r="L447" s="66">
        <f>7.8673 * CHOOSE(CONTROL!$C$23, $C$12, 100%, $E$12)</f>
        <v>7.8673000000000002</v>
      </c>
      <c r="M447" s="66">
        <f>7.8722 * CHOOSE(CONTROL!$C$23, $C$12, 100%, $E$12)</f>
        <v>7.8722000000000003</v>
      </c>
      <c r="N447" s="66">
        <f>7.8673 * CHOOSE(CONTROL!$C$23, $C$12, 100%, $E$12)</f>
        <v>7.8673000000000002</v>
      </c>
      <c r="O447" s="66">
        <f>7.8722 * CHOOSE(CONTROL!$C$23, $C$12, 100%, $E$12)</f>
        <v>7.8722000000000003</v>
      </c>
    </row>
    <row r="448" spans="1:15" ht="15">
      <c r="A448" s="13">
        <v>54789</v>
      </c>
      <c r="B448" s="65">
        <f>6.6762 * CHOOSE(CONTROL!$C$23, $C$12, 100%, $E$12)</f>
        <v>6.6761999999999997</v>
      </c>
      <c r="C448" s="65">
        <f>6.6762 * CHOOSE(CONTROL!$C$23, $C$12, 100%, $E$12)</f>
        <v>6.6761999999999997</v>
      </c>
      <c r="D448" s="65">
        <f>6.6802 * CHOOSE(CONTROL!$C$23, $C$12, 100%, $E$12)</f>
        <v>6.6802000000000001</v>
      </c>
      <c r="E448" s="66">
        <f>7.9797 * CHOOSE(CONTROL!$C$23, $C$12, 100%, $E$12)</f>
        <v>7.9797000000000002</v>
      </c>
      <c r="F448" s="66">
        <f>7.9797 * CHOOSE(CONTROL!$C$23, $C$12, 100%, $E$12)</f>
        <v>7.9797000000000002</v>
      </c>
      <c r="G448" s="66">
        <f>7.9846 * CHOOSE(CONTROL!$C$23, $C$12, 100%, $E$12)</f>
        <v>7.9846000000000004</v>
      </c>
      <c r="H448" s="66">
        <f>14.4981* CHOOSE(CONTROL!$C$23, $C$12, 100%, $E$12)</f>
        <v>14.498100000000001</v>
      </c>
      <c r="I448" s="66">
        <f>14.503 * CHOOSE(CONTROL!$C$23, $C$12, 100%, $E$12)</f>
        <v>14.503</v>
      </c>
      <c r="J448" s="66">
        <f>14.4981 * CHOOSE(CONTROL!$C$23, $C$12, 100%, $E$12)</f>
        <v>14.498100000000001</v>
      </c>
      <c r="K448" s="66">
        <f>14.503 * CHOOSE(CONTROL!$C$23, $C$12, 100%, $E$12)</f>
        <v>14.503</v>
      </c>
      <c r="L448" s="66">
        <f>7.9797 * CHOOSE(CONTROL!$C$23, $C$12, 100%, $E$12)</f>
        <v>7.9797000000000002</v>
      </c>
      <c r="M448" s="66">
        <f>7.9846 * CHOOSE(CONTROL!$C$23, $C$12, 100%, $E$12)</f>
        <v>7.9846000000000004</v>
      </c>
      <c r="N448" s="66">
        <f>7.9797 * CHOOSE(CONTROL!$C$23, $C$12, 100%, $E$12)</f>
        <v>7.9797000000000002</v>
      </c>
      <c r="O448" s="66">
        <f>7.9846 * CHOOSE(CONTROL!$C$23, $C$12, 100%, $E$12)</f>
        <v>7.9846000000000004</v>
      </c>
    </row>
    <row r="449" spans="1:15" ht="15">
      <c r="A449" s="13">
        <v>54820</v>
      </c>
      <c r="B449" s="65">
        <f>6.6731 * CHOOSE(CONTROL!$C$23, $C$12, 100%, $E$12)</f>
        <v>6.6730999999999998</v>
      </c>
      <c r="C449" s="65">
        <f>6.6731 * CHOOSE(CONTROL!$C$23, $C$12, 100%, $E$12)</f>
        <v>6.6730999999999998</v>
      </c>
      <c r="D449" s="65">
        <f>6.6771 * CHOOSE(CONTROL!$C$23, $C$12, 100%, $E$12)</f>
        <v>6.6771000000000003</v>
      </c>
      <c r="E449" s="66">
        <f>7.8478 * CHOOSE(CONTROL!$C$23, $C$12, 100%, $E$12)</f>
        <v>7.8478000000000003</v>
      </c>
      <c r="F449" s="66">
        <f>7.8478 * CHOOSE(CONTROL!$C$23, $C$12, 100%, $E$12)</f>
        <v>7.8478000000000003</v>
      </c>
      <c r="G449" s="66">
        <f>7.8527 * CHOOSE(CONTROL!$C$23, $C$12, 100%, $E$12)</f>
        <v>7.8526999999999996</v>
      </c>
      <c r="H449" s="66">
        <f>14.5283* CHOOSE(CONTROL!$C$23, $C$12, 100%, $E$12)</f>
        <v>14.5283</v>
      </c>
      <c r="I449" s="66">
        <f>14.5332 * CHOOSE(CONTROL!$C$23, $C$12, 100%, $E$12)</f>
        <v>14.533200000000001</v>
      </c>
      <c r="J449" s="66">
        <f>14.5283 * CHOOSE(CONTROL!$C$23, $C$12, 100%, $E$12)</f>
        <v>14.5283</v>
      </c>
      <c r="K449" s="66">
        <f>14.5332 * CHOOSE(CONTROL!$C$23, $C$12, 100%, $E$12)</f>
        <v>14.533200000000001</v>
      </c>
      <c r="L449" s="66">
        <f>7.8478 * CHOOSE(CONTROL!$C$23, $C$12, 100%, $E$12)</f>
        <v>7.8478000000000003</v>
      </c>
      <c r="M449" s="66">
        <f>7.8527 * CHOOSE(CONTROL!$C$23, $C$12, 100%, $E$12)</f>
        <v>7.8526999999999996</v>
      </c>
      <c r="N449" s="66">
        <f>7.8478 * CHOOSE(CONTROL!$C$23, $C$12, 100%, $E$12)</f>
        <v>7.8478000000000003</v>
      </c>
      <c r="O449" s="66">
        <f>7.8527 * CHOOSE(CONTROL!$C$23, $C$12, 100%, $E$12)</f>
        <v>7.8526999999999996</v>
      </c>
    </row>
    <row r="450" spans="1:15" ht="15">
      <c r="A450" s="13">
        <v>54848</v>
      </c>
      <c r="B450" s="65">
        <f>6.6701 * CHOOSE(CONTROL!$C$23, $C$12, 100%, $E$12)</f>
        <v>6.6700999999999997</v>
      </c>
      <c r="C450" s="65">
        <f>6.6701 * CHOOSE(CONTROL!$C$23, $C$12, 100%, $E$12)</f>
        <v>6.6700999999999997</v>
      </c>
      <c r="D450" s="65">
        <f>6.6741 * CHOOSE(CONTROL!$C$23, $C$12, 100%, $E$12)</f>
        <v>6.6741000000000001</v>
      </c>
      <c r="E450" s="66">
        <f>7.948 * CHOOSE(CONTROL!$C$23, $C$12, 100%, $E$12)</f>
        <v>7.9480000000000004</v>
      </c>
      <c r="F450" s="66">
        <f>7.948 * CHOOSE(CONTROL!$C$23, $C$12, 100%, $E$12)</f>
        <v>7.9480000000000004</v>
      </c>
      <c r="G450" s="66">
        <f>7.9529 * CHOOSE(CONTROL!$C$23, $C$12, 100%, $E$12)</f>
        <v>7.9528999999999996</v>
      </c>
      <c r="H450" s="66">
        <f>14.5586* CHOOSE(CONTROL!$C$23, $C$12, 100%, $E$12)</f>
        <v>14.5586</v>
      </c>
      <c r="I450" s="66">
        <f>14.5635 * CHOOSE(CONTROL!$C$23, $C$12, 100%, $E$12)</f>
        <v>14.563499999999999</v>
      </c>
      <c r="J450" s="66">
        <f>14.5586 * CHOOSE(CONTROL!$C$23, $C$12, 100%, $E$12)</f>
        <v>14.5586</v>
      </c>
      <c r="K450" s="66">
        <f>14.5635 * CHOOSE(CONTROL!$C$23, $C$12, 100%, $E$12)</f>
        <v>14.563499999999999</v>
      </c>
      <c r="L450" s="66">
        <f>7.948 * CHOOSE(CONTROL!$C$23, $C$12, 100%, $E$12)</f>
        <v>7.9480000000000004</v>
      </c>
      <c r="M450" s="66">
        <f>7.9529 * CHOOSE(CONTROL!$C$23, $C$12, 100%, $E$12)</f>
        <v>7.9528999999999996</v>
      </c>
      <c r="N450" s="66">
        <f>7.948 * CHOOSE(CONTROL!$C$23, $C$12, 100%, $E$12)</f>
        <v>7.9480000000000004</v>
      </c>
      <c r="O450" s="66">
        <f>7.9529 * CHOOSE(CONTROL!$C$23, $C$12, 100%, $E$12)</f>
        <v>7.9528999999999996</v>
      </c>
    </row>
    <row r="451" spans="1:15" ht="15">
      <c r="A451" s="13">
        <v>54879</v>
      </c>
      <c r="B451" s="65">
        <f>6.67 * CHOOSE(CONTROL!$C$23, $C$12, 100%, $E$12)</f>
        <v>6.67</v>
      </c>
      <c r="C451" s="65">
        <f>6.67 * CHOOSE(CONTROL!$C$23, $C$12, 100%, $E$12)</f>
        <v>6.67</v>
      </c>
      <c r="D451" s="65">
        <f>6.674 * CHOOSE(CONTROL!$C$23, $C$12, 100%, $E$12)</f>
        <v>6.6740000000000004</v>
      </c>
      <c r="E451" s="66">
        <f>8.0536 * CHOOSE(CONTROL!$C$23, $C$12, 100%, $E$12)</f>
        <v>8.0535999999999994</v>
      </c>
      <c r="F451" s="66">
        <f>8.0536 * CHOOSE(CONTROL!$C$23, $C$12, 100%, $E$12)</f>
        <v>8.0535999999999994</v>
      </c>
      <c r="G451" s="66">
        <f>8.0586 * CHOOSE(CONTROL!$C$23, $C$12, 100%, $E$12)</f>
        <v>8.0586000000000002</v>
      </c>
      <c r="H451" s="66">
        <f>14.5889* CHOOSE(CONTROL!$C$23, $C$12, 100%, $E$12)</f>
        <v>14.588900000000001</v>
      </c>
      <c r="I451" s="66">
        <f>14.5938 * CHOOSE(CONTROL!$C$23, $C$12, 100%, $E$12)</f>
        <v>14.5938</v>
      </c>
      <c r="J451" s="66">
        <f>14.5889 * CHOOSE(CONTROL!$C$23, $C$12, 100%, $E$12)</f>
        <v>14.588900000000001</v>
      </c>
      <c r="K451" s="66">
        <f>14.5938 * CHOOSE(CONTROL!$C$23, $C$12, 100%, $E$12)</f>
        <v>14.5938</v>
      </c>
      <c r="L451" s="66">
        <f>8.0536 * CHOOSE(CONTROL!$C$23, $C$12, 100%, $E$12)</f>
        <v>8.0535999999999994</v>
      </c>
      <c r="M451" s="66">
        <f>8.0586 * CHOOSE(CONTROL!$C$23, $C$12, 100%, $E$12)</f>
        <v>8.0586000000000002</v>
      </c>
      <c r="N451" s="66">
        <f>8.0536 * CHOOSE(CONTROL!$C$23, $C$12, 100%, $E$12)</f>
        <v>8.0535999999999994</v>
      </c>
      <c r="O451" s="66">
        <f>8.0586 * CHOOSE(CONTROL!$C$23, $C$12, 100%, $E$12)</f>
        <v>8.0586000000000002</v>
      </c>
    </row>
    <row r="452" spans="1:15" ht="15">
      <c r="A452" s="13">
        <v>54909</v>
      </c>
      <c r="B452" s="65">
        <f>6.67 * CHOOSE(CONTROL!$C$23, $C$12, 100%, $E$12)</f>
        <v>6.67</v>
      </c>
      <c r="C452" s="65">
        <f>6.67 * CHOOSE(CONTROL!$C$23, $C$12, 100%, $E$12)</f>
        <v>6.67</v>
      </c>
      <c r="D452" s="65">
        <f>6.6757 * CHOOSE(CONTROL!$C$23, $C$12, 100%, $E$12)</f>
        <v>6.6757</v>
      </c>
      <c r="E452" s="66">
        <f>8.0948 * CHOOSE(CONTROL!$C$23, $C$12, 100%, $E$12)</f>
        <v>8.0947999999999993</v>
      </c>
      <c r="F452" s="66">
        <f>8.0948 * CHOOSE(CONTROL!$C$23, $C$12, 100%, $E$12)</f>
        <v>8.0947999999999993</v>
      </c>
      <c r="G452" s="66">
        <f>8.1017 * CHOOSE(CONTROL!$C$23, $C$12, 100%, $E$12)</f>
        <v>8.1016999999999992</v>
      </c>
      <c r="H452" s="66">
        <f>14.6193* CHOOSE(CONTROL!$C$23, $C$12, 100%, $E$12)</f>
        <v>14.619300000000001</v>
      </c>
      <c r="I452" s="66">
        <f>14.6262 * CHOOSE(CONTROL!$C$23, $C$12, 100%, $E$12)</f>
        <v>14.626200000000001</v>
      </c>
      <c r="J452" s="66">
        <f>14.6193 * CHOOSE(CONTROL!$C$23, $C$12, 100%, $E$12)</f>
        <v>14.619300000000001</v>
      </c>
      <c r="K452" s="66">
        <f>14.6262 * CHOOSE(CONTROL!$C$23, $C$12, 100%, $E$12)</f>
        <v>14.626200000000001</v>
      </c>
      <c r="L452" s="66">
        <f>8.0948 * CHOOSE(CONTROL!$C$23, $C$12, 100%, $E$12)</f>
        <v>8.0947999999999993</v>
      </c>
      <c r="M452" s="66">
        <f>8.1017 * CHOOSE(CONTROL!$C$23, $C$12, 100%, $E$12)</f>
        <v>8.1016999999999992</v>
      </c>
      <c r="N452" s="66">
        <f>8.0948 * CHOOSE(CONTROL!$C$23, $C$12, 100%, $E$12)</f>
        <v>8.0947999999999993</v>
      </c>
      <c r="O452" s="66">
        <f>8.1017 * CHOOSE(CONTROL!$C$23, $C$12, 100%, $E$12)</f>
        <v>8.1016999999999992</v>
      </c>
    </row>
    <row r="453" spans="1:15" ht="15">
      <c r="A453" s="13">
        <v>54940</v>
      </c>
      <c r="B453" s="65">
        <f>6.6761 * CHOOSE(CONTROL!$C$23, $C$12, 100%, $E$12)</f>
        <v>6.6760999999999999</v>
      </c>
      <c r="C453" s="65">
        <f>6.6761 * CHOOSE(CONTROL!$C$23, $C$12, 100%, $E$12)</f>
        <v>6.6760999999999999</v>
      </c>
      <c r="D453" s="65">
        <f>6.6818 * CHOOSE(CONTROL!$C$23, $C$12, 100%, $E$12)</f>
        <v>6.6818</v>
      </c>
      <c r="E453" s="66">
        <f>8.0579 * CHOOSE(CONTROL!$C$23, $C$12, 100%, $E$12)</f>
        <v>8.0579000000000001</v>
      </c>
      <c r="F453" s="66">
        <f>8.0579 * CHOOSE(CONTROL!$C$23, $C$12, 100%, $E$12)</f>
        <v>8.0579000000000001</v>
      </c>
      <c r="G453" s="66">
        <f>8.0648 * CHOOSE(CONTROL!$C$23, $C$12, 100%, $E$12)</f>
        <v>8.0648</v>
      </c>
      <c r="H453" s="66">
        <f>14.6497* CHOOSE(CONTROL!$C$23, $C$12, 100%, $E$12)</f>
        <v>14.649699999999999</v>
      </c>
      <c r="I453" s="66">
        <f>14.6566 * CHOOSE(CONTROL!$C$23, $C$12, 100%, $E$12)</f>
        <v>14.656599999999999</v>
      </c>
      <c r="J453" s="66">
        <f>14.6497 * CHOOSE(CONTROL!$C$23, $C$12, 100%, $E$12)</f>
        <v>14.649699999999999</v>
      </c>
      <c r="K453" s="66">
        <f>14.6566 * CHOOSE(CONTROL!$C$23, $C$12, 100%, $E$12)</f>
        <v>14.656599999999999</v>
      </c>
      <c r="L453" s="66">
        <f>8.0579 * CHOOSE(CONTROL!$C$23, $C$12, 100%, $E$12)</f>
        <v>8.0579000000000001</v>
      </c>
      <c r="M453" s="66">
        <f>8.0648 * CHOOSE(CONTROL!$C$23, $C$12, 100%, $E$12)</f>
        <v>8.0648</v>
      </c>
      <c r="N453" s="66">
        <f>8.0579 * CHOOSE(CONTROL!$C$23, $C$12, 100%, $E$12)</f>
        <v>8.0579000000000001</v>
      </c>
      <c r="O453" s="66">
        <f>8.0648 * CHOOSE(CONTROL!$C$23, $C$12, 100%, $E$12)</f>
        <v>8.0648</v>
      </c>
    </row>
    <row r="454" spans="1:15" ht="15">
      <c r="A454" s="13">
        <v>54970</v>
      </c>
      <c r="B454" s="65">
        <f>6.7826 * CHOOSE(CONTROL!$C$23, $C$12, 100%, $E$12)</f>
        <v>6.7826000000000004</v>
      </c>
      <c r="C454" s="65">
        <f>6.7826 * CHOOSE(CONTROL!$C$23, $C$12, 100%, $E$12)</f>
        <v>6.7826000000000004</v>
      </c>
      <c r="D454" s="65">
        <f>6.7883 * CHOOSE(CONTROL!$C$23, $C$12, 100%, $E$12)</f>
        <v>6.7882999999999996</v>
      </c>
      <c r="E454" s="66">
        <f>8.1919 * CHOOSE(CONTROL!$C$23, $C$12, 100%, $E$12)</f>
        <v>8.1919000000000004</v>
      </c>
      <c r="F454" s="66">
        <f>8.1919 * CHOOSE(CONTROL!$C$23, $C$12, 100%, $E$12)</f>
        <v>8.1919000000000004</v>
      </c>
      <c r="G454" s="66">
        <f>8.1987 * CHOOSE(CONTROL!$C$23, $C$12, 100%, $E$12)</f>
        <v>8.1987000000000005</v>
      </c>
      <c r="H454" s="66">
        <f>14.6803* CHOOSE(CONTROL!$C$23, $C$12, 100%, $E$12)</f>
        <v>14.680300000000001</v>
      </c>
      <c r="I454" s="66">
        <f>14.6871 * CHOOSE(CONTROL!$C$23, $C$12, 100%, $E$12)</f>
        <v>14.687099999999999</v>
      </c>
      <c r="J454" s="66">
        <f>14.6803 * CHOOSE(CONTROL!$C$23, $C$12, 100%, $E$12)</f>
        <v>14.680300000000001</v>
      </c>
      <c r="K454" s="66">
        <f>14.6871 * CHOOSE(CONTROL!$C$23, $C$12, 100%, $E$12)</f>
        <v>14.687099999999999</v>
      </c>
      <c r="L454" s="66">
        <f>8.1919 * CHOOSE(CONTROL!$C$23, $C$12, 100%, $E$12)</f>
        <v>8.1919000000000004</v>
      </c>
      <c r="M454" s="66">
        <f>8.1987 * CHOOSE(CONTROL!$C$23, $C$12, 100%, $E$12)</f>
        <v>8.1987000000000005</v>
      </c>
      <c r="N454" s="66">
        <f>8.1919 * CHOOSE(CONTROL!$C$23, $C$12, 100%, $E$12)</f>
        <v>8.1919000000000004</v>
      </c>
      <c r="O454" s="66">
        <f>8.1987 * CHOOSE(CONTROL!$C$23, $C$12, 100%, $E$12)</f>
        <v>8.1987000000000005</v>
      </c>
    </row>
    <row r="455" spans="1:15" ht="15">
      <c r="A455" s="13">
        <v>55001</v>
      </c>
      <c r="B455" s="65">
        <f>6.7893 * CHOOSE(CONTROL!$C$23, $C$12, 100%, $E$12)</f>
        <v>6.7892999999999999</v>
      </c>
      <c r="C455" s="65">
        <f>6.7893 * CHOOSE(CONTROL!$C$23, $C$12, 100%, $E$12)</f>
        <v>6.7892999999999999</v>
      </c>
      <c r="D455" s="65">
        <f>6.7949 * CHOOSE(CONTROL!$C$23, $C$12, 100%, $E$12)</f>
        <v>6.7949000000000002</v>
      </c>
      <c r="E455" s="66">
        <f>8.0729 * CHOOSE(CONTROL!$C$23, $C$12, 100%, $E$12)</f>
        <v>8.0729000000000006</v>
      </c>
      <c r="F455" s="66">
        <f>8.0729 * CHOOSE(CONTROL!$C$23, $C$12, 100%, $E$12)</f>
        <v>8.0729000000000006</v>
      </c>
      <c r="G455" s="66">
        <f>8.0798 * CHOOSE(CONTROL!$C$23, $C$12, 100%, $E$12)</f>
        <v>8.0798000000000005</v>
      </c>
      <c r="H455" s="66">
        <f>14.7108* CHOOSE(CONTROL!$C$23, $C$12, 100%, $E$12)</f>
        <v>14.710800000000001</v>
      </c>
      <c r="I455" s="66">
        <f>14.7177 * CHOOSE(CONTROL!$C$23, $C$12, 100%, $E$12)</f>
        <v>14.717700000000001</v>
      </c>
      <c r="J455" s="66">
        <f>14.7108 * CHOOSE(CONTROL!$C$23, $C$12, 100%, $E$12)</f>
        <v>14.710800000000001</v>
      </c>
      <c r="K455" s="66">
        <f>14.7177 * CHOOSE(CONTROL!$C$23, $C$12, 100%, $E$12)</f>
        <v>14.717700000000001</v>
      </c>
      <c r="L455" s="66">
        <f>8.0729 * CHOOSE(CONTROL!$C$23, $C$12, 100%, $E$12)</f>
        <v>8.0729000000000006</v>
      </c>
      <c r="M455" s="66">
        <f>8.0798 * CHOOSE(CONTROL!$C$23, $C$12, 100%, $E$12)</f>
        <v>8.0798000000000005</v>
      </c>
      <c r="N455" s="66">
        <f>8.0729 * CHOOSE(CONTROL!$C$23, $C$12, 100%, $E$12)</f>
        <v>8.0729000000000006</v>
      </c>
      <c r="O455" s="66">
        <f>8.0798 * CHOOSE(CONTROL!$C$23, $C$12, 100%, $E$12)</f>
        <v>8.0798000000000005</v>
      </c>
    </row>
    <row r="456" spans="1:15" ht="15">
      <c r="A456" s="13">
        <v>55032</v>
      </c>
      <c r="B456" s="65">
        <f>6.7863 * CHOOSE(CONTROL!$C$23, $C$12, 100%, $E$12)</f>
        <v>6.7862999999999998</v>
      </c>
      <c r="C456" s="65">
        <f>6.7863 * CHOOSE(CONTROL!$C$23, $C$12, 100%, $E$12)</f>
        <v>6.7862999999999998</v>
      </c>
      <c r="D456" s="65">
        <f>6.7919 * CHOOSE(CONTROL!$C$23, $C$12, 100%, $E$12)</f>
        <v>6.7919</v>
      </c>
      <c r="E456" s="66">
        <f>8.0571 * CHOOSE(CONTROL!$C$23, $C$12, 100%, $E$12)</f>
        <v>8.0571000000000002</v>
      </c>
      <c r="F456" s="66">
        <f>8.0571 * CHOOSE(CONTROL!$C$23, $C$12, 100%, $E$12)</f>
        <v>8.0571000000000002</v>
      </c>
      <c r="G456" s="66">
        <f>8.0639 * CHOOSE(CONTROL!$C$23, $C$12, 100%, $E$12)</f>
        <v>8.0639000000000003</v>
      </c>
      <c r="H456" s="66">
        <f>14.7415* CHOOSE(CONTROL!$C$23, $C$12, 100%, $E$12)</f>
        <v>14.7415</v>
      </c>
      <c r="I456" s="66">
        <f>14.7484 * CHOOSE(CONTROL!$C$23, $C$12, 100%, $E$12)</f>
        <v>14.7484</v>
      </c>
      <c r="J456" s="66">
        <f>14.7415 * CHOOSE(CONTROL!$C$23, $C$12, 100%, $E$12)</f>
        <v>14.7415</v>
      </c>
      <c r="K456" s="66">
        <f>14.7484 * CHOOSE(CONTROL!$C$23, $C$12, 100%, $E$12)</f>
        <v>14.7484</v>
      </c>
      <c r="L456" s="66">
        <f>8.0571 * CHOOSE(CONTROL!$C$23, $C$12, 100%, $E$12)</f>
        <v>8.0571000000000002</v>
      </c>
      <c r="M456" s="66">
        <f>8.0639 * CHOOSE(CONTROL!$C$23, $C$12, 100%, $E$12)</f>
        <v>8.0639000000000003</v>
      </c>
      <c r="N456" s="66">
        <f>8.0571 * CHOOSE(CONTROL!$C$23, $C$12, 100%, $E$12)</f>
        <v>8.0571000000000002</v>
      </c>
      <c r="O456" s="66">
        <f>8.0639 * CHOOSE(CONTROL!$C$23, $C$12, 100%, $E$12)</f>
        <v>8.0639000000000003</v>
      </c>
    </row>
    <row r="457" spans="1:15" ht="15">
      <c r="A457" s="13">
        <v>55062</v>
      </c>
      <c r="B457" s="65">
        <f>6.7905 * CHOOSE(CONTROL!$C$23, $C$12, 100%, $E$12)</f>
        <v>6.7904999999999998</v>
      </c>
      <c r="C457" s="65">
        <f>6.7905 * CHOOSE(CONTROL!$C$23, $C$12, 100%, $E$12)</f>
        <v>6.7904999999999998</v>
      </c>
      <c r="D457" s="65">
        <f>6.7945 * CHOOSE(CONTROL!$C$23, $C$12, 100%, $E$12)</f>
        <v>6.7945000000000002</v>
      </c>
      <c r="E457" s="66">
        <f>8.0986 * CHOOSE(CONTROL!$C$23, $C$12, 100%, $E$12)</f>
        <v>8.0985999999999994</v>
      </c>
      <c r="F457" s="66">
        <f>8.0986 * CHOOSE(CONTROL!$C$23, $C$12, 100%, $E$12)</f>
        <v>8.0985999999999994</v>
      </c>
      <c r="G457" s="66">
        <f>8.1035 * CHOOSE(CONTROL!$C$23, $C$12, 100%, $E$12)</f>
        <v>8.1035000000000004</v>
      </c>
      <c r="H457" s="66">
        <f>14.7722* CHOOSE(CONTROL!$C$23, $C$12, 100%, $E$12)</f>
        <v>14.7722</v>
      </c>
      <c r="I457" s="66">
        <f>14.7771 * CHOOSE(CONTROL!$C$23, $C$12, 100%, $E$12)</f>
        <v>14.777100000000001</v>
      </c>
      <c r="J457" s="66">
        <f>14.7722 * CHOOSE(CONTROL!$C$23, $C$12, 100%, $E$12)</f>
        <v>14.7722</v>
      </c>
      <c r="K457" s="66">
        <f>14.7771 * CHOOSE(CONTROL!$C$23, $C$12, 100%, $E$12)</f>
        <v>14.777100000000001</v>
      </c>
      <c r="L457" s="66">
        <f>8.0986 * CHOOSE(CONTROL!$C$23, $C$12, 100%, $E$12)</f>
        <v>8.0985999999999994</v>
      </c>
      <c r="M457" s="66">
        <f>8.1035 * CHOOSE(CONTROL!$C$23, $C$12, 100%, $E$12)</f>
        <v>8.1035000000000004</v>
      </c>
      <c r="N457" s="66">
        <f>8.0986 * CHOOSE(CONTROL!$C$23, $C$12, 100%, $E$12)</f>
        <v>8.0985999999999994</v>
      </c>
      <c r="O457" s="66">
        <f>8.1035 * CHOOSE(CONTROL!$C$23, $C$12, 100%, $E$12)</f>
        <v>8.1035000000000004</v>
      </c>
    </row>
    <row r="458" spans="1:15" ht="15">
      <c r="A458" s="13">
        <v>55093</v>
      </c>
      <c r="B458" s="65">
        <f>6.7936 * CHOOSE(CONTROL!$C$23, $C$12, 100%, $E$12)</f>
        <v>6.7935999999999996</v>
      </c>
      <c r="C458" s="65">
        <f>6.7936 * CHOOSE(CONTROL!$C$23, $C$12, 100%, $E$12)</f>
        <v>6.7935999999999996</v>
      </c>
      <c r="D458" s="65">
        <f>6.7976 * CHOOSE(CONTROL!$C$23, $C$12, 100%, $E$12)</f>
        <v>6.7976000000000001</v>
      </c>
      <c r="E458" s="66">
        <f>8.1282 * CHOOSE(CONTROL!$C$23, $C$12, 100%, $E$12)</f>
        <v>8.1281999999999996</v>
      </c>
      <c r="F458" s="66">
        <f>8.1282 * CHOOSE(CONTROL!$C$23, $C$12, 100%, $E$12)</f>
        <v>8.1281999999999996</v>
      </c>
      <c r="G458" s="66">
        <f>8.1331 * CHOOSE(CONTROL!$C$23, $C$12, 100%, $E$12)</f>
        <v>8.1331000000000007</v>
      </c>
      <c r="H458" s="66">
        <f>14.803* CHOOSE(CONTROL!$C$23, $C$12, 100%, $E$12)</f>
        <v>14.803000000000001</v>
      </c>
      <c r="I458" s="66">
        <f>14.8079 * CHOOSE(CONTROL!$C$23, $C$12, 100%, $E$12)</f>
        <v>14.8079</v>
      </c>
      <c r="J458" s="66">
        <f>14.803 * CHOOSE(CONTROL!$C$23, $C$12, 100%, $E$12)</f>
        <v>14.803000000000001</v>
      </c>
      <c r="K458" s="66">
        <f>14.8079 * CHOOSE(CONTROL!$C$23, $C$12, 100%, $E$12)</f>
        <v>14.8079</v>
      </c>
      <c r="L458" s="66">
        <f>8.1282 * CHOOSE(CONTROL!$C$23, $C$12, 100%, $E$12)</f>
        <v>8.1281999999999996</v>
      </c>
      <c r="M458" s="66">
        <f>8.1331 * CHOOSE(CONTROL!$C$23, $C$12, 100%, $E$12)</f>
        <v>8.1331000000000007</v>
      </c>
      <c r="N458" s="66">
        <f>8.1282 * CHOOSE(CONTROL!$C$23, $C$12, 100%, $E$12)</f>
        <v>8.1281999999999996</v>
      </c>
      <c r="O458" s="66">
        <f>8.1331 * CHOOSE(CONTROL!$C$23, $C$12, 100%, $E$12)</f>
        <v>8.1331000000000007</v>
      </c>
    </row>
    <row r="459" spans="1:15" ht="15">
      <c r="A459" s="13">
        <v>55123</v>
      </c>
      <c r="B459" s="65">
        <f>6.7936 * CHOOSE(CONTROL!$C$23, $C$12, 100%, $E$12)</f>
        <v>6.7935999999999996</v>
      </c>
      <c r="C459" s="65">
        <f>6.7936 * CHOOSE(CONTROL!$C$23, $C$12, 100%, $E$12)</f>
        <v>6.7935999999999996</v>
      </c>
      <c r="D459" s="65">
        <f>6.7976 * CHOOSE(CONTROL!$C$23, $C$12, 100%, $E$12)</f>
        <v>6.7976000000000001</v>
      </c>
      <c r="E459" s="66">
        <f>8.0595 * CHOOSE(CONTROL!$C$23, $C$12, 100%, $E$12)</f>
        <v>8.0594999999999999</v>
      </c>
      <c r="F459" s="66">
        <f>8.0595 * CHOOSE(CONTROL!$C$23, $C$12, 100%, $E$12)</f>
        <v>8.0594999999999999</v>
      </c>
      <c r="G459" s="66">
        <f>8.0644 * CHOOSE(CONTROL!$C$23, $C$12, 100%, $E$12)</f>
        <v>8.0643999999999991</v>
      </c>
      <c r="H459" s="66">
        <f>14.8338* CHOOSE(CONTROL!$C$23, $C$12, 100%, $E$12)</f>
        <v>14.8338</v>
      </c>
      <c r="I459" s="66">
        <f>14.8387 * CHOOSE(CONTROL!$C$23, $C$12, 100%, $E$12)</f>
        <v>14.838699999999999</v>
      </c>
      <c r="J459" s="66">
        <f>14.8338 * CHOOSE(CONTROL!$C$23, $C$12, 100%, $E$12)</f>
        <v>14.8338</v>
      </c>
      <c r="K459" s="66">
        <f>14.8387 * CHOOSE(CONTROL!$C$23, $C$12, 100%, $E$12)</f>
        <v>14.838699999999999</v>
      </c>
      <c r="L459" s="66">
        <f>8.0595 * CHOOSE(CONTROL!$C$23, $C$12, 100%, $E$12)</f>
        <v>8.0594999999999999</v>
      </c>
      <c r="M459" s="66">
        <f>8.0644 * CHOOSE(CONTROL!$C$23, $C$12, 100%, $E$12)</f>
        <v>8.0643999999999991</v>
      </c>
      <c r="N459" s="66">
        <f>8.0595 * CHOOSE(CONTROL!$C$23, $C$12, 100%, $E$12)</f>
        <v>8.0594999999999999</v>
      </c>
      <c r="O459" s="66">
        <f>8.0644 * CHOOSE(CONTROL!$C$23, $C$12, 100%, $E$12)</f>
        <v>8.0643999999999991</v>
      </c>
    </row>
    <row r="460" spans="1:15" ht="15">
      <c r="A460" s="13">
        <v>55154</v>
      </c>
      <c r="B460" s="65">
        <f>6.8525 * CHOOSE(CONTROL!$C$23, $C$12, 100%, $E$12)</f>
        <v>6.8525</v>
      </c>
      <c r="C460" s="65">
        <f>6.8525 * CHOOSE(CONTROL!$C$23, $C$12, 100%, $E$12)</f>
        <v>6.8525</v>
      </c>
      <c r="D460" s="65">
        <f>6.8565 * CHOOSE(CONTROL!$C$23, $C$12, 100%, $E$12)</f>
        <v>6.8564999999999996</v>
      </c>
      <c r="E460" s="66">
        <f>8.1748 * CHOOSE(CONTROL!$C$23, $C$12, 100%, $E$12)</f>
        <v>8.1747999999999994</v>
      </c>
      <c r="F460" s="66">
        <f>8.1748 * CHOOSE(CONTROL!$C$23, $C$12, 100%, $E$12)</f>
        <v>8.1747999999999994</v>
      </c>
      <c r="G460" s="66">
        <f>8.1797 * CHOOSE(CONTROL!$C$23, $C$12, 100%, $E$12)</f>
        <v>8.1797000000000004</v>
      </c>
      <c r="H460" s="66">
        <f>14.8647* CHOOSE(CONTROL!$C$23, $C$12, 100%, $E$12)</f>
        <v>14.864699999999999</v>
      </c>
      <c r="I460" s="66">
        <f>14.8696 * CHOOSE(CONTROL!$C$23, $C$12, 100%, $E$12)</f>
        <v>14.8696</v>
      </c>
      <c r="J460" s="66">
        <f>14.8647 * CHOOSE(CONTROL!$C$23, $C$12, 100%, $E$12)</f>
        <v>14.864699999999999</v>
      </c>
      <c r="K460" s="66">
        <f>14.8696 * CHOOSE(CONTROL!$C$23, $C$12, 100%, $E$12)</f>
        <v>14.8696</v>
      </c>
      <c r="L460" s="66">
        <f>8.1748 * CHOOSE(CONTROL!$C$23, $C$12, 100%, $E$12)</f>
        <v>8.1747999999999994</v>
      </c>
      <c r="M460" s="66">
        <f>8.1797 * CHOOSE(CONTROL!$C$23, $C$12, 100%, $E$12)</f>
        <v>8.1797000000000004</v>
      </c>
      <c r="N460" s="66">
        <f>8.1748 * CHOOSE(CONTROL!$C$23, $C$12, 100%, $E$12)</f>
        <v>8.1747999999999994</v>
      </c>
      <c r="O460" s="66">
        <f>8.1797 * CHOOSE(CONTROL!$C$23, $C$12, 100%, $E$12)</f>
        <v>8.1797000000000004</v>
      </c>
    </row>
    <row r="461" spans="1:15" ht="15">
      <c r="A461" s="13">
        <v>55185</v>
      </c>
      <c r="B461" s="65">
        <f>6.8495 * CHOOSE(CONTROL!$C$23, $C$12, 100%, $E$12)</f>
        <v>6.8494999999999999</v>
      </c>
      <c r="C461" s="65">
        <f>6.8495 * CHOOSE(CONTROL!$C$23, $C$12, 100%, $E$12)</f>
        <v>6.8494999999999999</v>
      </c>
      <c r="D461" s="65">
        <f>6.8535 * CHOOSE(CONTROL!$C$23, $C$12, 100%, $E$12)</f>
        <v>6.8535000000000004</v>
      </c>
      <c r="E461" s="66">
        <f>8.0392 * CHOOSE(CONTROL!$C$23, $C$12, 100%, $E$12)</f>
        <v>8.0391999999999992</v>
      </c>
      <c r="F461" s="66">
        <f>8.0392 * CHOOSE(CONTROL!$C$23, $C$12, 100%, $E$12)</f>
        <v>8.0391999999999992</v>
      </c>
      <c r="G461" s="66">
        <f>8.0441 * CHOOSE(CONTROL!$C$23, $C$12, 100%, $E$12)</f>
        <v>8.0441000000000003</v>
      </c>
      <c r="H461" s="66">
        <f>14.8957* CHOOSE(CONTROL!$C$23, $C$12, 100%, $E$12)</f>
        <v>14.8957</v>
      </c>
      <c r="I461" s="66">
        <f>14.9006 * CHOOSE(CONTROL!$C$23, $C$12, 100%, $E$12)</f>
        <v>14.900600000000001</v>
      </c>
      <c r="J461" s="66">
        <f>14.8957 * CHOOSE(CONTROL!$C$23, $C$12, 100%, $E$12)</f>
        <v>14.8957</v>
      </c>
      <c r="K461" s="66">
        <f>14.9006 * CHOOSE(CONTROL!$C$23, $C$12, 100%, $E$12)</f>
        <v>14.900600000000001</v>
      </c>
      <c r="L461" s="66">
        <f>8.0392 * CHOOSE(CONTROL!$C$23, $C$12, 100%, $E$12)</f>
        <v>8.0391999999999992</v>
      </c>
      <c r="M461" s="66">
        <f>8.0441 * CHOOSE(CONTROL!$C$23, $C$12, 100%, $E$12)</f>
        <v>8.0441000000000003</v>
      </c>
      <c r="N461" s="66">
        <f>8.0392 * CHOOSE(CONTROL!$C$23, $C$12, 100%, $E$12)</f>
        <v>8.0391999999999992</v>
      </c>
      <c r="O461" s="66">
        <f>8.0441 * CHOOSE(CONTROL!$C$23, $C$12, 100%, $E$12)</f>
        <v>8.0441000000000003</v>
      </c>
    </row>
    <row r="462" spans="1:15" ht="15">
      <c r="A462" s="13">
        <v>55213</v>
      </c>
      <c r="B462" s="65">
        <f>6.8464 * CHOOSE(CONTROL!$C$23, $C$12, 100%, $E$12)</f>
        <v>6.8464</v>
      </c>
      <c r="C462" s="65">
        <f>6.8464 * CHOOSE(CONTROL!$C$23, $C$12, 100%, $E$12)</f>
        <v>6.8464</v>
      </c>
      <c r="D462" s="65">
        <f>6.8504 * CHOOSE(CONTROL!$C$23, $C$12, 100%, $E$12)</f>
        <v>6.8503999999999996</v>
      </c>
      <c r="E462" s="66">
        <f>8.1423 * CHOOSE(CONTROL!$C$23, $C$12, 100%, $E$12)</f>
        <v>8.1423000000000005</v>
      </c>
      <c r="F462" s="66">
        <f>8.1423 * CHOOSE(CONTROL!$C$23, $C$12, 100%, $E$12)</f>
        <v>8.1423000000000005</v>
      </c>
      <c r="G462" s="66">
        <f>8.1472 * CHOOSE(CONTROL!$C$23, $C$12, 100%, $E$12)</f>
        <v>8.1471999999999998</v>
      </c>
      <c r="H462" s="66">
        <f>14.9267* CHOOSE(CONTROL!$C$23, $C$12, 100%, $E$12)</f>
        <v>14.9267</v>
      </c>
      <c r="I462" s="66">
        <f>14.9316 * CHOOSE(CONTROL!$C$23, $C$12, 100%, $E$12)</f>
        <v>14.9316</v>
      </c>
      <c r="J462" s="66">
        <f>14.9267 * CHOOSE(CONTROL!$C$23, $C$12, 100%, $E$12)</f>
        <v>14.9267</v>
      </c>
      <c r="K462" s="66">
        <f>14.9316 * CHOOSE(CONTROL!$C$23, $C$12, 100%, $E$12)</f>
        <v>14.9316</v>
      </c>
      <c r="L462" s="66">
        <f>8.1423 * CHOOSE(CONTROL!$C$23, $C$12, 100%, $E$12)</f>
        <v>8.1423000000000005</v>
      </c>
      <c r="M462" s="66">
        <f>8.1472 * CHOOSE(CONTROL!$C$23, $C$12, 100%, $E$12)</f>
        <v>8.1471999999999998</v>
      </c>
      <c r="N462" s="66">
        <f>8.1423 * CHOOSE(CONTROL!$C$23, $C$12, 100%, $E$12)</f>
        <v>8.1423000000000005</v>
      </c>
      <c r="O462" s="66">
        <f>8.1472 * CHOOSE(CONTROL!$C$23, $C$12, 100%, $E$12)</f>
        <v>8.1471999999999998</v>
      </c>
    </row>
    <row r="463" spans="1:15" ht="15">
      <c r="A463" s="13">
        <v>55244</v>
      </c>
      <c r="B463" s="65">
        <f>6.8465 * CHOOSE(CONTROL!$C$23, $C$12, 100%, $E$12)</f>
        <v>6.8464999999999998</v>
      </c>
      <c r="C463" s="65">
        <f>6.8465 * CHOOSE(CONTROL!$C$23, $C$12, 100%, $E$12)</f>
        <v>6.8464999999999998</v>
      </c>
      <c r="D463" s="65">
        <f>6.8505 * CHOOSE(CONTROL!$C$23, $C$12, 100%, $E$12)</f>
        <v>6.8505000000000003</v>
      </c>
      <c r="E463" s="66">
        <f>8.251 * CHOOSE(CONTROL!$C$23, $C$12, 100%, $E$12)</f>
        <v>8.2509999999999994</v>
      </c>
      <c r="F463" s="66">
        <f>8.251 * CHOOSE(CONTROL!$C$23, $C$12, 100%, $E$12)</f>
        <v>8.2509999999999994</v>
      </c>
      <c r="G463" s="66">
        <f>8.2559 * CHOOSE(CONTROL!$C$23, $C$12, 100%, $E$12)</f>
        <v>8.2559000000000005</v>
      </c>
      <c r="H463" s="66">
        <f>14.9578* CHOOSE(CONTROL!$C$23, $C$12, 100%, $E$12)</f>
        <v>14.957800000000001</v>
      </c>
      <c r="I463" s="66">
        <f>14.9627 * CHOOSE(CONTROL!$C$23, $C$12, 100%, $E$12)</f>
        <v>14.9627</v>
      </c>
      <c r="J463" s="66">
        <f>14.9578 * CHOOSE(CONTROL!$C$23, $C$12, 100%, $E$12)</f>
        <v>14.957800000000001</v>
      </c>
      <c r="K463" s="66">
        <f>14.9627 * CHOOSE(CONTROL!$C$23, $C$12, 100%, $E$12)</f>
        <v>14.9627</v>
      </c>
      <c r="L463" s="66">
        <f>8.251 * CHOOSE(CONTROL!$C$23, $C$12, 100%, $E$12)</f>
        <v>8.2509999999999994</v>
      </c>
      <c r="M463" s="66">
        <f>8.2559 * CHOOSE(CONTROL!$C$23, $C$12, 100%, $E$12)</f>
        <v>8.2559000000000005</v>
      </c>
      <c r="N463" s="66">
        <f>8.251 * CHOOSE(CONTROL!$C$23, $C$12, 100%, $E$12)</f>
        <v>8.2509999999999994</v>
      </c>
      <c r="O463" s="66">
        <f>8.2559 * CHOOSE(CONTROL!$C$23, $C$12, 100%, $E$12)</f>
        <v>8.2559000000000005</v>
      </c>
    </row>
    <row r="464" spans="1:15" ht="15">
      <c r="A464" s="13">
        <v>55274</v>
      </c>
      <c r="B464" s="65">
        <f>6.8465 * CHOOSE(CONTROL!$C$23, $C$12, 100%, $E$12)</f>
        <v>6.8464999999999998</v>
      </c>
      <c r="C464" s="65">
        <f>6.8465 * CHOOSE(CONTROL!$C$23, $C$12, 100%, $E$12)</f>
        <v>6.8464999999999998</v>
      </c>
      <c r="D464" s="65">
        <f>6.8521 * CHOOSE(CONTROL!$C$23, $C$12, 100%, $E$12)</f>
        <v>6.8521000000000001</v>
      </c>
      <c r="E464" s="66">
        <f>8.2934 * CHOOSE(CONTROL!$C$23, $C$12, 100%, $E$12)</f>
        <v>8.2934000000000001</v>
      </c>
      <c r="F464" s="66">
        <f>8.2934 * CHOOSE(CONTROL!$C$23, $C$12, 100%, $E$12)</f>
        <v>8.2934000000000001</v>
      </c>
      <c r="G464" s="66">
        <f>8.3002 * CHOOSE(CONTROL!$C$23, $C$12, 100%, $E$12)</f>
        <v>8.3002000000000002</v>
      </c>
      <c r="H464" s="66">
        <f>14.989* CHOOSE(CONTROL!$C$23, $C$12, 100%, $E$12)</f>
        <v>14.989000000000001</v>
      </c>
      <c r="I464" s="66">
        <f>14.9959 * CHOOSE(CONTROL!$C$23, $C$12, 100%, $E$12)</f>
        <v>14.995900000000001</v>
      </c>
      <c r="J464" s="66">
        <f>14.989 * CHOOSE(CONTROL!$C$23, $C$12, 100%, $E$12)</f>
        <v>14.989000000000001</v>
      </c>
      <c r="K464" s="66">
        <f>14.9959 * CHOOSE(CONTROL!$C$23, $C$12, 100%, $E$12)</f>
        <v>14.995900000000001</v>
      </c>
      <c r="L464" s="66">
        <f>8.2934 * CHOOSE(CONTROL!$C$23, $C$12, 100%, $E$12)</f>
        <v>8.2934000000000001</v>
      </c>
      <c r="M464" s="66">
        <f>8.3002 * CHOOSE(CONTROL!$C$23, $C$12, 100%, $E$12)</f>
        <v>8.3002000000000002</v>
      </c>
      <c r="N464" s="66">
        <f>8.2934 * CHOOSE(CONTROL!$C$23, $C$12, 100%, $E$12)</f>
        <v>8.2934000000000001</v>
      </c>
      <c r="O464" s="66">
        <f>8.3002 * CHOOSE(CONTROL!$C$23, $C$12, 100%, $E$12)</f>
        <v>8.3002000000000002</v>
      </c>
    </row>
    <row r="465" spans="1:15" ht="15">
      <c r="A465" s="13">
        <v>55305</v>
      </c>
      <c r="B465" s="65">
        <f>6.8526 * CHOOSE(CONTROL!$C$23, $C$12, 100%, $E$12)</f>
        <v>6.8525999999999998</v>
      </c>
      <c r="C465" s="65">
        <f>6.8526 * CHOOSE(CONTROL!$C$23, $C$12, 100%, $E$12)</f>
        <v>6.8525999999999998</v>
      </c>
      <c r="D465" s="65">
        <f>6.8582 * CHOOSE(CONTROL!$C$23, $C$12, 100%, $E$12)</f>
        <v>6.8582000000000001</v>
      </c>
      <c r="E465" s="66">
        <f>8.2552 * CHOOSE(CONTROL!$C$23, $C$12, 100%, $E$12)</f>
        <v>8.2552000000000003</v>
      </c>
      <c r="F465" s="66">
        <f>8.2552 * CHOOSE(CONTROL!$C$23, $C$12, 100%, $E$12)</f>
        <v>8.2552000000000003</v>
      </c>
      <c r="G465" s="66">
        <f>8.2621 * CHOOSE(CONTROL!$C$23, $C$12, 100%, $E$12)</f>
        <v>8.2621000000000002</v>
      </c>
      <c r="H465" s="66">
        <f>15.0202* CHOOSE(CONTROL!$C$23, $C$12, 100%, $E$12)</f>
        <v>15.020200000000001</v>
      </c>
      <c r="I465" s="66">
        <f>15.0271 * CHOOSE(CONTROL!$C$23, $C$12, 100%, $E$12)</f>
        <v>15.027100000000001</v>
      </c>
      <c r="J465" s="66">
        <f>15.0202 * CHOOSE(CONTROL!$C$23, $C$12, 100%, $E$12)</f>
        <v>15.020200000000001</v>
      </c>
      <c r="K465" s="66">
        <f>15.0271 * CHOOSE(CONTROL!$C$23, $C$12, 100%, $E$12)</f>
        <v>15.027100000000001</v>
      </c>
      <c r="L465" s="66">
        <f>8.2552 * CHOOSE(CONTROL!$C$23, $C$12, 100%, $E$12)</f>
        <v>8.2552000000000003</v>
      </c>
      <c r="M465" s="66">
        <f>8.2621 * CHOOSE(CONTROL!$C$23, $C$12, 100%, $E$12)</f>
        <v>8.2621000000000002</v>
      </c>
      <c r="N465" s="66">
        <f>8.2552 * CHOOSE(CONTROL!$C$23, $C$12, 100%, $E$12)</f>
        <v>8.2552000000000003</v>
      </c>
      <c r="O465" s="66">
        <f>8.2621 * CHOOSE(CONTROL!$C$23, $C$12, 100%, $E$12)</f>
        <v>8.2621000000000002</v>
      </c>
    </row>
    <row r="466" spans="1:15" ht="15">
      <c r="A466" s="13">
        <v>55335</v>
      </c>
      <c r="B466" s="65">
        <f>6.9616 * CHOOSE(CONTROL!$C$23, $C$12, 100%, $E$12)</f>
        <v>6.9615999999999998</v>
      </c>
      <c r="C466" s="65">
        <f>6.9616 * CHOOSE(CONTROL!$C$23, $C$12, 100%, $E$12)</f>
        <v>6.9615999999999998</v>
      </c>
      <c r="D466" s="65">
        <f>6.9672 * CHOOSE(CONTROL!$C$23, $C$12, 100%, $E$12)</f>
        <v>6.9672000000000001</v>
      </c>
      <c r="E466" s="66">
        <f>8.3922 * CHOOSE(CONTROL!$C$23, $C$12, 100%, $E$12)</f>
        <v>8.3922000000000008</v>
      </c>
      <c r="F466" s="66">
        <f>8.3922 * CHOOSE(CONTROL!$C$23, $C$12, 100%, $E$12)</f>
        <v>8.3922000000000008</v>
      </c>
      <c r="G466" s="66">
        <f>8.3991 * CHOOSE(CONTROL!$C$23, $C$12, 100%, $E$12)</f>
        <v>8.3991000000000007</v>
      </c>
      <c r="H466" s="66">
        <f>15.0515* CHOOSE(CONTROL!$C$23, $C$12, 100%, $E$12)</f>
        <v>15.051500000000001</v>
      </c>
      <c r="I466" s="66">
        <f>15.0584 * CHOOSE(CONTROL!$C$23, $C$12, 100%, $E$12)</f>
        <v>15.058400000000001</v>
      </c>
      <c r="J466" s="66">
        <f>15.0515 * CHOOSE(CONTROL!$C$23, $C$12, 100%, $E$12)</f>
        <v>15.051500000000001</v>
      </c>
      <c r="K466" s="66">
        <f>15.0584 * CHOOSE(CONTROL!$C$23, $C$12, 100%, $E$12)</f>
        <v>15.058400000000001</v>
      </c>
      <c r="L466" s="66">
        <f>8.3922 * CHOOSE(CONTROL!$C$23, $C$12, 100%, $E$12)</f>
        <v>8.3922000000000008</v>
      </c>
      <c r="M466" s="66">
        <f>8.3991 * CHOOSE(CONTROL!$C$23, $C$12, 100%, $E$12)</f>
        <v>8.3991000000000007</v>
      </c>
      <c r="N466" s="66">
        <f>8.3922 * CHOOSE(CONTROL!$C$23, $C$12, 100%, $E$12)</f>
        <v>8.3922000000000008</v>
      </c>
      <c r="O466" s="66">
        <f>8.3991 * CHOOSE(CONTROL!$C$23, $C$12, 100%, $E$12)</f>
        <v>8.3991000000000007</v>
      </c>
    </row>
    <row r="467" spans="1:15" ht="15">
      <c r="A467" s="13">
        <v>55366</v>
      </c>
      <c r="B467" s="65">
        <f>6.9683 * CHOOSE(CONTROL!$C$23, $C$12, 100%, $E$12)</f>
        <v>6.9683000000000002</v>
      </c>
      <c r="C467" s="65">
        <f>6.9683 * CHOOSE(CONTROL!$C$23, $C$12, 100%, $E$12)</f>
        <v>6.9683000000000002</v>
      </c>
      <c r="D467" s="65">
        <f>6.9739 * CHOOSE(CONTROL!$C$23, $C$12, 100%, $E$12)</f>
        <v>6.9739000000000004</v>
      </c>
      <c r="E467" s="66">
        <f>8.2698 * CHOOSE(CONTROL!$C$23, $C$12, 100%, $E$12)</f>
        <v>8.2698</v>
      </c>
      <c r="F467" s="66">
        <f>8.2698 * CHOOSE(CONTROL!$C$23, $C$12, 100%, $E$12)</f>
        <v>8.2698</v>
      </c>
      <c r="G467" s="66">
        <f>8.2767 * CHOOSE(CONTROL!$C$23, $C$12, 100%, $E$12)</f>
        <v>8.2766999999999999</v>
      </c>
      <c r="H467" s="66">
        <f>15.0828* CHOOSE(CONTROL!$C$23, $C$12, 100%, $E$12)</f>
        <v>15.082800000000001</v>
      </c>
      <c r="I467" s="66">
        <f>15.0897 * CHOOSE(CONTROL!$C$23, $C$12, 100%, $E$12)</f>
        <v>15.089700000000001</v>
      </c>
      <c r="J467" s="66">
        <f>15.0828 * CHOOSE(CONTROL!$C$23, $C$12, 100%, $E$12)</f>
        <v>15.082800000000001</v>
      </c>
      <c r="K467" s="66">
        <f>15.0897 * CHOOSE(CONTROL!$C$23, $C$12, 100%, $E$12)</f>
        <v>15.089700000000001</v>
      </c>
      <c r="L467" s="66">
        <f>8.2698 * CHOOSE(CONTROL!$C$23, $C$12, 100%, $E$12)</f>
        <v>8.2698</v>
      </c>
      <c r="M467" s="66">
        <f>8.2767 * CHOOSE(CONTROL!$C$23, $C$12, 100%, $E$12)</f>
        <v>8.2766999999999999</v>
      </c>
      <c r="N467" s="66">
        <f>8.2698 * CHOOSE(CONTROL!$C$23, $C$12, 100%, $E$12)</f>
        <v>8.2698</v>
      </c>
      <c r="O467" s="66">
        <f>8.2767 * CHOOSE(CONTROL!$C$23, $C$12, 100%, $E$12)</f>
        <v>8.2766999999999999</v>
      </c>
    </row>
    <row r="468" spans="1:15" ht="15">
      <c r="A468" s="13">
        <v>55397</v>
      </c>
      <c r="B468" s="65">
        <f>6.9653 * CHOOSE(CONTROL!$C$23, $C$12, 100%, $E$12)</f>
        <v>6.9653</v>
      </c>
      <c r="C468" s="65">
        <f>6.9653 * CHOOSE(CONTROL!$C$23, $C$12, 100%, $E$12)</f>
        <v>6.9653</v>
      </c>
      <c r="D468" s="65">
        <f>6.9709 * CHOOSE(CONTROL!$C$23, $C$12, 100%, $E$12)</f>
        <v>6.9709000000000003</v>
      </c>
      <c r="E468" s="66">
        <f>8.2536 * CHOOSE(CONTROL!$C$23, $C$12, 100%, $E$12)</f>
        <v>8.2536000000000005</v>
      </c>
      <c r="F468" s="66">
        <f>8.2536 * CHOOSE(CONTROL!$C$23, $C$12, 100%, $E$12)</f>
        <v>8.2536000000000005</v>
      </c>
      <c r="G468" s="66">
        <f>8.2604 * CHOOSE(CONTROL!$C$23, $C$12, 100%, $E$12)</f>
        <v>8.2604000000000006</v>
      </c>
      <c r="H468" s="66">
        <f>15.1143* CHOOSE(CONTROL!$C$23, $C$12, 100%, $E$12)</f>
        <v>15.1143</v>
      </c>
      <c r="I468" s="66">
        <f>15.1212 * CHOOSE(CONTROL!$C$23, $C$12, 100%, $E$12)</f>
        <v>15.1212</v>
      </c>
      <c r="J468" s="66">
        <f>15.1143 * CHOOSE(CONTROL!$C$23, $C$12, 100%, $E$12)</f>
        <v>15.1143</v>
      </c>
      <c r="K468" s="66">
        <f>15.1212 * CHOOSE(CONTROL!$C$23, $C$12, 100%, $E$12)</f>
        <v>15.1212</v>
      </c>
      <c r="L468" s="66">
        <f>8.2536 * CHOOSE(CONTROL!$C$23, $C$12, 100%, $E$12)</f>
        <v>8.2536000000000005</v>
      </c>
      <c r="M468" s="66">
        <f>8.2604 * CHOOSE(CONTROL!$C$23, $C$12, 100%, $E$12)</f>
        <v>8.2604000000000006</v>
      </c>
      <c r="N468" s="66">
        <f>8.2536 * CHOOSE(CONTROL!$C$23, $C$12, 100%, $E$12)</f>
        <v>8.2536000000000005</v>
      </c>
      <c r="O468" s="66">
        <f>8.2604 * CHOOSE(CONTROL!$C$23, $C$12, 100%, $E$12)</f>
        <v>8.2604000000000006</v>
      </c>
    </row>
    <row r="469" spans="1:15" ht="15">
      <c r="A469" s="13">
        <v>55427</v>
      </c>
      <c r="B469" s="65">
        <f>6.9701 * CHOOSE(CONTROL!$C$23, $C$12, 100%, $E$12)</f>
        <v>6.9701000000000004</v>
      </c>
      <c r="C469" s="65">
        <f>6.9701 * CHOOSE(CONTROL!$C$23, $C$12, 100%, $E$12)</f>
        <v>6.9701000000000004</v>
      </c>
      <c r="D469" s="65">
        <f>6.9741 * CHOOSE(CONTROL!$C$23, $C$12, 100%, $E$12)</f>
        <v>6.9741</v>
      </c>
      <c r="E469" s="66">
        <f>8.2966 * CHOOSE(CONTROL!$C$23, $C$12, 100%, $E$12)</f>
        <v>8.2965999999999998</v>
      </c>
      <c r="F469" s="66">
        <f>8.2966 * CHOOSE(CONTROL!$C$23, $C$12, 100%, $E$12)</f>
        <v>8.2965999999999998</v>
      </c>
      <c r="G469" s="66">
        <f>8.3015 * CHOOSE(CONTROL!$C$23, $C$12, 100%, $E$12)</f>
        <v>8.3015000000000008</v>
      </c>
      <c r="H469" s="66">
        <f>15.1458* CHOOSE(CONTROL!$C$23, $C$12, 100%, $E$12)</f>
        <v>15.145799999999999</v>
      </c>
      <c r="I469" s="66">
        <f>15.1507 * CHOOSE(CONTROL!$C$23, $C$12, 100%, $E$12)</f>
        <v>15.150700000000001</v>
      </c>
      <c r="J469" s="66">
        <f>15.1458 * CHOOSE(CONTROL!$C$23, $C$12, 100%, $E$12)</f>
        <v>15.145799999999999</v>
      </c>
      <c r="K469" s="66">
        <f>15.1507 * CHOOSE(CONTROL!$C$23, $C$12, 100%, $E$12)</f>
        <v>15.150700000000001</v>
      </c>
      <c r="L469" s="66">
        <f>8.2966 * CHOOSE(CONTROL!$C$23, $C$12, 100%, $E$12)</f>
        <v>8.2965999999999998</v>
      </c>
      <c r="M469" s="66">
        <f>8.3015 * CHOOSE(CONTROL!$C$23, $C$12, 100%, $E$12)</f>
        <v>8.3015000000000008</v>
      </c>
      <c r="N469" s="66">
        <f>8.2966 * CHOOSE(CONTROL!$C$23, $C$12, 100%, $E$12)</f>
        <v>8.2965999999999998</v>
      </c>
      <c r="O469" s="66">
        <f>8.3015 * CHOOSE(CONTROL!$C$23, $C$12, 100%, $E$12)</f>
        <v>8.3015000000000008</v>
      </c>
    </row>
    <row r="470" spans="1:15" ht="15">
      <c r="A470" s="13">
        <v>55458</v>
      </c>
      <c r="B470" s="65">
        <f>6.9731 * CHOOSE(CONTROL!$C$23, $C$12, 100%, $E$12)</f>
        <v>6.9730999999999996</v>
      </c>
      <c r="C470" s="65">
        <f>6.9731 * CHOOSE(CONTROL!$C$23, $C$12, 100%, $E$12)</f>
        <v>6.9730999999999996</v>
      </c>
      <c r="D470" s="65">
        <f>6.9771 * CHOOSE(CONTROL!$C$23, $C$12, 100%, $E$12)</f>
        <v>6.9771000000000001</v>
      </c>
      <c r="E470" s="66">
        <f>8.327 * CHOOSE(CONTROL!$C$23, $C$12, 100%, $E$12)</f>
        <v>8.327</v>
      </c>
      <c r="F470" s="66">
        <f>8.327 * CHOOSE(CONTROL!$C$23, $C$12, 100%, $E$12)</f>
        <v>8.327</v>
      </c>
      <c r="G470" s="66">
        <f>8.3319 * CHOOSE(CONTROL!$C$23, $C$12, 100%, $E$12)</f>
        <v>8.3318999999999992</v>
      </c>
      <c r="H470" s="66">
        <f>15.1773* CHOOSE(CONTROL!$C$23, $C$12, 100%, $E$12)</f>
        <v>15.177300000000001</v>
      </c>
      <c r="I470" s="66">
        <f>15.1822 * CHOOSE(CONTROL!$C$23, $C$12, 100%, $E$12)</f>
        <v>15.1822</v>
      </c>
      <c r="J470" s="66">
        <f>15.1773 * CHOOSE(CONTROL!$C$23, $C$12, 100%, $E$12)</f>
        <v>15.177300000000001</v>
      </c>
      <c r="K470" s="66">
        <f>15.1822 * CHOOSE(CONTROL!$C$23, $C$12, 100%, $E$12)</f>
        <v>15.1822</v>
      </c>
      <c r="L470" s="66">
        <f>8.327 * CHOOSE(CONTROL!$C$23, $C$12, 100%, $E$12)</f>
        <v>8.327</v>
      </c>
      <c r="M470" s="66">
        <f>8.3319 * CHOOSE(CONTROL!$C$23, $C$12, 100%, $E$12)</f>
        <v>8.3318999999999992</v>
      </c>
      <c r="N470" s="66">
        <f>8.327 * CHOOSE(CONTROL!$C$23, $C$12, 100%, $E$12)</f>
        <v>8.327</v>
      </c>
      <c r="O470" s="66">
        <f>8.3319 * CHOOSE(CONTROL!$C$23, $C$12, 100%, $E$12)</f>
        <v>8.3318999999999992</v>
      </c>
    </row>
    <row r="471" spans="1:15" ht="15">
      <c r="A471" s="13">
        <v>55488</v>
      </c>
      <c r="B471" s="65">
        <f>6.9731 * CHOOSE(CONTROL!$C$23, $C$12, 100%, $E$12)</f>
        <v>6.9730999999999996</v>
      </c>
      <c r="C471" s="65">
        <f>6.9731 * CHOOSE(CONTROL!$C$23, $C$12, 100%, $E$12)</f>
        <v>6.9730999999999996</v>
      </c>
      <c r="D471" s="65">
        <f>6.9771 * CHOOSE(CONTROL!$C$23, $C$12, 100%, $E$12)</f>
        <v>6.9771000000000001</v>
      </c>
      <c r="E471" s="66">
        <f>8.2564 * CHOOSE(CONTROL!$C$23, $C$12, 100%, $E$12)</f>
        <v>8.2563999999999993</v>
      </c>
      <c r="F471" s="66">
        <f>8.2564 * CHOOSE(CONTROL!$C$23, $C$12, 100%, $E$12)</f>
        <v>8.2563999999999993</v>
      </c>
      <c r="G471" s="66">
        <f>8.2613 * CHOOSE(CONTROL!$C$23, $C$12, 100%, $E$12)</f>
        <v>8.2613000000000003</v>
      </c>
      <c r="H471" s="66">
        <f>15.2089* CHOOSE(CONTROL!$C$23, $C$12, 100%, $E$12)</f>
        <v>15.2089</v>
      </c>
      <c r="I471" s="66">
        <f>15.2139 * CHOOSE(CONTROL!$C$23, $C$12, 100%, $E$12)</f>
        <v>15.213900000000001</v>
      </c>
      <c r="J471" s="66">
        <f>15.2089 * CHOOSE(CONTROL!$C$23, $C$12, 100%, $E$12)</f>
        <v>15.2089</v>
      </c>
      <c r="K471" s="66">
        <f>15.2139 * CHOOSE(CONTROL!$C$23, $C$12, 100%, $E$12)</f>
        <v>15.213900000000001</v>
      </c>
      <c r="L471" s="66">
        <f>8.2564 * CHOOSE(CONTROL!$C$23, $C$12, 100%, $E$12)</f>
        <v>8.2563999999999993</v>
      </c>
      <c r="M471" s="66">
        <f>8.2613 * CHOOSE(CONTROL!$C$23, $C$12, 100%, $E$12)</f>
        <v>8.2613000000000003</v>
      </c>
      <c r="N471" s="66">
        <f>8.2564 * CHOOSE(CONTROL!$C$23, $C$12, 100%, $E$12)</f>
        <v>8.2563999999999993</v>
      </c>
      <c r="O471" s="66">
        <f>8.2613 * CHOOSE(CONTROL!$C$23, $C$12, 100%, $E$12)</f>
        <v>8.2613000000000003</v>
      </c>
    </row>
    <row r="472" spans="1:15" ht="15">
      <c r="A472" s="13">
        <v>55519</v>
      </c>
      <c r="B472" s="65">
        <f>7.0335 * CHOOSE(CONTROL!$C$23, $C$12, 100%, $E$12)</f>
        <v>7.0335000000000001</v>
      </c>
      <c r="C472" s="65">
        <f>7.0335 * CHOOSE(CONTROL!$C$23, $C$12, 100%, $E$12)</f>
        <v>7.0335000000000001</v>
      </c>
      <c r="D472" s="65">
        <f>7.0375 * CHOOSE(CONTROL!$C$23, $C$12, 100%, $E$12)</f>
        <v>7.0374999999999996</v>
      </c>
      <c r="E472" s="66">
        <f>8.3746 * CHOOSE(CONTROL!$C$23, $C$12, 100%, $E$12)</f>
        <v>8.3745999999999992</v>
      </c>
      <c r="F472" s="66">
        <f>8.3746 * CHOOSE(CONTROL!$C$23, $C$12, 100%, $E$12)</f>
        <v>8.3745999999999992</v>
      </c>
      <c r="G472" s="66">
        <f>8.3795 * CHOOSE(CONTROL!$C$23, $C$12, 100%, $E$12)</f>
        <v>8.3795000000000002</v>
      </c>
      <c r="H472" s="66">
        <f>15.2406* CHOOSE(CONTROL!$C$23, $C$12, 100%, $E$12)</f>
        <v>15.240600000000001</v>
      </c>
      <c r="I472" s="66">
        <f>15.2455 * CHOOSE(CONTROL!$C$23, $C$12, 100%, $E$12)</f>
        <v>15.2455</v>
      </c>
      <c r="J472" s="66">
        <f>15.2406 * CHOOSE(CONTROL!$C$23, $C$12, 100%, $E$12)</f>
        <v>15.240600000000001</v>
      </c>
      <c r="K472" s="66">
        <f>15.2455 * CHOOSE(CONTROL!$C$23, $C$12, 100%, $E$12)</f>
        <v>15.2455</v>
      </c>
      <c r="L472" s="66">
        <f>8.3746 * CHOOSE(CONTROL!$C$23, $C$12, 100%, $E$12)</f>
        <v>8.3745999999999992</v>
      </c>
      <c r="M472" s="66">
        <f>8.3795 * CHOOSE(CONTROL!$C$23, $C$12, 100%, $E$12)</f>
        <v>8.3795000000000002</v>
      </c>
      <c r="N472" s="66">
        <f>8.3746 * CHOOSE(CONTROL!$C$23, $C$12, 100%, $E$12)</f>
        <v>8.3745999999999992</v>
      </c>
      <c r="O472" s="66">
        <f>8.3795 * CHOOSE(CONTROL!$C$23, $C$12, 100%, $E$12)</f>
        <v>8.3795000000000002</v>
      </c>
    </row>
    <row r="473" spans="1:15" ht="15">
      <c r="A473" s="13">
        <v>55550</v>
      </c>
      <c r="B473" s="65">
        <f>7.0305 * CHOOSE(CONTROL!$C$23, $C$12, 100%, $E$12)</f>
        <v>7.0305</v>
      </c>
      <c r="C473" s="65">
        <f>7.0305 * CHOOSE(CONTROL!$C$23, $C$12, 100%, $E$12)</f>
        <v>7.0305</v>
      </c>
      <c r="D473" s="65">
        <f>7.0345 * CHOOSE(CONTROL!$C$23, $C$12, 100%, $E$12)</f>
        <v>7.0345000000000004</v>
      </c>
      <c r="E473" s="66">
        <f>8.2353 * CHOOSE(CONTROL!$C$23, $C$12, 100%, $E$12)</f>
        <v>8.2353000000000005</v>
      </c>
      <c r="F473" s="66">
        <f>8.2353 * CHOOSE(CONTROL!$C$23, $C$12, 100%, $E$12)</f>
        <v>8.2353000000000005</v>
      </c>
      <c r="G473" s="66">
        <f>8.2402 * CHOOSE(CONTROL!$C$23, $C$12, 100%, $E$12)</f>
        <v>8.2401999999999997</v>
      </c>
      <c r="H473" s="66">
        <f>15.2724* CHOOSE(CONTROL!$C$23, $C$12, 100%, $E$12)</f>
        <v>15.272399999999999</v>
      </c>
      <c r="I473" s="66">
        <f>15.2773 * CHOOSE(CONTROL!$C$23, $C$12, 100%, $E$12)</f>
        <v>15.2773</v>
      </c>
      <c r="J473" s="66">
        <f>15.2724 * CHOOSE(CONTROL!$C$23, $C$12, 100%, $E$12)</f>
        <v>15.272399999999999</v>
      </c>
      <c r="K473" s="66">
        <f>15.2773 * CHOOSE(CONTROL!$C$23, $C$12, 100%, $E$12)</f>
        <v>15.2773</v>
      </c>
      <c r="L473" s="66">
        <f>8.2353 * CHOOSE(CONTROL!$C$23, $C$12, 100%, $E$12)</f>
        <v>8.2353000000000005</v>
      </c>
      <c r="M473" s="66">
        <f>8.2402 * CHOOSE(CONTROL!$C$23, $C$12, 100%, $E$12)</f>
        <v>8.2401999999999997</v>
      </c>
      <c r="N473" s="66">
        <f>8.2353 * CHOOSE(CONTROL!$C$23, $C$12, 100%, $E$12)</f>
        <v>8.2353000000000005</v>
      </c>
      <c r="O473" s="66">
        <f>8.2402 * CHOOSE(CONTROL!$C$23, $C$12, 100%, $E$12)</f>
        <v>8.2401999999999997</v>
      </c>
    </row>
    <row r="474" spans="1:15" ht="15">
      <c r="A474" s="13">
        <v>55579</v>
      </c>
      <c r="B474" s="65">
        <f>7.0274 * CHOOSE(CONTROL!$C$23, $C$12, 100%, $E$12)</f>
        <v>7.0274000000000001</v>
      </c>
      <c r="C474" s="65">
        <f>7.0274 * CHOOSE(CONTROL!$C$23, $C$12, 100%, $E$12)</f>
        <v>7.0274000000000001</v>
      </c>
      <c r="D474" s="65">
        <f>7.0314 * CHOOSE(CONTROL!$C$23, $C$12, 100%, $E$12)</f>
        <v>7.0313999999999997</v>
      </c>
      <c r="E474" s="66">
        <f>8.3413 * CHOOSE(CONTROL!$C$23, $C$12, 100%, $E$12)</f>
        <v>8.3413000000000004</v>
      </c>
      <c r="F474" s="66">
        <f>8.3413 * CHOOSE(CONTROL!$C$23, $C$12, 100%, $E$12)</f>
        <v>8.3413000000000004</v>
      </c>
      <c r="G474" s="66">
        <f>8.3462 * CHOOSE(CONTROL!$C$23, $C$12, 100%, $E$12)</f>
        <v>8.3461999999999996</v>
      </c>
      <c r="H474" s="66">
        <f>15.3042* CHOOSE(CONTROL!$C$23, $C$12, 100%, $E$12)</f>
        <v>15.3042</v>
      </c>
      <c r="I474" s="66">
        <f>15.3091 * CHOOSE(CONTROL!$C$23, $C$12, 100%, $E$12)</f>
        <v>15.309100000000001</v>
      </c>
      <c r="J474" s="66">
        <f>15.3042 * CHOOSE(CONTROL!$C$23, $C$12, 100%, $E$12)</f>
        <v>15.3042</v>
      </c>
      <c r="K474" s="66">
        <f>15.3091 * CHOOSE(CONTROL!$C$23, $C$12, 100%, $E$12)</f>
        <v>15.309100000000001</v>
      </c>
      <c r="L474" s="66">
        <f>8.3413 * CHOOSE(CONTROL!$C$23, $C$12, 100%, $E$12)</f>
        <v>8.3413000000000004</v>
      </c>
      <c r="M474" s="66">
        <f>8.3462 * CHOOSE(CONTROL!$C$23, $C$12, 100%, $E$12)</f>
        <v>8.3461999999999996</v>
      </c>
      <c r="N474" s="66">
        <f>8.3413 * CHOOSE(CONTROL!$C$23, $C$12, 100%, $E$12)</f>
        <v>8.3413000000000004</v>
      </c>
      <c r="O474" s="66">
        <f>8.3462 * CHOOSE(CONTROL!$C$23, $C$12, 100%, $E$12)</f>
        <v>8.3461999999999996</v>
      </c>
    </row>
    <row r="475" spans="1:15" ht="15">
      <c r="A475" s="13">
        <v>55610</v>
      </c>
      <c r="B475" s="65">
        <f>7.0277 * CHOOSE(CONTROL!$C$23, $C$12, 100%, $E$12)</f>
        <v>7.0277000000000003</v>
      </c>
      <c r="C475" s="65">
        <f>7.0277 * CHOOSE(CONTROL!$C$23, $C$12, 100%, $E$12)</f>
        <v>7.0277000000000003</v>
      </c>
      <c r="D475" s="65">
        <f>7.0317 * CHOOSE(CONTROL!$C$23, $C$12, 100%, $E$12)</f>
        <v>7.0316999999999998</v>
      </c>
      <c r="E475" s="66">
        <f>8.4532 * CHOOSE(CONTROL!$C$23, $C$12, 100%, $E$12)</f>
        <v>8.4532000000000007</v>
      </c>
      <c r="F475" s="66">
        <f>8.4532 * CHOOSE(CONTROL!$C$23, $C$12, 100%, $E$12)</f>
        <v>8.4532000000000007</v>
      </c>
      <c r="G475" s="66">
        <f>8.4581 * CHOOSE(CONTROL!$C$23, $C$12, 100%, $E$12)</f>
        <v>8.4581</v>
      </c>
      <c r="H475" s="66">
        <f>15.3361* CHOOSE(CONTROL!$C$23, $C$12, 100%, $E$12)</f>
        <v>15.3361</v>
      </c>
      <c r="I475" s="66">
        <f>15.341 * CHOOSE(CONTROL!$C$23, $C$12, 100%, $E$12)</f>
        <v>15.340999999999999</v>
      </c>
      <c r="J475" s="66">
        <f>15.3361 * CHOOSE(CONTROL!$C$23, $C$12, 100%, $E$12)</f>
        <v>15.3361</v>
      </c>
      <c r="K475" s="66">
        <f>15.341 * CHOOSE(CONTROL!$C$23, $C$12, 100%, $E$12)</f>
        <v>15.340999999999999</v>
      </c>
      <c r="L475" s="66">
        <f>8.4532 * CHOOSE(CONTROL!$C$23, $C$12, 100%, $E$12)</f>
        <v>8.4532000000000007</v>
      </c>
      <c r="M475" s="66">
        <f>8.4581 * CHOOSE(CONTROL!$C$23, $C$12, 100%, $E$12)</f>
        <v>8.4581</v>
      </c>
      <c r="N475" s="66">
        <f>8.4532 * CHOOSE(CONTROL!$C$23, $C$12, 100%, $E$12)</f>
        <v>8.4532000000000007</v>
      </c>
      <c r="O475" s="66">
        <f>8.4581 * CHOOSE(CONTROL!$C$23, $C$12, 100%, $E$12)</f>
        <v>8.4581</v>
      </c>
    </row>
    <row r="476" spans="1:15" ht="15">
      <c r="A476" s="13">
        <v>55640</v>
      </c>
      <c r="B476" s="65">
        <f>7.0277 * CHOOSE(CONTROL!$C$23, $C$12, 100%, $E$12)</f>
        <v>7.0277000000000003</v>
      </c>
      <c r="C476" s="65">
        <f>7.0277 * CHOOSE(CONTROL!$C$23, $C$12, 100%, $E$12)</f>
        <v>7.0277000000000003</v>
      </c>
      <c r="D476" s="65">
        <f>7.0333 * CHOOSE(CONTROL!$C$23, $C$12, 100%, $E$12)</f>
        <v>7.0332999999999997</v>
      </c>
      <c r="E476" s="66">
        <f>8.4967 * CHOOSE(CONTROL!$C$23, $C$12, 100%, $E$12)</f>
        <v>8.4967000000000006</v>
      </c>
      <c r="F476" s="66">
        <f>8.4967 * CHOOSE(CONTROL!$C$23, $C$12, 100%, $E$12)</f>
        <v>8.4967000000000006</v>
      </c>
      <c r="G476" s="66">
        <f>8.5036 * CHOOSE(CONTROL!$C$23, $C$12, 100%, $E$12)</f>
        <v>8.5036000000000005</v>
      </c>
      <c r="H476" s="66">
        <f>15.368* CHOOSE(CONTROL!$C$23, $C$12, 100%, $E$12)</f>
        <v>15.368</v>
      </c>
      <c r="I476" s="66">
        <f>15.3749 * CHOOSE(CONTROL!$C$23, $C$12, 100%, $E$12)</f>
        <v>15.3749</v>
      </c>
      <c r="J476" s="66">
        <f>15.368 * CHOOSE(CONTROL!$C$23, $C$12, 100%, $E$12)</f>
        <v>15.368</v>
      </c>
      <c r="K476" s="66">
        <f>15.3749 * CHOOSE(CONTROL!$C$23, $C$12, 100%, $E$12)</f>
        <v>15.3749</v>
      </c>
      <c r="L476" s="66">
        <f>8.4967 * CHOOSE(CONTROL!$C$23, $C$12, 100%, $E$12)</f>
        <v>8.4967000000000006</v>
      </c>
      <c r="M476" s="66">
        <f>8.5036 * CHOOSE(CONTROL!$C$23, $C$12, 100%, $E$12)</f>
        <v>8.5036000000000005</v>
      </c>
      <c r="N476" s="66">
        <f>8.4967 * CHOOSE(CONTROL!$C$23, $C$12, 100%, $E$12)</f>
        <v>8.4967000000000006</v>
      </c>
      <c r="O476" s="66">
        <f>8.5036 * CHOOSE(CONTROL!$C$23, $C$12, 100%, $E$12)</f>
        <v>8.5036000000000005</v>
      </c>
    </row>
    <row r="477" spans="1:15" ht="15">
      <c r="A477" s="13">
        <v>55671</v>
      </c>
      <c r="B477" s="65">
        <f>7.0338 * CHOOSE(CONTROL!$C$23, $C$12, 100%, $E$12)</f>
        <v>7.0338000000000003</v>
      </c>
      <c r="C477" s="65">
        <f>7.0338 * CHOOSE(CONTROL!$C$23, $C$12, 100%, $E$12)</f>
        <v>7.0338000000000003</v>
      </c>
      <c r="D477" s="65">
        <f>7.0394 * CHOOSE(CONTROL!$C$23, $C$12, 100%, $E$12)</f>
        <v>7.0393999999999997</v>
      </c>
      <c r="E477" s="66">
        <f>8.4574 * CHOOSE(CONTROL!$C$23, $C$12, 100%, $E$12)</f>
        <v>8.4573999999999998</v>
      </c>
      <c r="F477" s="66">
        <f>8.4574 * CHOOSE(CONTROL!$C$23, $C$12, 100%, $E$12)</f>
        <v>8.4573999999999998</v>
      </c>
      <c r="G477" s="66">
        <f>8.4643 * CHOOSE(CONTROL!$C$23, $C$12, 100%, $E$12)</f>
        <v>8.4642999999999997</v>
      </c>
      <c r="H477" s="66">
        <f>15.4* CHOOSE(CONTROL!$C$23, $C$12, 100%, $E$12)</f>
        <v>15.4</v>
      </c>
      <c r="I477" s="66">
        <f>15.4069 * CHOOSE(CONTROL!$C$23, $C$12, 100%, $E$12)</f>
        <v>15.4069</v>
      </c>
      <c r="J477" s="66">
        <f>15.4 * CHOOSE(CONTROL!$C$23, $C$12, 100%, $E$12)</f>
        <v>15.4</v>
      </c>
      <c r="K477" s="66">
        <f>15.4069 * CHOOSE(CONTROL!$C$23, $C$12, 100%, $E$12)</f>
        <v>15.4069</v>
      </c>
      <c r="L477" s="66">
        <f>8.4574 * CHOOSE(CONTROL!$C$23, $C$12, 100%, $E$12)</f>
        <v>8.4573999999999998</v>
      </c>
      <c r="M477" s="66">
        <f>8.4643 * CHOOSE(CONTROL!$C$23, $C$12, 100%, $E$12)</f>
        <v>8.4642999999999997</v>
      </c>
      <c r="N477" s="66">
        <f>8.4574 * CHOOSE(CONTROL!$C$23, $C$12, 100%, $E$12)</f>
        <v>8.4573999999999998</v>
      </c>
      <c r="O477" s="66">
        <f>8.4643 * CHOOSE(CONTROL!$C$23, $C$12, 100%, $E$12)</f>
        <v>8.4642999999999997</v>
      </c>
    </row>
    <row r="478" spans="1:15" ht="15">
      <c r="A478" s="13">
        <v>55701</v>
      </c>
      <c r="B478" s="65">
        <f>7.1454 * CHOOSE(CONTROL!$C$23, $C$12, 100%, $E$12)</f>
        <v>7.1454000000000004</v>
      </c>
      <c r="C478" s="65">
        <f>7.1454 * CHOOSE(CONTROL!$C$23, $C$12, 100%, $E$12)</f>
        <v>7.1454000000000004</v>
      </c>
      <c r="D478" s="65">
        <f>7.151 * CHOOSE(CONTROL!$C$23, $C$12, 100%, $E$12)</f>
        <v>7.1509999999999998</v>
      </c>
      <c r="E478" s="66">
        <f>8.5975 * CHOOSE(CONTROL!$C$23, $C$12, 100%, $E$12)</f>
        <v>8.5975000000000001</v>
      </c>
      <c r="F478" s="66">
        <f>8.5975 * CHOOSE(CONTROL!$C$23, $C$12, 100%, $E$12)</f>
        <v>8.5975000000000001</v>
      </c>
      <c r="G478" s="66">
        <f>8.6044 * CHOOSE(CONTROL!$C$23, $C$12, 100%, $E$12)</f>
        <v>8.6044</v>
      </c>
      <c r="H478" s="66">
        <f>15.4321* CHOOSE(CONTROL!$C$23, $C$12, 100%, $E$12)</f>
        <v>15.4321</v>
      </c>
      <c r="I478" s="66">
        <f>15.439 * CHOOSE(CONTROL!$C$23, $C$12, 100%, $E$12)</f>
        <v>15.439</v>
      </c>
      <c r="J478" s="66">
        <f>15.4321 * CHOOSE(CONTROL!$C$23, $C$12, 100%, $E$12)</f>
        <v>15.4321</v>
      </c>
      <c r="K478" s="66">
        <f>15.439 * CHOOSE(CONTROL!$C$23, $C$12, 100%, $E$12)</f>
        <v>15.439</v>
      </c>
      <c r="L478" s="66">
        <f>8.5975 * CHOOSE(CONTROL!$C$23, $C$12, 100%, $E$12)</f>
        <v>8.5975000000000001</v>
      </c>
      <c r="M478" s="66">
        <f>8.6044 * CHOOSE(CONTROL!$C$23, $C$12, 100%, $E$12)</f>
        <v>8.6044</v>
      </c>
      <c r="N478" s="66">
        <f>8.5975 * CHOOSE(CONTROL!$C$23, $C$12, 100%, $E$12)</f>
        <v>8.5975000000000001</v>
      </c>
      <c r="O478" s="66">
        <f>8.6044 * CHOOSE(CONTROL!$C$23, $C$12, 100%, $E$12)</f>
        <v>8.6044</v>
      </c>
    </row>
    <row r="479" spans="1:15" ht="15">
      <c r="A479" s="13">
        <v>55732</v>
      </c>
      <c r="B479" s="65">
        <f>7.1521 * CHOOSE(CONTROL!$C$23, $C$12, 100%, $E$12)</f>
        <v>7.1520999999999999</v>
      </c>
      <c r="C479" s="65">
        <f>7.1521 * CHOOSE(CONTROL!$C$23, $C$12, 100%, $E$12)</f>
        <v>7.1520999999999999</v>
      </c>
      <c r="D479" s="65">
        <f>7.1577 * CHOOSE(CONTROL!$C$23, $C$12, 100%, $E$12)</f>
        <v>7.1577000000000002</v>
      </c>
      <c r="E479" s="66">
        <f>8.4715 * CHOOSE(CONTROL!$C$23, $C$12, 100%, $E$12)</f>
        <v>8.4715000000000007</v>
      </c>
      <c r="F479" s="66">
        <f>8.4715 * CHOOSE(CONTROL!$C$23, $C$12, 100%, $E$12)</f>
        <v>8.4715000000000007</v>
      </c>
      <c r="G479" s="66">
        <f>8.4784 * CHOOSE(CONTROL!$C$23, $C$12, 100%, $E$12)</f>
        <v>8.4784000000000006</v>
      </c>
      <c r="H479" s="66">
        <f>15.4643* CHOOSE(CONTROL!$C$23, $C$12, 100%, $E$12)</f>
        <v>15.4643</v>
      </c>
      <c r="I479" s="66">
        <f>15.4712 * CHOOSE(CONTROL!$C$23, $C$12, 100%, $E$12)</f>
        <v>15.4712</v>
      </c>
      <c r="J479" s="66">
        <f>15.4643 * CHOOSE(CONTROL!$C$23, $C$12, 100%, $E$12)</f>
        <v>15.4643</v>
      </c>
      <c r="K479" s="66">
        <f>15.4712 * CHOOSE(CONTROL!$C$23, $C$12, 100%, $E$12)</f>
        <v>15.4712</v>
      </c>
      <c r="L479" s="66">
        <f>8.4715 * CHOOSE(CONTROL!$C$23, $C$12, 100%, $E$12)</f>
        <v>8.4715000000000007</v>
      </c>
      <c r="M479" s="66">
        <f>8.4784 * CHOOSE(CONTROL!$C$23, $C$12, 100%, $E$12)</f>
        <v>8.4784000000000006</v>
      </c>
      <c r="N479" s="66">
        <f>8.4715 * CHOOSE(CONTROL!$C$23, $C$12, 100%, $E$12)</f>
        <v>8.4715000000000007</v>
      </c>
      <c r="O479" s="66">
        <f>8.4784 * CHOOSE(CONTROL!$C$23, $C$12, 100%, $E$12)</f>
        <v>8.4784000000000006</v>
      </c>
    </row>
    <row r="480" spans="1:15" ht="15">
      <c r="A480" s="13">
        <v>55763</v>
      </c>
      <c r="B480" s="65">
        <f>7.149 * CHOOSE(CONTROL!$C$23, $C$12, 100%, $E$12)</f>
        <v>7.149</v>
      </c>
      <c r="C480" s="65">
        <f>7.149 * CHOOSE(CONTROL!$C$23, $C$12, 100%, $E$12)</f>
        <v>7.149</v>
      </c>
      <c r="D480" s="65">
        <f>7.1547 * CHOOSE(CONTROL!$C$23, $C$12, 100%, $E$12)</f>
        <v>7.1547000000000001</v>
      </c>
      <c r="E480" s="66">
        <f>8.4549 * CHOOSE(CONTROL!$C$23, $C$12, 100%, $E$12)</f>
        <v>8.4549000000000003</v>
      </c>
      <c r="F480" s="66">
        <f>8.4549 * CHOOSE(CONTROL!$C$23, $C$12, 100%, $E$12)</f>
        <v>8.4549000000000003</v>
      </c>
      <c r="G480" s="66">
        <f>8.4618 * CHOOSE(CONTROL!$C$23, $C$12, 100%, $E$12)</f>
        <v>8.4618000000000002</v>
      </c>
      <c r="H480" s="66">
        <f>15.4965* CHOOSE(CONTROL!$C$23, $C$12, 100%, $E$12)</f>
        <v>15.496499999999999</v>
      </c>
      <c r="I480" s="66">
        <f>15.5034 * CHOOSE(CONTROL!$C$23, $C$12, 100%, $E$12)</f>
        <v>15.503399999999999</v>
      </c>
      <c r="J480" s="66">
        <f>15.4965 * CHOOSE(CONTROL!$C$23, $C$12, 100%, $E$12)</f>
        <v>15.496499999999999</v>
      </c>
      <c r="K480" s="66">
        <f>15.5034 * CHOOSE(CONTROL!$C$23, $C$12, 100%, $E$12)</f>
        <v>15.503399999999999</v>
      </c>
      <c r="L480" s="66">
        <f>8.4549 * CHOOSE(CONTROL!$C$23, $C$12, 100%, $E$12)</f>
        <v>8.4549000000000003</v>
      </c>
      <c r="M480" s="66">
        <f>8.4618 * CHOOSE(CONTROL!$C$23, $C$12, 100%, $E$12)</f>
        <v>8.4618000000000002</v>
      </c>
      <c r="N480" s="66">
        <f>8.4549 * CHOOSE(CONTROL!$C$23, $C$12, 100%, $E$12)</f>
        <v>8.4549000000000003</v>
      </c>
      <c r="O480" s="66">
        <f>8.4618 * CHOOSE(CONTROL!$C$23, $C$12, 100%, $E$12)</f>
        <v>8.4618000000000002</v>
      </c>
    </row>
    <row r="481" spans="1:15" ht="15">
      <c r="A481" s="13">
        <v>55793</v>
      </c>
      <c r="B481" s="65">
        <f>7.1545 * CHOOSE(CONTROL!$C$23, $C$12, 100%, $E$12)</f>
        <v>7.1544999999999996</v>
      </c>
      <c r="C481" s="65">
        <f>7.1545 * CHOOSE(CONTROL!$C$23, $C$12, 100%, $E$12)</f>
        <v>7.1544999999999996</v>
      </c>
      <c r="D481" s="65">
        <f>7.1585 * CHOOSE(CONTROL!$C$23, $C$12, 100%, $E$12)</f>
        <v>7.1585000000000001</v>
      </c>
      <c r="E481" s="66">
        <f>8.4995 * CHOOSE(CONTROL!$C$23, $C$12, 100%, $E$12)</f>
        <v>8.4994999999999994</v>
      </c>
      <c r="F481" s="66">
        <f>8.4995 * CHOOSE(CONTROL!$C$23, $C$12, 100%, $E$12)</f>
        <v>8.4994999999999994</v>
      </c>
      <c r="G481" s="66">
        <f>8.5044 * CHOOSE(CONTROL!$C$23, $C$12, 100%, $E$12)</f>
        <v>8.5044000000000004</v>
      </c>
      <c r="H481" s="66">
        <f>15.5288* CHOOSE(CONTROL!$C$23, $C$12, 100%, $E$12)</f>
        <v>15.5288</v>
      </c>
      <c r="I481" s="66">
        <f>15.5337 * CHOOSE(CONTROL!$C$23, $C$12, 100%, $E$12)</f>
        <v>15.5337</v>
      </c>
      <c r="J481" s="66">
        <f>15.5288 * CHOOSE(CONTROL!$C$23, $C$12, 100%, $E$12)</f>
        <v>15.5288</v>
      </c>
      <c r="K481" s="66">
        <f>15.5337 * CHOOSE(CONTROL!$C$23, $C$12, 100%, $E$12)</f>
        <v>15.5337</v>
      </c>
      <c r="L481" s="66">
        <f>8.4995 * CHOOSE(CONTROL!$C$23, $C$12, 100%, $E$12)</f>
        <v>8.4994999999999994</v>
      </c>
      <c r="M481" s="66">
        <f>8.5044 * CHOOSE(CONTROL!$C$23, $C$12, 100%, $E$12)</f>
        <v>8.5044000000000004</v>
      </c>
      <c r="N481" s="66">
        <f>8.4995 * CHOOSE(CONTROL!$C$23, $C$12, 100%, $E$12)</f>
        <v>8.4994999999999994</v>
      </c>
      <c r="O481" s="66">
        <f>8.5044 * CHOOSE(CONTROL!$C$23, $C$12, 100%, $E$12)</f>
        <v>8.5044000000000004</v>
      </c>
    </row>
    <row r="482" spans="1:15" ht="15">
      <c r="A482" s="13">
        <v>55824</v>
      </c>
      <c r="B482" s="65">
        <f>7.1575 * CHOOSE(CONTROL!$C$23, $C$12, 100%, $E$12)</f>
        <v>7.1574999999999998</v>
      </c>
      <c r="C482" s="65">
        <f>7.1575 * CHOOSE(CONTROL!$C$23, $C$12, 100%, $E$12)</f>
        <v>7.1574999999999998</v>
      </c>
      <c r="D482" s="65">
        <f>7.1615 * CHOOSE(CONTROL!$C$23, $C$12, 100%, $E$12)</f>
        <v>7.1615000000000002</v>
      </c>
      <c r="E482" s="66">
        <f>8.5307 * CHOOSE(CONTROL!$C$23, $C$12, 100%, $E$12)</f>
        <v>8.5306999999999995</v>
      </c>
      <c r="F482" s="66">
        <f>8.5307 * CHOOSE(CONTROL!$C$23, $C$12, 100%, $E$12)</f>
        <v>8.5306999999999995</v>
      </c>
      <c r="G482" s="66">
        <f>8.5356 * CHOOSE(CONTROL!$C$23, $C$12, 100%, $E$12)</f>
        <v>8.5356000000000005</v>
      </c>
      <c r="H482" s="66">
        <f>15.5611* CHOOSE(CONTROL!$C$23, $C$12, 100%, $E$12)</f>
        <v>15.5611</v>
      </c>
      <c r="I482" s="66">
        <f>15.566 * CHOOSE(CONTROL!$C$23, $C$12, 100%, $E$12)</f>
        <v>15.566000000000001</v>
      </c>
      <c r="J482" s="66">
        <f>15.5611 * CHOOSE(CONTROL!$C$23, $C$12, 100%, $E$12)</f>
        <v>15.5611</v>
      </c>
      <c r="K482" s="66">
        <f>15.566 * CHOOSE(CONTROL!$C$23, $C$12, 100%, $E$12)</f>
        <v>15.566000000000001</v>
      </c>
      <c r="L482" s="66">
        <f>8.5307 * CHOOSE(CONTROL!$C$23, $C$12, 100%, $E$12)</f>
        <v>8.5306999999999995</v>
      </c>
      <c r="M482" s="66">
        <f>8.5356 * CHOOSE(CONTROL!$C$23, $C$12, 100%, $E$12)</f>
        <v>8.5356000000000005</v>
      </c>
      <c r="N482" s="66">
        <f>8.5307 * CHOOSE(CONTROL!$C$23, $C$12, 100%, $E$12)</f>
        <v>8.5306999999999995</v>
      </c>
      <c r="O482" s="66">
        <f>8.5356 * CHOOSE(CONTROL!$C$23, $C$12, 100%, $E$12)</f>
        <v>8.5356000000000005</v>
      </c>
    </row>
    <row r="483" spans="1:15" ht="15">
      <c r="A483" s="13">
        <v>55854</v>
      </c>
      <c r="B483" s="65">
        <f>7.1575 * CHOOSE(CONTROL!$C$23, $C$12, 100%, $E$12)</f>
        <v>7.1574999999999998</v>
      </c>
      <c r="C483" s="65">
        <f>7.1575 * CHOOSE(CONTROL!$C$23, $C$12, 100%, $E$12)</f>
        <v>7.1574999999999998</v>
      </c>
      <c r="D483" s="65">
        <f>7.1615 * CHOOSE(CONTROL!$C$23, $C$12, 100%, $E$12)</f>
        <v>7.1615000000000002</v>
      </c>
      <c r="E483" s="66">
        <f>8.4581 * CHOOSE(CONTROL!$C$23, $C$12, 100%, $E$12)</f>
        <v>8.4581</v>
      </c>
      <c r="F483" s="66">
        <f>8.4581 * CHOOSE(CONTROL!$C$23, $C$12, 100%, $E$12)</f>
        <v>8.4581</v>
      </c>
      <c r="G483" s="66">
        <f>8.463 * CHOOSE(CONTROL!$C$23, $C$12, 100%, $E$12)</f>
        <v>8.4629999999999992</v>
      </c>
      <c r="H483" s="66">
        <f>15.5935* CHOOSE(CONTROL!$C$23, $C$12, 100%, $E$12)</f>
        <v>15.593500000000001</v>
      </c>
      <c r="I483" s="66">
        <f>15.5985 * CHOOSE(CONTROL!$C$23, $C$12, 100%, $E$12)</f>
        <v>15.5985</v>
      </c>
      <c r="J483" s="66">
        <f>15.5935 * CHOOSE(CONTROL!$C$23, $C$12, 100%, $E$12)</f>
        <v>15.593500000000001</v>
      </c>
      <c r="K483" s="66">
        <f>15.5985 * CHOOSE(CONTROL!$C$23, $C$12, 100%, $E$12)</f>
        <v>15.5985</v>
      </c>
      <c r="L483" s="66">
        <f>8.4581 * CHOOSE(CONTROL!$C$23, $C$12, 100%, $E$12)</f>
        <v>8.4581</v>
      </c>
      <c r="M483" s="66">
        <f>8.463 * CHOOSE(CONTROL!$C$23, $C$12, 100%, $E$12)</f>
        <v>8.4629999999999992</v>
      </c>
      <c r="N483" s="66">
        <f>8.4581 * CHOOSE(CONTROL!$C$23, $C$12, 100%, $E$12)</f>
        <v>8.4581</v>
      </c>
      <c r="O483" s="66">
        <f>8.463 * CHOOSE(CONTROL!$C$23, $C$12, 100%, $E$12)</f>
        <v>8.4629999999999992</v>
      </c>
    </row>
    <row r="484" spans="1:15" ht="15">
      <c r="A484" s="13">
        <v>55885</v>
      </c>
      <c r="B484" s="65">
        <f>7.2193 * CHOOSE(CONTROL!$C$23, $C$12, 100%, $E$12)</f>
        <v>7.2192999999999996</v>
      </c>
      <c r="C484" s="65">
        <f>7.2193 * CHOOSE(CONTROL!$C$23, $C$12, 100%, $E$12)</f>
        <v>7.2192999999999996</v>
      </c>
      <c r="D484" s="65">
        <f>7.2233 * CHOOSE(CONTROL!$C$23, $C$12, 100%, $E$12)</f>
        <v>7.2233000000000001</v>
      </c>
      <c r="E484" s="66">
        <f>8.5793 * CHOOSE(CONTROL!$C$23, $C$12, 100%, $E$12)</f>
        <v>8.5792999999999999</v>
      </c>
      <c r="F484" s="66">
        <f>8.5793 * CHOOSE(CONTROL!$C$23, $C$12, 100%, $E$12)</f>
        <v>8.5792999999999999</v>
      </c>
      <c r="G484" s="66">
        <f>8.5842 * CHOOSE(CONTROL!$C$23, $C$12, 100%, $E$12)</f>
        <v>8.5841999999999992</v>
      </c>
      <c r="H484" s="66">
        <f>15.626* CHOOSE(CONTROL!$C$23, $C$12, 100%, $E$12)</f>
        <v>15.625999999999999</v>
      </c>
      <c r="I484" s="66">
        <f>15.631 * CHOOSE(CONTROL!$C$23, $C$12, 100%, $E$12)</f>
        <v>15.631</v>
      </c>
      <c r="J484" s="66">
        <f>15.626 * CHOOSE(CONTROL!$C$23, $C$12, 100%, $E$12)</f>
        <v>15.625999999999999</v>
      </c>
      <c r="K484" s="66">
        <f>15.631 * CHOOSE(CONTROL!$C$23, $C$12, 100%, $E$12)</f>
        <v>15.631</v>
      </c>
      <c r="L484" s="66">
        <f>8.5793 * CHOOSE(CONTROL!$C$23, $C$12, 100%, $E$12)</f>
        <v>8.5792999999999999</v>
      </c>
      <c r="M484" s="66">
        <f>8.5842 * CHOOSE(CONTROL!$C$23, $C$12, 100%, $E$12)</f>
        <v>8.5841999999999992</v>
      </c>
      <c r="N484" s="66">
        <f>8.5793 * CHOOSE(CONTROL!$C$23, $C$12, 100%, $E$12)</f>
        <v>8.5792999999999999</v>
      </c>
      <c r="O484" s="66">
        <f>8.5842 * CHOOSE(CONTROL!$C$23, $C$12, 100%, $E$12)</f>
        <v>8.5841999999999992</v>
      </c>
    </row>
    <row r="485" spans="1:15" ht="15">
      <c r="A485" s="13">
        <v>55916</v>
      </c>
      <c r="B485" s="65">
        <f>7.2163 * CHOOSE(CONTROL!$C$23, $C$12, 100%, $E$12)</f>
        <v>7.2163000000000004</v>
      </c>
      <c r="C485" s="65">
        <f>7.2163 * CHOOSE(CONTROL!$C$23, $C$12, 100%, $E$12)</f>
        <v>7.2163000000000004</v>
      </c>
      <c r="D485" s="65">
        <f>7.2203 * CHOOSE(CONTROL!$C$23, $C$12, 100%, $E$12)</f>
        <v>7.2202999999999999</v>
      </c>
      <c r="E485" s="66">
        <f>8.4362 * CHOOSE(CONTROL!$C$23, $C$12, 100%, $E$12)</f>
        <v>8.4361999999999995</v>
      </c>
      <c r="F485" s="66">
        <f>8.4362 * CHOOSE(CONTROL!$C$23, $C$12, 100%, $E$12)</f>
        <v>8.4361999999999995</v>
      </c>
      <c r="G485" s="66">
        <f>8.4411 * CHOOSE(CONTROL!$C$23, $C$12, 100%, $E$12)</f>
        <v>8.4411000000000005</v>
      </c>
      <c r="H485" s="66">
        <f>15.6586* CHOOSE(CONTROL!$C$23, $C$12, 100%, $E$12)</f>
        <v>15.6586</v>
      </c>
      <c r="I485" s="66">
        <f>15.6635 * CHOOSE(CONTROL!$C$23, $C$12, 100%, $E$12)</f>
        <v>15.663500000000001</v>
      </c>
      <c r="J485" s="66">
        <f>15.6586 * CHOOSE(CONTROL!$C$23, $C$12, 100%, $E$12)</f>
        <v>15.6586</v>
      </c>
      <c r="K485" s="66">
        <f>15.6635 * CHOOSE(CONTROL!$C$23, $C$12, 100%, $E$12)</f>
        <v>15.663500000000001</v>
      </c>
      <c r="L485" s="66">
        <f>8.4362 * CHOOSE(CONTROL!$C$23, $C$12, 100%, $E$12)</f>
        <v>8.4361999999999995</v>
      </c>
      <c r="M485" s="66">
        <f>8.4411 * CHOOSE(CONTROL!$C$23, $C$12, 100%, $E$12)</f>
        <v>8.4411000000000005</v>
      </c>
      <c r="N485" s="66">
        <f>8.4362 * CHOOSE(CONTROL!$C$23, $C$12, 100%, $E$12)</f>
        <v>8.4361999999999995</v>
      </c>
      <c r="O485" s="66">
        <f>8.4411 * CHOOSE(CONTROL!$C$23, $C$12, 100%, $E$12)</f>
        <v>8.4411000000000005</v>
      </c>
    </row>
    <row r="486" spans="1:15" ht="15">
      <c r="A486" s="13">
        <v>55944</v>
      </c>
      <c r="B486" s="65">
        <f>7.2133 * CHOOSE(CONTROL!$C$23, $C$12, 100%, $E$12)</f>
        <v>7.2133000000000003</v>
      </c>
      <c r="C486" s="65">
        <f>7.2133 * CHOOSE(CONTROL!$C$23, $C$12, 100%, $E$12)</f>
        <v>7.2133000000000003</v>
      </c>
      <c r="D486" s="65">
        <f>7.2173 * CHOOSE(CONTROL!$C$23, $C$12, 100%, $E$12)</f>
        <v>7.2172999999999998</v>
      </c>
      <c r="E486" s="66">
        <f>8.5452 * CHOOSE(CONTROL!$C$23, $C$12, 100%, $E$12)</f>
        <v>8.5451999999999995</v>
      </c>
      <c r="F486" s="66">
        <f>8.5452 * CHOOSE(CONTROL!$C$23, $C$12, 100%, $E$12)</f>
        <v>8.5451999999999995</v>
      </c>
      <c r="G486" s="66">
        <f>8.5501 * CHOOSE(CONTROL!$C$23, $C$12, 100%, $E$12)</f>
        <v>8.5501000000000005</v>
      </c>
      <c r="H486" s="66">
        <f>15.6912* CHOOSE(CONTROL!$C$23, $C$12, 100%, $E$12)</f>
        <v>15.6912</v>
      </c>
      <c r="I486" s="66">
        <f>15.6961 * CHOOSE(CONTROL!$C$23, $C$12, 100%, $E$12)</f>
        <v>15.696099999999999</v>
      </c>
      <c r="J486" s="66">
        <f>15.6912 * CHOOSE(CONTROL!$C$23, $C$12, 100%, $E$12)</f>
        <v>15.6912</v>
      </c>
      <c r="K486" s="66">
        <f>15.6961 * CHOOSE(CONTROL!$C$23, $C$12, 100%, $E$12)</f>
        <v>15.696099999999999</v>
      </c>
      <c r="L486" s="66">
        <f>8.5452 * CHOOSE(CONTROL!$C$23, $C$12, 100%, $E$12)</f>
        <v>8.5451999999999995</v>
      </c>
      <c r="M486" s="66">
        <f>8.5501 * CHOOSE(CONTROL!$C$23, $C$12, 100%, $E$12)</f>
        <v>8.5501000000000005</v>
      </c>
      <c r="N486" s="66">
        <f>8.5452 * CHOOSE(CONTROL!$C$23, $C$12, 100%, $E$12)</f>
        <v>8.5451999999999995</v>
      </c>
      <c r="O486" s="66">
        <f>8.5501 * CHOOSE(CONTROL!$C$23, $C$12, 100%, $E$12)</f>
        <v>8.5501000000000005</v>
      </c>
    </row>
    <row r="487" spans="1:15" ht="15">
      <c r="A487" s="13">
        <v>55975</v>
      </c>
      <c r="B487" s="65">
        <f>7.2137 * CHOOSE(CONTROL!$C$23, $C$12, 100%, $E$12)</f>
        <v>7.2137000000000002</v>
      </c>
      <c r="C487" s="65">
        <f>7.2137 * CHOOSE(CONTROL!$C$23, $C$12, 100%, $E$12)</f>
        <v>7.2137000000000002</v>
      </c>
      <c r="D487" s="65">
        <f>7.2177 * CHOOSE(CONTROL!$C$23, $C$12, 100%, $E$12)</f>
        <v>7.2176999999999998</v>
      </c>
      <c r="E487" s="66">
        <f>8.6604 * CHOOSE(CONTROL!$C$23, $C$12, 100%, $E$12)</f>
        <v>8.6603999999999992</v>
      </c>
      <c r="F487" s="66">
        <f>8.6604 * CHOOSE(CONTROL!$C$23, $C$12, 100%, $E$12)</f>
        <v>8.6603999999999992</v>
      </c>
      <c r="G487" s="66">
        <f>8.6653 * CHOOSE(CONTROL!$C$23, $C$12, 100%, $E$12)</f>
        <v>8.6653000000000002</v>
      </c>
      <c r="H487" s="66">
        <f>15.7239* CHOOSE(CONTROL!$C$23, $C$12, 100%, $E$12)</f>
        <v>15.7239</v>
      </c>
      <c r="I487" s="66">
        <f>15.7288 * CHOOSE(CONTROL!$C$23, $C$12, 100%, $E$12)</f>
        <v>15.7288</v>
      </c>
      <c r="J487" s="66">
        <f>15.7239 * CHOOSE(CONTROL!$C$23, $C$12, 100%, $E$12)</f>
        <v>15.7239</v>
      </c>
      <c r="K487" s="66">
        <f>15.7288 * CHOOSE(CONTROL!$C$23, $C$12, 100%, $E$12)</f>
        <v>15.7288</v>
      </c>
      <c r="L487" s="66">
        <f>8.6604 * CHOOSE(CONTROL!$C$23, $C$12, 100%, $E$12)</f>
        <v>8.6603999999999992</v>
      </c>
      <c r="M487" s="66">
        <f>8.6653 * CHOOSE(CONTROL!$C$23, $C$12, 100%, $E$12)</f>
        <v>8.6653000000000002</v>
      </c>
      <c r="N487" s="66">
        <f>8.6604 * CHOOSE(CONTROL!$C$23, $C$12, 100%, $E$12)</f>
        <v>8.6603999999999992</v>
      </c>
      <c r="O487" s="66">
        <f>8.6653 * CHOOSE(CONTROL!$C$23, $C$12, 100%, $E$12)</f>
        <v>8.6653000000000002</v>
      </c>
    </row>
    <row r="488" spans="1:15" ht="15">
      <c r="A488" s="13">
        <v>56005</v>
      </c>
      <c r="B488" s="65">
        <f>7.2137 * CHOOSE(CONTROL!$C$23, $C$12, 100%, $E$12)</f>
        <v>7.2137000000000002</v>
      </c>
      <c r="C488" s="65">
        <f>7.2137 * CHOOSE(CONTROL!$C$23, $C$12, 100%, $E$12)</f>
        <v>7.2137000000000002</v>
      </c>
      <c r="D488" s="65">
        <f>7.2193 * CHOOSE(CONTROL!$C$23, $C$12, 100%, $E$12)</f>
        <v>7.2192999999999996</v>
      </c>
      <c r="E488" s="66">
        <f>8.7051 * CHOOSE(CONTROL!$C$23, $C$12, 100%, $E$12)</f>
        <v>8.7050999999999998</v>
      </c>
      <c r="F488" s="66">
        <f>8.7051 * CHOOSE(CONTROL!$C$23, $C$12, 100%, $E$12)</f>
        <v>8.7050999999999998</v>
      </c>
      <c r="G488" s="66">
        <f>8.712 * CHOOSE(CONTROL!$C$23, $C$12, 100%, $E$12)</f>
        <v>8.7119999999999997</v>
      </c>
      <c r="H488" s="66">
        <f>15.7567* CHOOSE(CONTROL!$C$23, $C$12, 100%, $E$12)</f>
        <v>15.7567</v>
      </c>
      <c r="I488" s="66">
        <f>15.7635 * CHOOSE(CONTROL!$C$23, $C$12, 100%, $E$12)</f>
        <v>15.763500000000001</v>
      </c>
      <c r="J488" s="66">
        <f>15.7567 * CHOOSE(CONTROL!$C$23, $C$12, 100%, $E$12)</f>
        <v>15.7567</v>
      </c>
      <c r="K488" s="66">
        <f>15.7635 * CHOOSE(CONTROL!$C$23, $C$12, 100%, $E$12)</f>
        <v>15.763500000000001</v>
      </c>
      <c r="L488" s="66">
        <f>8.7051 * CHOOSE(CONTROL!$C$23, $C$12, 100%, $E$12)</f>
        <v>8.7050999999999998</v>
      </c>
      <c r="M488" s="66">
        <f>8.712 * CHOOSE(CONTROL!$C$23, $C$12, 100%, $E$12)</f>
        <v>8.7119999999999997</v>
      </c>
      <c r="N488" s="66">
        <f>8.7051 * CHOOSE(CONTROL!$C$23, $C$12, 100%, $E$12)</f>
        <v>8.7050999999999998</v>
      </c>
      <c r="O488" s="66">
        <f>8.712 * CHOOSE(CONTROL!$C$23, $C$12, 100%, $E$12)</f>
        <v>8.7119999999999997</v>
      </c>
    </row>
    <row r="489" spans="1:15" ht="15">
      <c r="A489" s="13">
        <v>56036</v>
      </c>
      <c r="B489" s="65">
        <f>7.2198 * CHOOSE(CONTROL!$C$23, $C$12, 100%, $E$12)</f>
        <v>7.2198000000000002</v>
      </c>
      <c r="C489" s="65">
        <f>7.2198 * CHOOSE(CONTROL!$C$23, $C$12, 100%, $E$12)</f>
        <v>7.2198000000000002</v>
      </c>
      <c r="D489" s="65">
        <f>7.2254 * CHOOSE(CONTROL!$C$23, $C$12, 100%, $E$12)</f>
        <v>7.2253999999999996</v>
      </c>
      <c r="E489" s="66">
        <f>8.6646 * CHOOSE(CONTROL!$C$23, $C$12, 100%, $E$12)</f>
        <v>8.6646000000000001</v>
      </c>
      <c r="F489" s="66">
        <f>8.6646 * CHOOSE(CONTROL!$C$23, $C$12, 100%, $E$12)</f>
        <v>8.6646000000000001</v>
      </c>
      <c r="G489" s="66">
        <f>8.6715 * CHOOSE(CONTROL!$C$23, $C$12, 100%, $E$12)</f>
        <v>8.6715</v>
      </c>
      <c r="H489" s="66">
        <f>15.7895* CHOOSE(CONTROL!$C$23, $C$12, 100%, $E$12)</f>
        <v>15.7895</v>
      </c>
      <c r="I489" s="66">
        <f>15.7964 * CHOOSE(CONTROL!$C$23, $C$12, 100%, $E$12)</f>
        <v>15.7964</v>
      </c>
      <c r="J489" s="66">
        <f>15.7895 * CHOOSE(CONTROL!$C$23, $C$12, 100%, $E$12)</f>
        <v>15.7895</v>
      </c>
      <c r="K489" s="66">
        <f>15.7964 * CHOOSE(CONTROL!$C$23, $C$12, 100%, $E$12)</f>
        <v>15.7964</v>
      </c>
      <c r="L489" s="66">
        <f>8.6646 * CHOOSE(CONTROL!$C$23, $C$12, 100%, $E$12)</f>
        <v>8.6646000000000001</v>
      </c>
      <c r="M489" s="66">
        <f>8.6715 * CHOOSE(CONTROL!$C$23, $C$12, 100%, $E$12)</f>
        <v>8.6715</v>
      </c>
      <c r="N489" s="66">
        <f>8.6646 * CHOOSE(CONTROL!$C$23, $C$12, 100%, $E$12)</f>
        <v>8.6646000000000001</v>
      </c>
      <c r="O489" s="66">
        <f>8.6715 * CHOOSE(CONTROL!$C$23, $C$12, 100%, $E$12)</f>
        <v>8.6715</v>
      </c>
    </row>
    <row r="490" spans="1:15" ht="15">
      <c r="A490" s="13">
        <v>56066</v>
      </c>
      <c r="B490" s="65">
        <f>7.334 * CHOOSE(CONTROL!$C$23, $C$12, 100%, $E$12)</f>
        <v>7.3339999999999996</v>
      </c>
      <c r="C490" s="65">
        <f>7.334 * CHOOSE(CONTROL!$C$23, $C$12, 100%, $E$12)</f>
        <v>7.3339999999999996</v>
      </c>
      <c r="D490" s="65">
        <f>7.3397 * CHOOSE(CONTROL!$C$23, $C$12, 100%, $E$12)</f>
        <v>7.3396999999999997</v>
      </c>
      <c r="E490" s="66">
        <f>8.8078 * CHOOSE(CONTROL!$C$23, $C$12, 100%, $E$12)</f>
        <v>8.8078000000000003</v>
      </c>
      <c r="F490" s="66">
        <f>8.8078 * CHOOSE(CONTROL!$C$23, $C$12, 100%, $E$12)</f>
        <v>8.8078000000000003</v>
      </c>
      <c r="G490" s="66">
        <f>8.8147 * CHOOSE(CONTROL!$C$23, $C$12, 100%, $E$12)</f>
        <v>8.8147000000000002</v>
      </c>
      <c r="H490" s="66">
        <f>15.8224* CHOOSE(CONTROL!$C$23, $C$12, 100%, $E$12)</f>
        <v>15.8224</v>
      </c>
      <c r="I490" s="66">
        <f>15.8293 * CHOOSE(CONTROL!$C$23, $C$12, 100%, $E$12)</f>
        <v>15.8293</v>
      </c>
      <c r="J490" s="66">
        <f>15.8224 * CHOOSE(CONTROL!$C$23, $C$12, 100%, $E$12)</f>
        <v>15.8224</v>
      </c>
      <c r="K490" s="66">
        <f>15.8293 * CHOOSE(CONTROL!$C$23, $C$12, 100%, $E$12)</f>
        <v>15.8293</v>
      </c>
      <c r="L490" s="66">
        <f>8.8078 * CHOOSE(CONTROL!$C$23, $C$12, 100%, $E$12)</f>
        <v>8.8078000000000003</v>
      </c>
      <c r="M490" s="66">
        <f>8.8147 * CHOOSE(CONTROL!$C$23, $C$12, 100%, $E$12)</f>
        <v>8.8147000000000002</v>
      </c>
      <c r="N490" s="66">
        <f>8.8078 * CHOOSE(CONTROL!$C$23, $C$12, 100%, $E$12)</f>
        <v>8.8078000000000003</v>
      </c>
      <c r="O490" s="66">
        <f>8.8147 * CHOOSE(CONTROL!$C$23, $C$12, 100%, $E$12)</f>
        <v>8.8147000000000002</v>
      </c>
    </row>
    <row r="491" spans="1:15" ht="15">
      <c r="A491" s="13">
        <v>56097</v>
      </c>
      <c r="B491" s="65">
        <f>7.3407 * CHOOSE(CONTROL!$C$23, $C$12, 100%, $E$12)</f>
        <v>7.3407</v>
      </c>
      <c r="C491" s="65">
        <f>7.3407 * CHOOSE(CONTROL!$C$23, $C$12, 100%, $E$12)</f>
        <v>7.3407</v>
      </c>
      <c r="D491" s="65">
        <f>7.3464 * CHOOSE(CONTROL!$C$23, $C$12, 100%, $E$12)</f>
        <v>7.3464</v>
      </c>
      <c r="E491" s="66">
        <f>8.6782 * CHOOSE(CONTROL!$C$23, $C$12, 100%, $E$12)</f>
        <v>8.6782000000000004</v>
      </c>
      <c r="F491" s="66">
        <f>8.6782 * CHOOSE(CONTROL!$C$23, $C$12, 100%, $E$12)</f>
        <v>8.6782000000000004</v>
      </c>
      <c r="G491" s="66">
        <f>8.6851 * CHOOSE(CONTROL!$C$23, $C$12, 100%, $E$12)</f>
        <v>8.6851000000000003</v>
      </c>
      <c r="H491" s="66">
        <f>15.8553* CHOOSE(CONTROL!$C$23, $C$12, 100%, $E$12)</f>
        <v>15.8553</v>
      </c>
      <c r="I491" s="66">
        <f>15.8622 * CHOOSE(CONTROL!$C$23, $C$12, 100%, $E$12)</f>
        <v>15.8622</v>
      </c>
      <c r="J491" s="66">
        <f>15.8553 * CHOOSE(CONTROL!$C$23, $C$12, 100%, $E$12)</f>
        <v>15.8553</v>
      </c>
      <c r="K491" s="66">
        <f>15.8622 * CHOOSE(CONTROL!$C$23, $C$12, 100%, $E$12)</f>
        <v>15.8622</v>
      </c>
      <c r="L491" s="66">
        <f>8.6782 * CHOOSE(CONTROL!$C$23, $C$12, 100%, $E$12)</f>
        <v>8.6782000000000004</v>
      </c>
      <c r="M491" s="66">
        <f>8.6851 * CHOOSE(CONTROL!$C$23, $C$12, 100%, $E$12)</f>
        <v>8.6851000000000003</v>
      </c>
      <c r="N491" s="66">
        <f>8.6782 * CHOOSE(CONTROL!$C$23, $C$12, 100%, $E$12)</f>
        <v>8.6782000000000004</v>
      </c>
      <c r="O491" s="66">
        <f>8.6851 * CHOOSE(CONTROL!$C$23, $C$12, 100%, $E$12)</f>
        <v>8.6851000000000003</v>
      </c>
    </row>
    <row r="492" spans="1:15" ht="15">
      <c r="A492" s="13">
        <v>56128</v>
      </c>
      <c r="B492" s="65">
        <f>7.3377 * CHOOSE(CONTROL!$C$23, $C$12, 100%, $E$12)</f>
        <v>7.3376999999999999</v>
      </c>
      <c r="C492" s="65">
        <f>7.3377 * CHOOSE(CONTROL!$C$23, $C$12, 100%, $E$12)</f>
        <v>7.3376999999999999</v>
      </c>
      <c r="D492" s="65">
        <f>7.3433 * CHOOSE(CONTROL!$C$23, $C$12, 100%, $E$12)</f>
        <v>7.3433000000000002</v>
      </c>
      <c r="E492" s="66">
        <f>8.6611 * CHOOSE(CONTROL!$C$23, $C$12, 100%, $E$12)</f>
        <v>8.6610999999999994</v>
      </c>
      <c r="F492" s="66">
        <f>8.6611 * CHOOSE(CONTROL!$C$23, $C$12, 100%, $E$12)</f>
        <v>8.6610999999999994</v>
      </c>
      <c r="G492" s="66">
        <f>8.668 * CHOOSE(CONTROL!$C$23, $C$12, 100%, $E$12)</f>
        <v>8.6679999999999993</v>
      </c>
      <c r="H492" s="66">
        <f>15.8884* CHOOSE(CONTROL!$C$23, $C$12, 100%, $E$12)</f>
        <v>15.888400000000001</v>
      </c>
      <c r="I492" s="66">
        <f>15.8953 * CHOOSE(CONTROL!$C$23, $C$12, 100%, $E$12)</f>
        <v>15.895300000000001</v>
      </c>
      <c r="J492" s="66">
        <f>15.8884 * CHOOSE(CONTROL!$C$23, $C$12, 100%, $E$12)</f>
        <v>15.888400000000001</v>
      </c>
      <c r="K492" s="66">
        <f>15.8953 * CHOOSE(CONTROL!$C$23, $C$12, 100%, $E$12)</f>
        <v>15.895300000000001</v>
      </c>
      <c r="L492" s="66">
        <f>8.6611 * CHOOSE(CONTROL!$C$23, $C$12, 100%, $E$12)</f>
        <v>8.6610999999999994</v>
      </c>
      <c r="M492" s="66">
        <f>8.668 * CHOOSE(CONTROL!$C$23, $C$12, 100%, $E$12)</f>
        <v>8.6679999999999993</v>
      </c>
      <c r="N492" s="66">
        <f>8.6611 * CHOOSE(CONTROL!$C$23, $C$12, 100%, $E$12)</f>
        <v>8.6610999999999994</v>
      </c>
      <c r="O492" s="66">
        <f>8.668 * CHOOSE(CONTROL!$C$23, $C$12, 100%, $E$12)</f>
        <v>8.6679999999999993</v>
      </c>
    </row>
    <row r="493" spans="1:15" ht="15">
      <c r="A493" s="13">
        <v>56158</v>
      </c>
      <c r="B493" s="65">
        <f>7.3437 * CHOOSE(CONTROL!$C$23, $C$12, 100%, $E$12)</f>
        <v>7.3437000000000001</v>
      </c>
      <c r="C493" s="65">
        <f>7.3437 * CHOOSE(CONTROL!$C$23, $C$12, 100%, $E$12)</f>
        <v>7.3437000000000001</v>
      </c>
      <c r="D493" s="65">
        <f>7.3477 * CHOOSE(CONTROL!$C$23, $C$12, 100%, $E$12)</f>
        <v>7.3476999999999997</v>
      </c>
      <c r="E493" s="66">
        <f>8.7074 * CHOOSE(CONTROL!$C$23, $C$12, 100%, $E$12)</f>
        <v>8.7073999999999998</v>
      </c>
      <c r="F493" s="66">
        <f>8.7074 * CHOOSE(CONTROL!$C$23, $C$12, 100%, $E$12)</f>
        <v>8.7073999999999998</v>
      </c>
      <c r="G493" s="66">
        <f>8.7123 * CHOOSE(CONTROL!$C$23, $C$12, 100%, $E$12)</f>
        <v>8.7123000000000008</v>
      </c>
      <c r="H493" s="66">
        <f>15.9215* CHOOSE(CONTROL!$C$23, $C$12, 100%, $E$12)</f>
        <v>15.9215</v>
      </c>
      <c r="I493" s="66">
        <f>15.9264 * CHOOSE(CONTROL!$C$23, $C$12, 100%, $E$12)</f>
        <v>15.926399999999999</v>
      </c>
      <c r="J493" s="66">
        <f>15.9215 * CHOOSE(CONTROL!$C$23, $C$12, 100%, $E$12)</f>
        <v>15.9215</v>
      </c>
      <c r="K493" s="66">
        <f>15.9264 * CHOOSE(CONTROL!$C$23, $C$12, 100%, $E$12)</f>
        <v>15.926399999999999</v>
      </c>
      <c r="L493" s="66">
        <f>8.7074 * CHOOSE(CONTROL!$C$23, $C$12, 100%, $E$12)</f>
        <v>8.7073999999999998</v>
      </c>
      <c r="M493" s="66">
        <f>8.7123 * CHOOSE(CONTROL!$C$23, $C$12, 100%, $E$12)</f>
        <v>8.7123000000000008</v>
      </c>
      <c r="N493" s="66">
        <f>8.7074 * CHOOSE(CONTROL!$C$23, $C$12, 100%, $E$12)</f>
        <v>8.7073999999999998</v>
      </c>
      <c r="O493" s="66">
        <f>8.7123 * CHOOSE(CONTROL!$C$23, $C$12, 100%, $E$12)</f>
        <v>8.7123000000000008</v>
      </c>
    </row>
    <row r="494" spans="1:15" ht="15">
      <c r="A494" s="13">
        <v>56189</v>
      </c>
      <c r="B494" s="65">
        <f>7.3468 * CHOOSE(CONTROL!$C$23, $C$12, 100%, $E$12)</f>
        <v>7.3468</v>
      </c>
      <c r="C494" s="65">
        <f>7.3468 * CHOOSE(CONTROL!$C$23, $C$12, 100%, $E$12)</f>
        <v>7.3468</v>
      </c>
      <c r="D494" s="65">
        <f>7.3508 * CHOOSE(CONTROL!$C$23, $C$12, 100%, $E$12)</f>
        <v>7.3507999999999996</v>
      </c>
      <c r="E494" s="66">
        <f>8.7394 * CHOOSE(CONTROL!$C$23, $C$12, 100%, $E$12)</f>
        <v>8.7393999999999998</v>
      </c>
      <c r="F494" s="66">
        <f>8.7394 * CHOOSE(CONTROL!$C$23, $C$12, 100%, $E$12)</f>
        <v>8.7393999999999998</v>
      </c>
      <c r="G494" s="66">
        <f>8.7443 * CHOOSE(CONTROL!$C$23, $C$12, 100%, $E$12)</f>
        <v>8.7443000000000008</v>
      </c>
      <c r="H494" s="66">
        <f>15.9546* CHOOSE(CONTROL!$C$23, $C$12, 100%, $E$12)</f>
        <v>15.954599999999999</v>
      </c>
      <c r="I494" s="66">
        <f>15.9596 * CHOOSE(CONTROL!$C$23, $C$12, 100%, $E$12)</f>
        <v>15.9596</v>
      </c>
      <c r="J494" s="66">
        <f>15.9546 * CHOOSE(CONTROL!$C$23, $C$12, 100%, $E$12)</f>
        <v>15.954599999999999</v>
      </c>
      <c r="K494" s="66">
        <f>15.9596 * CHOOSE(CONTROL!$C$23, $C$12, 100%, $E$12)</f>
        <v>15.9596</v>
      </c>
      <c r="L494" s="66">
        <f>8.7394 * CHOOSE(CONTROL!$C$23, $C$12, 100%, $E$12)</f>
        <v>8.7393999999999998</v>
      </c>
      <c r="M494" s="66">
        <f>8.7443 * CHOOSE(CONTROL!$C$23, $C$12, 100%, $E$12)</f>
        <v>8.7443000000000008</v>
      </c>
      <c r="N494" s="66">
        <f>8.7394 * CHOOSE(CONTROL!$C$23, $C$12, 100%, $E$12)</f>
        <v>8.7393999999999998</v>
      </c>
      <c r="O494" s="66">
        <f>8.7443 * CHOOSE(CONTROL!$C$23, $C$12, 100%, $E$12)</f>
        <v>8.7443000000000008</v>
      </c>
    </row>
    <row r="495" spans="1:15" ht="15">
      <c r="A495" s="13">
        <v>56219</v>
      </c>
      <c r="B495" s="65">
        <f>7.3468 * CHOOSE(CONTROL!$C$23, $C$12, 100%, $E$12)</f>
        <v>7.3468</v>
      </c>
      <c r="C495" s="65">
        <f>7.3468 * CHOOSE(CONTROL!$C$23, $C$12, 100%, $E$12)</f>
        <v>7.3468</v>
      </c>
      <c r="D495" s="65">
        <f>7.3508 * CHOOSE(CONTROL!$C$23, $C$12, 100%, $E$12)</f>
        <v>7.3507999999999996</v>
      </c>
      <c r="E495" s="66">
        <f>8.6648 * CHOOSE(CONTROL!$C$23, $C$12, 100%, $E$12)</f>
        <v>8.6647999999999996</v>
      </c>
      <c r="F495" s="66">
        <f>8.6648 * CHOOSE(CONTROL!$C$23, $C$12, 100%, $E$12)</f>
        <v>8.6647999999999996</v>
      </c>
      <c r="G495" s="66">
        <f>8.6697 * CHOOSE(CONTROL!$C$23, $C$12, 100%, $E$12)</f>
        <v>8.6697000000000006</v>
      </c>
      <c r="H495" s="66">
        <f>15.9879* CHOOSE(CONTROL!$C$23, $C$12, 100%, $E$12)</f>
        <v>15.9879</v>
      </c>
      <c r="I495" s="66">
        <f>15.9928 * CHOOSE(CONTROL!$C$23, $C$12, 100%, $E$12)</f>
        <v>15.992800000000001</v>
      </c>
      <c r="J495" s="66">
        <f>15.9879 * CHOOSE(CONTROL!$C$23, $C$12, 100%, $E$12)</f>
        <v>15.9879</v>
      </c>
      <c r="K495" s="66">
        <f>15.9928 * CHOOSE(CONTROL!$C$23, $C$12, 100%, $E$12)</f>
        <v>15.992800000000001</v>
      </c>
      <c r="L495" s="66">
        <f>8.6648 * CHOOSE(CONTROL!$C$23, $C$12, 100%, $E$12)</f>
        <v>8.6647999999999996</v>
      </c>
      <c r="M495" s="66">
        <f>8.6697 * CHOOSE(CONTROL!$C$23, $C$12, 100%, $E$12)</f>
        <v>8.6697000000000006</v>
      </c>
      <c r="N495" s="66">
        <f>8.6648 * CHOOSE(CONTROL!$C$23, $C$12, 100%, $E$12)</f>
        <v>8.6647999999999996</v>
      </c>
      <c r="O495" s="66">
        <f>8.6697 * CHOOSE(CONTROL!$C$23, $C$12, 100%, $E$12)</f>
        <v>8.6697000000000006</v>
      </c>
    </row>
    <row r="496" spans="1:15" ht="15">
      <c r="A496" s="13">
        <v>56250</v>
      </c>
      <c r="B496" s="65">
        <f>7.4101 * CHOOSE(CONTROL!$C$23, $C$12, 100%, $E$12)</f>
        <v>7.4100999999999999</v>
      </c>
      <c r="C496" s="65">
        <f>7.4101 * CHOOSE(CONTROL!$C$23, $C$12, 100%, $E$12)</f>
        <v>7.4100999999999999</v>
      </c>
      <c r="D496" s="65">
        <f>7.4141 * CHOOSE(CONTROL!$C$23, $C$12, 100%, $E$12)</f>
        <v>7.4141000000000004</v>
      </c>
      <c r="E496" s="66">
        <f>8.7891 * CHOOSE(CONTROL!$C$23, $C$12, 100%, $E$12)</f>
        <v>8.7890999999999995</v>
      </c>
      <c r="F496" s="66">
        <f>8.7891 * CHOOSE(CONTROL!$C$23, $C$12, 100%, $E$12)</f>
        <v>8.7890999999999995</v>
      </c>
      <c r="G496" s="66">
        <f>8.794 * CHOOSE(CONTROL!$C$23, $C$12, 100%, $E$12)</f>
        <v>8.7940000000000005</v>
      </c>
      <c r="H496" s="66">
        <f>16.0212* CHOOSE(CONTROL!$C$23, $C$12, 100%, $E$12)</f>
        <v>16.0212</v>
      </c>
      <c r="I496" s="66">
        <f>16.0261 * CHOOSE(CONTROL!$C$23, $C$12, 100%, $E$12)</f>
        <v>16.0261</v>
      </c>
      <c r="J496" s="66">
        <f>16.0212 * CHOOSE(CONTROL!$C$23, $C$12, 100%, $E$12)</f>
        <v>16.0212</v>
      </c>
      <c r="K496" s="66">
        <f>16.0261 * CHOOSE(CONTROL!$C$23, $C$12, 100%, $E$12)</f>
        <v>16.0261</v>
      </c>
      <c r="L496" s="66">
        <f>8.7891 * CHOOSE(CONTROL!$C$23, $C$12, 100%, $E$12)</f>
        <v>8.7890999999999995</v>
      </c>
      <c r="M496" s="66">
        <f>8.794 * CHOOSE(CONTROL!$C$23, $C$12, 100%, $E$12)</f>
        <v>8.7940000000000005</v>
      </c>
      <c r="N496" s="66">
        <f>8.7891 * CHOOSE(CONTROL!$C$23, $C$12, 100%, $E$12)</f>
        <v>8.7890999999999995</v>
      </c>
      <c r="O496" s="66">
        <f>8.794 * CHOOSE(CONTROL!$C$23, $C$12, 100%, $E$12)</f>
        <v>8.7940000000000005</v>
      </c>
    </row>
    <row r="497" spans="1:15" ht="15">
      <c r="A497" s="13">
        <v>56281</v>
      </c>
      <c r="B497" s="65">
        <f>7.4071 * CHOOSE(CONTROL!$C$23, $C$12, 100%, $E$12)</f>
        <v>7.4070999999999998</v>
      </c>
      <c r="C497" s="65">
        <f>7.4071 * CHOOSE(CONTROL!$C$23, $C$12, 100%, $E$12)</f>
        <v>7.4070999999999998</v>
      </c>
      <c r="D497" s="65">
        <f>7.4111 * CHOOSE(CONTROL!$C$23, $C$12, 100%, $E$12)</f>
        <v>7.4111000000000002</v>
      </c>
      <c r="E497" s="66">
        <f>8.642 * CHOOSE(CONTROL!$C$23, $C$12, 100%, $E$12)</f>
        <v>8.6419999999999995</v>
      </c>
      <c r="F497" s="66">
        <f>8.642 * CHOOSE(CONTROL!$C$23, $C$12, 100%, $E$12)</f>
        <v>8.6419999999999995</v>
      </c>
      <c r="G497" s="66">
        <f>8.6469 * CHOOSE(CONTROL!$C$23, $C$12, 100%, $E$12)</f>
        <v>8.6469000000000005</v>
      </c>
      <c r="H497" s="66">
        <f>16.0546* CHOOSE(CONTROL!$C$23, $C$12, 100%, $E$12)</f>
        <v>16.054600000000001</v>
      </c>
      <c r="I497" s="66">
        <f>16.0595 * CHOOSE(CONTROL!$C$23, $C$12, 100%, $E$12)</f>
        <v>16.0595</v>
      </c>
      <c r="J497" s="66">
        <f>16.0546 * CHOOSE(CONTROL!$C$23, $C$12, 100%, $E$12)</f>
        <v>16.054600000000001</v>
      </c>
      <c r="K497" s="66">
        <f>16.0595 * CHOOSE(CONTROL!$C$23, $C$12, 100%, $E$12)</f>
        <v>16.0595</v>
      </c>
      <c r="L497" s="66">
        <f>8.642 * CHOOSE(CONTROL!$C$23, $C$12, 100%, $E$12)</f>
        <v>8.6419999999999995</v>
      </c>
      <c r="M497" s="66">
        <f>8.6469 * CHOOSE(CONTROL!$C$23, $C$12, 100%, $E$12)</f>
        <v>8.6469000000000005</v>
      </c>
      <c r="N497" s="66">
        <f>8.642 * CHOOSE(CONTROL!$C$23, $C$12, 100%, $E$12)</f>
        <v>8.6419999999999995</v>
      </c>
      <c r="O497" s="66">
        <f>8.6469 * CHOOSE(CONTROL!$C$23, $C$12, 100%, $E$12)</f>
        <v>8.6469000000000005</v>
      </c>
    </row>
    <row r="498" spans="1:15" ht="15">
      <c r="A498" s="13">
        <v>56309</v>
      </c>
      <c r="B498" s="65">
        <f>7.4041 * CHOOSE(CONTROL!$C$23, $C$12, 100%, $E$12)</f>
        <v>7.4040999999999997</v>
      </c>
      <c r="C498" s="65">
        <f>7.4041 * CHOOSE(CONTROL!$C$23, $C$12, 100%, $E$12)</f>
        <v>7.4040999999999997</v>
      </c>
      <c r="D498" s="65">
        <f>7.4081 * CHOOSE(CONTROL!$C$23, $C$12, 100%, $E$12)</f>
        <v>7.4081000000000001</v>
      </c>
      <c r="E498" s="66">
        <f>8.7542 * CHOOSE(CONTROL!$C$23, $C$12, 100%, $E$12)</f>
        <v>8.7542000000000009</v>
      </c>
      <c r="F498" s="66">
        <f>8.7542 * CHOOSE(CONTROL!$C$23, $C$12, 100%, $E$12)</f>
        <v>8.7542000000000009</v>
      </c>
      <c r="G498" s="66">
        <f>8.7591 * CHOOSE(CONTROL!$C$23, $C$12, 100%, $E$12)</f>
        <v>8.7591000000000001</v>
      </c>
      <c r="H498" s="66">
        <f>16.088* CHOOSE(CONTROL!$C$23, $C$12, 100%, $E$12)</f>
        <v>16.088000000000001</v>
      </c>
      <c r="I498" s="66">
        <f>16.0929 * CHOOSE(CONTROL!$C$23, $C$12, 100%, $E$12)</f>
        <v>16.0929</v>
      </c>
      <c r="J498" s="66">
        <f>16.088 * CHOOSE(CONTROL!$C$23, $C$12, 100%, $E$12)</f>
        <v>16.088000000000001</v>
      </c>
      <c r="K498" s="66">
        <f>16.0929 * CHOOSE(CONTROL!$C$23, $C$12, 100%, $E$12)</f>
        <v>16.0929</v>
      </c>
      <c r="L498" s="66">
        <f>8.7542 * CHOOSE(CONTROL!$C$23, $C$12, 100%, $E$12)</f>
        <v>8.7542000000000009</v>
      </c>
      <c r="M498" s="66">
        <f>8.7591 * CHOOSE(CONTROL!$C$23, $C$12, 100%, $E$12)</f>
        <v>8.7591000000000001</v>
      </c>
      <c r="N498" s="66">
        <f>8.7542 * CHOOSE(CONTROL!$C$23, $C$12, 100%, $E$12)</f>
        <v>8.7542000000000009</v>
      </c>
      <c r="O498" s="66">
        <f>8.7591 * CHOOSE(CONTROL!$C$23, $C$12, 100%, $E$12)</f>
        <v>8.7591000000000001</v>
      </c>
    </row>
    <row r="499" spans="1:15" ht="15">
      <c r="A499" s="13">
        <v>56340</v>
      </c>
      <c r="B499" s="65">
        <f>7.4046 * CHOOSE(CONTROL!$C$23, $C$12, 100%, $E$12)</f>
        <v>7.4046000000000003</v>
      </c>
      <c r="C499" s="65">
        <f>7.4046 * CHOOSE(CONTROL!$C$23, $C$12, 100%, $E$12)</f>
        <v>7.4046000000000003</v>
      </c>
      <c r="D499" s="65">
        <f>7.4086 * CHOOSE(CONTROL!$C$23, $C$12, 100%, $E$12)</f>
        <v>7.4085999999999999</v>
      </c>
      <c r="E499" s="66">
        <f>8.8727 * CHOOSE(CONTROL!$C$23, $C$12, 100%, $E$12)</f>
        <v>8.8727</v>
      </c>
      <c r="F499" s="66">
        <f>8.8727 * CHOOSE(CONTROL!$C$23, $C$12, 100%, $E$12)</f>
        <v>8.8727</v>
      </c>
      <c r="G499" s="66">
        <f>8.8776 * CHOOSE(CONTROL!$C$23, $C$12, 100%, $E$12)</f>
        <v>8.8775999999999993</v>
      </c>
      <c r="H499" s="66">
        <f>16.1215* CHOOSE(CONTROL!$C$23, $C$12, 100%, $E$12)</f>
        <v>16.121500000000001</v>
      </c>
      <c r="I499" s="66">
        <f>16.1265 * CHOOSE(CONTROL!$C$23, $C$12, 100%, $E$12)</f>
        <v>16.1265</v>
      </c>
      <c r="J499" s="66">
        <f>16.1215 * CHOOSE(CONTROL!$C$23, $C$12, 100%, $E$12)</f>
        <v>16.121500000000001</v>
      </c>
      <c r="K499" s="66">
        <f>16.1265 * CHOOSE(CONTROL!$C$23, $C$12, 100%, $E$12)</f>
        <v>16.1265</v>
      </c>
      <c r="L499" s="66">
        <f>8.8727 * CHOOSE(CONTROL!$C$23, $C$12, 100%, $E$12)</f>
        <v>8.8727</v>
      </c>
      <c r="M499" s="66">
        <f>8.8776 * CHOOSE(CONTROL!$C$23, $C$12, 100%, $E$12)</f>
        <v>8.8775999999999993</v>
      </c>
      <c r="N499" s="66">
        <f>8.8727 * CHOOSE(CONTROL!$C$23, $C$12, 100%, $E$12)</f>
        <v>8.8727</v>
      </c>
      <c r="O499" s="66">
        <f>8.8776 * CHOOSE(CONTROL!$C$23, $C$12, 100%, $E$12)</f>
        <v>8.8775999999999993</v>
      </c>
    </row>
    <row r="500" spans="1:15" ht="15">
      <c r="A500" s="13">
        <v>56370</v>
      </c>
      <c r="B500" s="65">
        <f>7.4046 * CHOOSE(CONTROL!$C$23, $C$12, 100%, $E$12)</f>
        <v>7.4046000000000003</v>
      </c>
      <c r="C500" s="65">
        <f>7.4046 * CHOOSE(CONTROL!$C$23, $C$12, 100%, $E$12)</f>
        <v>7.4046000000000003</v>
      </c>
      <c r="D500" s="65">
        <f>7.4103 * CHOOSE(CONTROL!$C$23, $C$12, 100%, $E$12)</f>
        <v>7.4103000000000003</v>
      </c>
      <c r="E500" s="66">
        <f>8.9187 * CHOOSE(CONTROL!$C$23, $C$12, 100%, $E$12)</f>
        <v>8.9186999999999994</v>
      </c>
      <c r="F500" s="66">
        <f>8.9187 * CHOOSE(CONTROL!$C$23, $C$12, 100%, $E$12)</f>
        <v>8.9186999999999994</v>
      </c>
      <c r="G500" s="66">
        <f>8.9256 * CHOOSE(CONTROL!$C$23, $C$12, 100%, $E$12)</f>
        <v>8.9255999999999993</v>
      </c>
      <c r="H500" s="66">
        <f>16.1551* CHOOSE(CONTROL!$C$23, $C$12, 100%, $E$12)</f>
        <v>16.155100000000001</v>
      </c>
      <c r="I500" s="66">
        <f>16.162 * CHOOSE(CONTROL!$C$23, $C$12, 100%, $E$12)</f>
        <v>16.161999999999999</v>
      </c>
      <c r="J500" s="66">
        <f>16.1551 * CHOOSE(CONTROL!$C$23, $C$12, 100%, $E$12)</f>
        <v>16.155100000000001</v>
      </c>
      <c r="K500" s="66">
        <f>16.162 * CHOOSE(CONTROL!$C$23, $C$12, 100%, $E$12)</f>
        <v>16.161999999999999</v>
      </c>
      <c r="L500" s="66">
        <f>8.9187 * CHOOSE(CONTROL!$C$23, $C$12, 100%, $E$12)</f>
        <v>8.9186999999999994</v>
      </c>
      <c r="M500" s="66">
        <f>8.9256 * CHOOSE(CONTROL!$C$23, $C$12, 100%, $E$12)</f>
        <v>8.9255999999999993</v>
      </c>
      <c r="N500" s="66">
        <f>8.9187 * CHOOSE(CONTROL!$C$23, $C$12, 100%, $E$12)</f>
        <v>8.9186999999999994</v>
      </c>
      <c r="O500" s="66">
        <f>8.9256 * CHOOSE(CONTROL!$C$23, $C$12, 100%, $E$12)</f>
        <v>8.9255999999999993</v>
      </c>
    </row>
    <row r="501" spans="1:15" ht="15">
      <c r="A501" s="13">
        <v>56401</v>
      </c>
      <c r="B501" s="65">
        <f>7.4107 * CHOOSE(CONTROL!$C$23, $C$12, 100%, $E$12)</f>
        <v>7.4107000000000003</v>
      </c>
      <c r="C501" s="65">
        <f>7.4107 * CHOOSE(CONTROL!$C$23, $C$12, 100%, $E$12)</f>
        <v>7.4107000000000003</v>
      </c>
      <c r="D501" s="65">
        <f>7.4163 * CHOOSE(CONTROL!$C$23, $C$12, 100%, $E$12)</f>
        <v>7.4162999999999997</v>
      </c>
      <c r="E501" s="66">
        <f>8.8769 * CHOOSE(CONTROL!$C$23, $C$12, 100%, $E$12)</f>
        <v>8.8768999999999991</v>
      </c>
      <c r="F501" s="66">
        <f>8.8769 * CHOOSE(CONTROL!$C$23, $C$12, 100%, $E$12)</f>
        <v>8.8768999999999991</v>
      </c>
      <c r="G501" s="66">
        <f>8.8838 * CHOOSE(CONTROL!$C$23, $C$12, 100%, $E$12)</f>
        <v>8.8838000000000008</v>
      </c>
      <c r="H501" s="66">
        <f>16.1888* CHOOSE(CONTROL!$C$23, $C$12, 100%, $E$12)</f>
        <v>16.188800000000001</v>
      </c>
      <c r="I501" s="66">
        <f>16.1957 * CHOOSE(CONTROL!$C$23, $C$12, 100%, $E$12)</f>
        <v>16.195699999999999</v>
      </c>
      <c r="J501" s="66">
        <f>16.1888 * CHOOSE(CONTROL!$C$23, $C$12, 100%, $E$12)</f>
        <v>16.188800000000001</v>
      </c>
      <c r="K501" s="66">
        <f>16.1957 * CHOOSE(CONTROL!$C$23, $C$12, 100%, $E$12)</f>
        <v>16.195699999999999</v>
      </c>
      <c r="L501" s="66">
        <f>8.8769 * CHOOSE(CONTROL!$C$23, $C$12, 100%, $E$12)</f>
        <v>8.8768999999999991</v>
      </c>
      <c r="M501" s="66">
        <f>8.8838 * CHOOSE(CONTROL!$C$23, $C$12, 100%, $E$12)</f>
        <v>8.8838000000000008</v>
      </c>
      <c r="N501" s="66">
        <f>8.8769 * CHOOSE(CONTROL!$C$23, $C$12, 100%, $E$12)</f>
        <v>8.8768999999999991</v>
      </c>
      <c r="O501" s="66">
        <f>8.8838 * CHOOSE(CONTROL!$C$23, $C$12, 100%, $E$12)</f>
        <v>8.8838000000000008</v>
      </c>
    </row>
    <row r="502" spans="1:15" ht="15">
      <c r="A502" s="13">
        <v>56431</v>
      </c>
      <c r="B502" s="65">
        <f>7.5277 * CHOOSE(CONTROL!$C$23, $C$12, 100%, $E$12)</f>
        <v>7.5277000000000003</v>
      </c>
      <c r="C502" s="65">
        <f>7.5277 * CHOOSE(CONTROL!$C$23, $C$12, 100%, $E$12)</f>
        <v>7.5277000000000003</v>
      </c>
      <c r="D502" s="65">
        <f>7.5334 * CHOOSE(CONTROL!$C$23, $C$12, 100%, $E$12)</f>
        <v>7.5334000000000003</v>
      </c>
      <c r="E502" s="66">
        <f>9.0233 * CHOOSE(CONTROL!$C$23, $C$12, 100%, $E$12)</f>
        <v>9.0233000000000008</v>
      </c>
      <c r="F502" s="66">
        <f>9.0233 * CHOOSE(CONTROL!$C$23, $C$12, 100%, $E$12)</f>
        <v>9.0233000000000008</v>
      </c>
      <c r="G502" s="66">
        <f>9.0302 * CHOOSE(CONTROL!$C$23, $C$12, 100%, $E$12)</f>
        <v>9.0302000000000007</v>
      </c>
      <c r="H502" s="66">
        <f>16.2225* CHOOSE(CONTROL!$C$23, $C$12, 100%, $E$12)</f>
        <v>16.2225</v>
      </c>
      <c r="I502" s="66">
        <f>16.2294 * CHOOSE(CONTROL!$C$23, $C$12, 100%, $E$12)</f>
        <v>16.229399999999998</v>
      </c>
      <c r="J502" s="66">
        <f>16.2225 * CHOOSE(CONTROL!$C$23, $C$12, 100%, $E$12)</f>
        <v>16.2225</v>
      </c>
      <c r="K502" s="66">
        <f>16.2294 * CHOOSE(CONTROL!$C$23, $C$12, 100%, $E$12)</f>
        <v>16.229399999999998</v>
      </c>
      <c r="L502" s="66">
        <f>9.0233 * CHOOSE(CONTROL!$C$23, $C$12, 100%, $E$12)</f>
        <v>9.0233000000000008</v>
      </c>
      <c r="M502" s="66">
        <f>9.0302 * CHOOSE(CONTROL!$C$23, $C$12, 100%, $E$12)</f>
        <v>9.0302000000000007</v>
      </c>
      <c r="N502" s="66">
        <f>9.0233 * CHOOSE(CONTROL!$C$23, $C$12, 100%, $E$12)</f>
        <v>9.0233000000000008</v>
      </c>
      <c r="O502" s="66">
        <f>9.0302 * CHOOSE(CONTROL!$C$23, $C$12, 100%, $E$12)</f>
        <v>9.0302000000000007</v>
      </c>
    </row>
    <row r="503" spans="1:15" ht="15">
      <c r="A503" s="13">
        <v>56462</v>
      </c>
      <c r="B503" s="65">
        <f>7.5344 * CHOOSE(CONTROL!$C$23, $C$12, 100%, $E$12)</f>
        <v>7.5343999999999998</v>
      </c>
      <c r="C503" s="65">
        <f>7.5344 * CHOOSE(CONTROL!$C$23, $C$12, 100%, $E$12)</f>
        <v>7.5343999999999998</v>
      </c>
      <c r="D503" s="65">
        <f>7.5401 * CHOOSE(CONTROL!$C$23, $C$12, 100%, $E$12)</f>
        <v>7.5400999999999998</v>
      </c>
      <c r="E503" s="66">
        <f>8.8899 * CHOOSE(CONTROL!$C$23, $C$12, 100%, $E$12)</f>
        <v>8.8899000000000008</v>
      </c>
      <c r="F503" s="66">
        <f>8.8899 * CHOOSE(CONTROL!$C$23, $C$12, 100%, $E$12)</f>
        <v>8.8899000000000008</v>
      </c>
      <c r="G503" s="66">
        <f>8.8968 * CHOOSE(CONTROL!$C$23, $C$12, 100%, $E$12)</f>
        <v>8.8968000000000007</v>
      </c>
      <c r="H503" s="66">
        <f>16.2563* CHOOSE(CONTROL!$C$23, $C$12, 100%, $E$12)</f>
        <v>16.2563</v>
      </c>
      <c r="I503" s="66">
        <f>16.2632 * CHOOSE(CONTROL!$C$23, $C$12, 100%, $E$12)</f>
        <v>16.263200000000001</v>
      </c>
      <c r="J503" s="66">
        <f>16.2563 * CHOOSE(CONTROL!$C$23, $C$12, 100%, $E$12)</f>
        <v>16.2563</v>
      </c>
      <c r="K503" s="66">
        <f>16.2632 * CHOOSE(CONTROL!$C$23, $C$12, 100%, $E$12)</f>
        <v>16.263200000000001</v>
      </c>
      <c r="L503" s="66">
        <f>8.8899 * CHOOSE(CONTROL!$C$23, $C$12, 100%, $E$12)</f>
        <v>8.8899000000000008</v>
      </c>
      <c r="M503" s="66">
        <f>8.8968 * CHOOSE(CONTROL!$C$23, $C$12, 100%, $E$12)</f>
        <v>8.8968000000000007</v>
      </c>
      <c r="N503" s="66">
        <f>8.8899 * CHOOSE(CONTROL!$C$23, $C$12, 100%, $E$12)</f>
        <v>8.8899000000000008</v>
      </c>
      <c r="O503" s="66">
        <f>8.8968 * CHOOSE(CONTROL!$C$23, $C$12, 100%, $E$12)</f>
        <v>8.8968000000000007</v>
      </c>
    </row>
    <row r="504" spans="1:15" ht="15">
      <c r="A504" s="13">
        <v>56493</v>
      </c>
      <c r="B504" s="65">
        <f>7.5314 * CHOOSE(CONTROL!$C$23, $C$12, 100%, $E$12)</f>
        <v>7.5313999999999997</v>
      </c>
      <c r="C504" s="65">
        <f>7.5314 * CHOOSE(CONTROL!$C$23, $C$12, 100%, $E$12)</f>
        <v>7.5313999999999997</v>
      </c>
      <c r="D504" s="65">
        <f>7.537 * CHOOSE(CONTROL!$C$23, $C$12, 100%, $E$12)</f>
        <v>7.5369999999999999</v>
      </c>
      <c r="E504" s="66">
        <f>8.8725 * CHOOSE(CONTROL!$C$23, $C$12, 100%, $E$12)</f>
        <v>8.8725000000000005</v>
      </c>
      <c r="F504" s="66">
        <f>8.8725 * CHOOSE(CONTROL!$C$23, $C$12, 100%, $E$12)</f>
        <v>8.8725000000000005</v>
      </c>
      <c r="G504" s="66">
        <f>8.8793 * CHOOSE(CONTROL!$C$23, $C$12, 100%, $E$12)</f>
        <v>8.8793000000000006</v>
      </c>
      <c r="H504" s="66">
        <f>16.2902* CHOOSE(CONTROL!$C$23, $C$12, 100%, $E$12)</f>
        <v>16.290199999999999</v>
      </c>
      <c r="I504" s="66">
        <f>16.2971 * CHOOSE(CONTROL!$C$23, $C$12, 100%, $E$12)</f>
        <v>16.2971</v>
      </c>
      <c r="J504" s="66">
        <f>16.2902 * CHOOSE(CONTROL!$C$23, $C$12, 100%, $E$12)</f>
        <v>16.290199999999999</v>
      </c>
      <c r="K504" s="66">
        <f>16.2971 * CHOOSE(CONTROL!$C$23, $C$12, 100%, $E$12)</f>
        <v>16.2971</v>
      </c>
      <c r="L504" s="66">
        <f>8.8725 * CHOOSE(CONTROL!$C$23, $C$12, 100%, $E$12)</f>
        <v>8.8725000000000005</v>
      </c>
      <c r="M504" s="66">
        <f>8.8793 * CHOOSE(CONTROL!$C$23, $C$12, 100%, $E$12)</f>
        <v>8.8793000000000006</v>
      </c>
      <c r="N504" s="66">
        <f>8.8725 * CHOOSE(CONTROL!$C$23, $C$12, 100%, $E$12)</f>
        <v>8.8725000000000005</v>
      </c>
      <c r="O504" s="66">
        <f>8.8793 * CHOOSE(CONTROL!$C$23, $C$12, 100%, $E$12)</f>
        <v>8.8793000000000006</v>
      </c>
    </row>
    <row r="505" spans="1:15" ht="15">
      <c r="A505" s="13">
        <v>56523</v>
      </c>
      <c r="B505" s="65">
        <f>7.5381 * CHOOSE(CONTROL!$C$23, $C$12, 100%, $E$12)</f>
        <v>7.5381</v>
      </c>
      <c r="C505" s="65">
        <f>7.5381 * CHOOSE(CONTROL!$C$23, $C$12, 100%, $E$12)</f>
        <v>7.5381</v>
      </c>
      <c r="D505" s="65">
        <f>7.5421 * CHOOSE(CONTROL!$C$23, $C$12, 100%, $E$12)</f>
        <v>7.5420999999999996</v>
      </c>
      <c r="E505" s="66">
        <f>8.9204 * CHOOSE(CONTROL!$C$23, $C$12, 100%, $E$12)</f>
        <v>8.9204000000000008</v>
      </c>
      <c r="F505" s="66">
        <f>8.9204 * CHOOSE(CONTROL!$C$23, $C$12, 100%, $E$12)</f>
        <v>8.9204000000000008</v>
      </c>
      <c r="G505" s="66">
        <f>8.9253 * CHOOSE(CONTROL!$C$23, $C$12, 100%, $E$12)</f>
        <v>8.9253</v>
      </c>
      <c r="H505" s="66">
        <f>16.3241* CHOOSE(CONTROL!$C$23, $C$12, 100%, $E$12)</f>
        <v>16.324100000000001</v>
      </c>
      <c r="I505" s="66">
        <f>16.329 * CHOOSE(CONTROL!$C$23, $C$12, 100%, $E$12)</f>
        <v>16.329000000000001</v>
      </c>
      <c r="J505" s="66">
        <f>16.3241 * CHOOSE(CONTROL!$C$23, $C$12, 100%, $E$12)</f>
        <v>16.324100000000001</v>
      </c>
      <c r="K505" s="66">
        <f>16.329 * CHOOSE(CONTROL!$C$23, $C$12, 100%, $E$12)</f>
        <v>16.329000000000001</v>
      </c>
      <c r="L505" s="66">
        <f>8.9204 * CHOOSE(CONTROL!$C$23, $C$12, 100%, $E$12)</f>
        <v>8.9204000000000008</v>
      </c>
      <c r="M505" s="66">
        <f>8.9253 * CHOOSE(CONTROL!$C$23, $C$12, 100%, $E$12)</f>
        <v>8.9253</v>
      </c>
      <c r="N505" s="66">
        <f>8.9204 * CHOOSE(CONTROL!$C$23, $C$12, 100%, $E$12)</f>
        <v>8.9204000000000008</v>
      </c>
      <c r="O505" s="66">
        <f>8.9253 * CHOOSE(CONTROL!$C$23, $C$12, 100%, $E$12)</f>
        <v>8.9253</v>
      </c>
    </row>
    <row r="506" spans="1:15" ht="15">
      <c r="A506" s="13">
        <v>56554</v>
      </c>
      <c r="B506" s="65">
        <f>7.5411 * CHOOSE(CONTROL!$C$23, $C$12, 100%, $E$12)</f>
        <v>7.5411000000000001</v>
      </c>
      <c r="C506" s="65">
        <f>7.5411 * CHOOSE(CONTROL!$C$23, $C$12, 100%, $E$12)</f>
        <v>7.5411000000000001</v>
      </c>
      <c r="D506" s="65">
        <f>7.5451 * CHOOSE(CONTROL!$C$23, $C$12, 100%, $E$12)</f>
        <v>7.5450999999999997</v>
      </c>
      <c r="E506" s="66">
        <f>8.9532 * CHOOSE(CONTROL!$C$23, $C$12, 100%, $E$12)</f>
        <v>8.9532000000000007</v>
      </c>
      <c r="F506" s="66">
        <f>8.9532 * CHOOSE(CONTROL!$C$23, $C$12, 100%, $E$12)</f>
        <v>8.9532000000000007</v>
      </c>
      <c r="G506" s="66">
        <f>8.9581 * CHOOSE(CONTROL!$C$23, $C$12, 100%, $E$12)</f>
        <v>8.9581</v>
      </c>
      <c r="H506" s="66">
        <f>16.3581* CHOOSE(CONTROL!$C$23, $C$12, 100%, $E$12)</f>
        <v>16.3581</v>
      </c>
      <c r="I506" s="66">
        <f>16.363 * CHOOSE(CONTROL!$C$23, $C$12, 100%, $E$12)</f>
        <v>16.363</v>
      </c>
      <c r="J506" s="66">
        <f>16.3581 * CHOOSE(CONTROL!$C$23, $C$12, 100%, $E$12)</f>
        <v>16.3581</v>
      </c>
      <c r="K506" s="66">
        <f>16.363 * CHOOSE(CONTROL!$C$23, $C$12, 100%, $E$12)</f>
        <v>16.363</v>
      </c>
      <c r="L506" s="66">
        <f>8.9532 * CHOOSE(CONTROL!$C$23, $C$12, 100%, $E$12)</f>
        <v>8.9532000000000007</v>
      </c>
      <c r="M506" s="66">
        <f>8.9581 * CHOOSE(CONTROL!$C$23, $C$12, 100%, $E$12)</f>
        <v>8.9581</v>
      </c>
      <c r="N506" s="66">
        <f>8.9532 * CHOOSE(CONTROL!$C$23, $C$12, 100%, $E$12)</f>
        <v>8.9532000000000007</v>
      </c>
      <c r="O506" s="66">
        <f>8.9581 * CHOOSE(CONTROL!$C$23, $C$12, 100%, $E$12)</f>
        <v>8.9581</v>
      </c>
    </row>
    <row r="507" spans="1:15" ht="15">
      <c r="A507" s="13">
        <v>56584</v>
      </c>
      <c r="B507" s="65">
        <f>7.5411 * CHOOSE(CONTROL!$C$23, $C$12, 100%, $E$12)</f>
        <v>7.5411000000000001</v>
      </c>
      <c r="C507" s="65">
        <f>7.5411 * CHOOSE(CONTROL!$C$23, $C$12, 100%, $E$12)</f>
        <v>7.5411000000000001</v>
      </c>
      <c r="D507" s="65">
        <f>7.5451 * CHOOSE(CONTROL!$C$23, $C$12, 100%, $E$12)</f>
        <v>7.5450999999999997</v>
      </c>
      <c r="E507" s="66">
        <f>8.8765 * CHOOSE(CONTROL!$C$23, $C$12, 100%, $E$12)</f>
        <v>8.8765000000000001</v>
      </c>
      <c r="F507" s="66">
        <f>8.8765 * CHOOSE(CONTROL!$C$23, $C$12, 100%, $E$12)</f>
        <v>8.8765000000000001</v>
      </c>
      <c r="G507" s="66">
        <f>8.8814 * CHOOSE(CONTROL!$C$23, $C$12, 100%, $E$12)</f>
        <v>8.8813999999999993</v>
      </c>
      <c r="H507" s="66">
        <f>16.3922* CHOOSE(CONTROL!$C$23, $C$12, 100%, $E$12)</f>
        <v>16.392199999999999</v>
      </c>
      <c r="I507" s="66">
        <f>16.3971 * CHOOSE(CONTROL!$C$23, $C$12, 100%, $E$12)</f>
        <v>16.397099999999998</v>
      </c>
      <c r="J507" s="66">
        <f>16.3922 * CHOOSE(CONTROL!$C$23, $C$12, 100%, $E$12)</f>
        <v>16.392199999999999</v>
      </c>
      <c r="K507" s="66">
        <f>16.3971 * CHOOSE(CONTROL!$C$23, $C$12, 100%, $E$12)</f>
        <v>16.397099999999998</v>
      </c>
      <c r="L507" s="66">
        <f>8.8765 * CHOOSE(CONTROL!$C$23, $C$12, 100%, $E$12)</f>
        <v>8.8765000000000001</v>
      </c>
      <c r="M507" s="66">
        <f>8.8814 * CHOOSE(CONTROL!$C$23, $C$12, 100%, $E$12)</f>
        <v>8.8813999999999993</v>
      </c>
      <c r="N507" s="66">
        <f>8.8765 * CHOOSE(CONTROL!$C$23, $C$12, 100%, $E$12)</f>
        <v>8.8765000000000001</v>
      </c>
      <c r="O507" s="66">
        <f>8.8814 * CHOOSE(CONTROL!$C$23, $C$12, 100%, $E$12)</f>
        <v>8.8813999999999993</v>
      </c>
    </row>
    <row r="508" spans="1:15" ht="15">
      <c r="A508" s="13">
        <v>56615</v>
      </c>
      <c r="B508" s="65">
        <f>7.606 * CHOOSE(CONTROL!$C$23, $C$12, 100%, $E$12)</f>
        <v>7.6059999999999999</v>
      </c>
      <c r="C508" s="65">
        <f>7.606 * CHOOSE(CONTROL!$C$23, $C$12, 100%, $E$12)</f>
        <v>7.6059999999999999</v>
      </c>
      <c r="D508" s="65">
        <f>7.61 * CHOOSE(CONTROL!$C$23, $C$12, 100%, $E$12)</f>
        <v>7.61</v>
      </c>
      <c r="E508" s="66">
        <f>9.004 * CHOOSE(CONTROL!$C$23, $C$12, 100%, $E$12)</f>
        <v>9.0039999999999996</v>
      </c>
      <c r="F508" s="66">
        <f>9.004 * CHOOSE(CONTROL!$C$23, $C$12, 100%, $E$12)</f>
        <v>9.0039999999999996</v>
      </c>
      <c r="G508" s="66">
        <f>9.0089 * CHOOSE(CONTROL!$C$23, $C$12, 100%, $E$12)</f>
        <v>9.0089000000000006</v>
      </c>
      <c r="H508" s="66">
        <f>16.4263* CHOOSE(CONTROL!$C$23, $C$12, 100%, $E$12)</f>
        <v>16.426300000000001</v>
      </c>
      <c r="I508" s="66">
        <f>16.4313 * CHOOSE(CONTROL!$C$23, $C$12, 100%, $E$12)</f>
        <v>16.4313</v>
      </c>
      <c r="J508" s="66">
        <f>16.4263 * CHOOSE(CONTROL!$C$23, $C$12, 100%, $E$12)</f>
        <v>16.426300000000001</v>
      </c>
      <c r="K508" s="66">
        <f>16.4313 * CHOOSE(CONTROL!$C$23, $C$12, 100%, $E$12)</f>
        <v>16.4313</v>
      </c>
      <c r="L508" s="66">
        <f>9.004 * CHOOSE(CONTROL!$C$23, $C$12, 100%, $E$12)</f>
        <v>9.0039999999999996</v>
      </c>
      <c r="M508" s="66">
        <f>9.0089 * CHOOSE(CONTROL!$C$23, $C$12, 100%, $E$12)</f>
        <v>9.0089000000000006</v>
      </c>
      <c r="N508" s="66">
        <f>9.004 * CHOOSE(CONTROL!$C$23, $C$12, 100%, $E$12)</f>
        <v>9.0039999999999996</v>
      </c>
      <c r="O508" s="66">
        <f>9.0089 * CHOOSE(CONTROL!$C$23, $C$12, 100%, $E$12)</f>
        <v>9.0089000000000006</v>
      </c>
    </row>
    <row r="509" spans="1:15" ht="15">
      <c r="A509" s="13">
        <v>56646</v>
      </c>
      <c r="B509" s="65">
        <f>7.603 * CHOOSE(CONTROL!$C$23, $C$12, 100%, $E$12)</f>
        <v>7.6029999999999998</v>
      </c>
      <c r="C509" s="65">
        <f>7.603 * CHOOSE(CONTROL!$C$23, $C$12, 100%, $E$12)</f>
        <v>7.6029999999999998</v>
      </c>
      <c r="D509" s="65">
        <f>7.607 * CHOOSE(CONTROL!$C$23, $C$12, 100%, $E$12)</f>
        <v>7.6070000000000002</v>
      </c>
      <c r="E509" s="66">
        <f>8.8528 * CHOOSE(CONTROL!$C$23, $C$12, 100%, $E$12)</f>
        <v>8.8528000000000002</v>
      </c>
      <c r="F509" s="66">
        <f>8.8528 * CHOOSE(CONTROL!$C$23, $C$12, 100%, $E$12)</f>
        <v>8.8528000000000002</v>
      </c>
      <c r="G509" s="66">
        <f>8.8578 * CHOOSE(CONTROL!$C$23, $C$12, 100%, $E$12)</f>
        <v>8.8577999999999992</v>
      </c>
      <c r="H509" s="66">
        <f>16.4606* CHOOSE(CONTROL!$C$23, $C$12, 100%, $E$12)</f>
        <v>16.460599999999999</v>
      </c>
      <c r="I509" s="66">
        <f>16.4655 * CHOOSE(CONTROL!$C$23, $C$12, 100%, $E$12)</f>
        <v>16.465499999999999</v>
      </c>
      <c r="J509" s="66">
        <f>16.4606 * CHOOSE(CONTROL!$C$23, $C$12, 100%, $E$12)</f>
        <v>16.460599999999999</v>
      </c>
      <c r="K509" s="66">
        <f>16.4655 * CHOOSE(CONTROL!$C$23, $C$12, 100%, $E$12)</f>
        <v>16.465499999999999</v>
      </c>
      <c r="L509" s="66">
        <f>8.8528 * CHOOSE(CONTROL!$C$23, $C$12, 100%, $E$12)</f>
        <v>8.8528000000000002</v>
      </c>
      <c r="M509" s="66">
        <f>8.8578 * CHOOSE(CONTROL!$C$23, $C$12, 100%, $E$12)</f>
        <v>8.8577999999999992</v>
      </c>
      <c r="N509" s="66">
        <f>8.8528 * CHOOSE(CONTROL!$C$23, $C$12, 100%, $E$12)</f>
        <v>8.8528000000000002</v>
      </c>
      <c r="O509" s="66">
        <f>8.8578 * CHOOSE(CONTROL!$C$23, $C$12, 100%, $E$12)</f>
        <v>8.8577999999999992</v>
      </c>
    </row>
    <row r="510" spans="1:15" ht="15">
      <c r="A510" s="13">
        <v>56674</v>
      </c>
      <c r="B510" s="65">
        <f>7.6 * CHOOSE(CONTROL!$C$23, $C$12, 100%, $E$12)</f>
        <v>7.6</v>
      </c>
      <c r="C510" s="65">
        <f>7.6 * CHOOSE(CONTROL!$C$23, $C$12, 100%, $E$12)</f>
        <v>7.6</v>
      </c>
      <c r="D510" s="65">
        <f>7.6039 * CHOOSE(CONTROL!$C$23, $C$12, 100%, $E$12)</f>
        <v>7.6039000000000003</v>
      </c>
      <c r="E510" s="66">
        <f>8.9682 * CHOOSE(CONTROL!$C$23, $C$12, 100%, $E$12)</f>
        <v>8.9681999999999995</v>
      </c>
      <c r="F510" s="66">
        <f>8.9682 * CHOOSE(CONTROL!$C$23, $C$12, 100%, $E$12)</f>
        <v>8.9681999999999995</v>
      </c>
      <c r="G510" s="66">
        <f>8.9731 * CHOOSE(CONTROL!$C$23, $C$12, 100%, $E$12)</f>
        <v>8.9731000000000005</v>
      </c>
      <c r="H510" s="66">
        <f>16.4949* CHOOSE(CONTROL!$C$23, $C$12, 100%, $E$12)</f>
        <v>16.494900000000001</v>
      </c>
      <c r="I510" s="66">
        <f>16.4998 * CHOOSE(CONTROL!$C$23, $C$12, 100%, $E$12)</f>
        <v>16.4998</v>
      </c>
      <c r="J510" s="66">
        <f>16.4949 * CHOOSE(CONTROL!$C$23, $C$12, 100%, $E$12)</f>
        <v>16.494900000000001</v>
      </c>
      <c r="K510" s="66">
        <f>16.4998 * CHOOSE(CONTROL!$C$23, $C$12, 100%, $E$12)</f>
        <v>16.4998</v>
      </c>
      <c r="L510" s="66">
        <f>8.9682 * CHOOSE(CONTROL!$C$23, $C$12, 100%, $E$12)</f>
        <v>8.9681999999999995</v>
      </c>
      <c r="M510" s="66">
        <f>8.9731 * CHOOSE(CONTROL!$C$23, $C$12, 100%, $E$12)</f>
        <v>8.9731000000000005</v>
      </c>
      <c r="N510" s="66">
        <f>8.9682 * CHOOSE(CONTROL!$C$23, $C$12, 100%, $E$12)</f>
        <v>8.9681999999999995</v>
      </c>
      <c r="O510" s="66">
        <f>8.9731 * CHOOSE(CONTROL!$C$23, $C$12, 100%, $E$12)</f>
        <v>8.9731000000000005</v>
      </c>
    </row>
    <row r="511" spans="1:15" ht="15">
      <c r="A511" s="13">
        <v>56705</v>
      </c>
      <c r="B511" s="65">
        <f>7.6007 * CHOOSE(CONTROL!$C$23, $C$12, 100%, $E$12)</f>
        <v>7.6006999999999998</v>
      </c>
      <c r="C511" s="65">
        <f>7.6007 * CHOOSE(CONTROL!$C$23, $C$12, 100%, $E$12)</f>
        <v>7.6006999999999998</v>
      </c>
      <c r="D511" s="65">
        <f>7.6047 * CHOOSE(CONTROL!$C$23, $C$12, 100%, $E$12)</f>
        <v>7.6047000000000002</v>
      </c>
      <c r="E511" s="66">
        <f>9.0901 * CHOOSE(CONTROL!$C$23, $C$12, 100%, $E$12)</f>
        <v>9.0900999999999996</v>
      </c>
      <c r="F511" s="66">
        <f>9.0901 * CHOOSE(CONTROL!$C$23, $C$12, 100%, $E$12)</f>
        <v>9.0900999999999996</v>
      </c>
      <c r="G511" s="66">
        <f>9.0951 * CHOOSE(CONTROL!$C$23, $C$12, 100%, $E$12)</f>
        <v>9.0951000000000004</v>
      </c>
      <c r="H511" s="66">
        <f>16.5292* CHOOSE(CONTROL!$C$23, $C$12, 100%, $E$12)</f>
        <v>16.529199999999999</v>
      </c>
      <c r="I511" s="66">
        <f>16.5341 * CHOOSE(CONTROL!$C$23, $C$12, 100%, $E$12)</f>
        <v>16.534099999999999</v>
      </c>
      <c r="J511" s="66">
        <f>16.5292 * CHOOSE(CONTROL!$C$23, $C$12, 100%, $E$12)</f>
        <v>16.529199999999999</v>
      </c>
      <c r="K511" s="66">
        <f>16.5341 * CHOOSE(CONTROL!$C$23, $C$12, 100%, $E$12)</f>
        <v>16.534099999999999</v>
      </c>
      <c r="L511" s="66">
        <f>9.0901 * CHOOSE(CONTROL!$C$23, $C$12, 100%, $E$12)</f>
        <v>9.0900999999999996</v>
      </c>
      <c r="M511" s="66">
        <f>9.0951 * CHOOSE(CONTROL!$C$23, $C$12, 100%, $E$12)</f>
        <v>9.0951000000000004</v>
      </c>
      <c r="N511" s="66">
        <f>9.0901 * CHOOSE(CONTROL!$C$23, $C$12, 100%, $E$12)</f>
        <v>9.0900999999999996</v>
      </c>
      <c r="O511" s="66">
        <f>9.0951 * CHOOSE(CONTROL!$C$23, $C$12, 100%, $E$12)</f>
        <v>9.0951000000000004</v>
      </c>
    </row>
    <row r="512" spans="1:15" ht="15">
      <c r="A512" s="13">
        <v>56735</v>
      </c>
      <c r="B512" s="65">
        <f>7.6007 * CHOOSE(CONTROL!$C$23, $C$12, 100%, $E$12)</f>
        <v>7.6006999999999998</v>
      </c>
      <c r="C512" s="65">
        <f>7.6007 * CHOOSE(CONTROL!$C$23, $C$12, 100%, $E$12)</f>
        <v>7.6006999999999998</v>
      </c>
      <c r="D512" s="65">
        <f>7.6063 * CHOOSE(CONTROL!$C$23, $C$12, 100%, $E$12)</f>
        <v>7.6063000000000001</v>
      </c>
      <c r="E512" s="66">
        <f>9.1375 * CHOOSE(CONTROL!$C$23, $C$12, 100%, $E$12)</f>
        <v>9.1374999999999993</v>
      </c>
      <c r="F512" s="66">
        <f>9.1375 * CHOOSE(CONTROL!$C$23, $C$12, 100%, $E$12)</f>
        <v>9.1374999999999993</v>
      </c>
      <c r="G512" s="66">
        <f>9.1444 * CHOOSE(CONTROL!$C$23, $C$12, 100%, $E$12)</f>
        <v>9.1443999999999992</v>
      </c>
      <c r="H512" s="66">
        <f>16.5637* CHOOSE(CONTROL!$C$23, $C$12, 100%, $E$12)</f>
        <v>16.563700000000001</v>
      </c>
      <c r="I512" s="66">
        <f>16.5705 * CHOOSE(CONTROL!$C$23, $C$12, 100%, $E$12)</f>
        <v>16.570499999999999</v>
      </c>
      <c r="J512" s="66">
        <f>16.5637 * CHOOSE(CONTROL!$C$23, $C$12, 100%, $E$12)</f>
        <v>16.563700000000001</v>
      </c>
      <c r="K512" s="66">
        <f>16.5705 * CHOOSE(CONTROL!$C$23, $C$12, 100%, $E$12)</f>
        <v>16.570499999999999</v>
      </c>
      <c r="L512" s="66">
        <f>9.1375 * CHOOSE(CONTROL!$C$23, $C$12, 100%, $E$12)</f>
        <v>9.1374999999999993</v>
      </c>
      <c r="M512" s="66">
        <f>9.1444 * CHOOSE(CONTROL!$C$23, $C$12, 100%, $E$12)</f>
        <v>9.1443999999999992</v>
      </c>
      <c r="N512" s="66">
        <f>9.1375 * CHOOSE(CONTROL!$C$23, $C$12, 100%, $E$12)</f>
        <v>9.1374999999999993</v>
      </c>
      <c r="O512" s="66">
        <f>9.1444 * CHOOSE(CONTROL!$C$23, $C$12, 100%, $E$12)</f>
        <v>9.1443999999999992</v>
      </c>
    </row>
    <row r="513" spans="1:15" ht="15">
      <c r="A513" s="13">
        <v>56766</v>
      </c>
      <c r="B513" s="65">
        <f>7.6068 * CHOOSE(CONTROL!$C$23, $C$12, 100%, $E$12)</f>
        <v>7.6067999999999998</v>
      </c>
      <c r="C513" s="65">
        <f>7.6068 * CHOOSE(CONTROL!$C$23, $C$12, 100%, $E$12)</f>
        <v>7.6067999999999998</v>
      </c>
      <c r="D513" s="65">
        <f>7.6124 * CHOOSE(CONTROL!$C$23, $C$12, 100%, $E$12)</f>
        <v>7.6124000000000001</v>
      </c>
      <c r="E513" s="66">
        <f>9.0944 * CHOOSE(CONTROL!$C$23, $C$12, 100%, $E$12)</f>
        <v>9.0944000000000003</v>
      </c>
      <c r="F513" s="66">
        <f>9.0944 * CHOOSE(CONTROL!$C$23, $C$12, 100%, $E$12)</f>
        <v>9.0944000000000003</v>
      </c>
      <c r="G513" s="66">
        <f>9.1013 * CHOOSE(CONTROL!$C$23, $C$12, 100%, $E$12)</f>
        <v>9.1013000000000002</v>
      </c>
      <c r="H513" s="66">
        <f>16.5982* CHOOSE(CONTROL!$C$23, $C$12, 100%, $E$12)</f>
        <v>16.598199999999999</v>
      </c>
      <c r="I513" s="66">
        <f>16.6051 * CHOOSE(CONTROL!$C$23, $C$12, 100%, $E$12)</f>
        <v>16.6051</v>
      </c>
      <c r="J513" s="66">
        <f>16.5982 * CHOOSE(CONTROL!$C$23, $C$12, 100%, $E$12)</f>
        <v>16.598199999999999</v>
      </c>
      <c r="K513" s="66">
        <f>16.6051 * CHOOSE(CONTROL!$C$23, $C$12, 100%, $E$12)</f>
        <v>16.6051</v>
      </c>
      <c r="L513" s="66">
        <f>9.0944 * CHOOSE(CONTROL!$C$23, $C$12, 100%, $E$12)</f>
        <v>9.0944000000000003</v>
      </c>
      <c r="M513" s="66">
        <f>9.1013 * CHOOSE(CONTROL!$C$23, $C$12, 100%, $E$12)</f>
        <v>9.1013000000000002</v>
      </c>
      <c r="N513" s="66">
        <f>9.0944 * CHOOSE(CONTROL!$C$23, $C$12, 100%, $E$12)</f>
        <v>9.0944000000000003</v>
      </c>
      <c r="O513" s="66">
        <f>9.1013 * CHOOSE(CONTROL!$C$23, $C$12, 100%, $E$12)</f>
        <v>9.1013000000000002</v>
      </c>
    </row>
    <row r="514" spans="1:15" ht="15">
      <c r="A514" s="13">
        <v>56796</v>
      </c>
      <c r="B514" s="65">
        <f>7.7266 * CHOOSE(CONTROL!$C$23, $C$12, 100%, $E$12)</f>
        <v>7.7266000000000004</v>
      </c>
      <c r="C514" s="65">
        <f>7.7266 * CHOOSE(CONTROL!$C$23, $C$12, 100%, $E$12)</f>
        <v>7.7266000000000004</v>
      </c>
      <c r="D514" s="65">
        <f>7.7322 * CHOOSE(CONTROL!$C$23, $C$12, 100%, $E$12)</f>
        <v>7.7321999999999997</v>
      </c>
      <c r="E514" s="66">
        <f>9.2441 * CHOOSE(CONTROL!$C$23, $C$12, 100%, $E$12)</f>
        <v>9.2440999999999995</v>
      </c>
      <c r="F514" s="66">
        <f>9.2441 * CHOOSE(CONTROL!$C$23, $C$12, 100%, $E$12)</f>
        <v>9.2440999999999995</v>
      </c>
      <c r="G514" s="66">
        <f>9.251 * CHOOSE(CONTROL!$C$23, $C$12, 100%, $E$12)</f>
        <v>9.2509999999999994</v>
      </c>
      <c r="H514" s="66">
        <f>16.6327* CHOOSE(CONTROL!$C$23, $C$12, 100%, $E$12)</f>
        <v>16.6327</v>
      </c>
      <c r="I514" s="66">
        <f>16.6396 * CHOOSE(CONTROL!$C$23, $C$12, 100%, $E$12)</f>
        <v>16.639600000000002</v>
      </c>
      <c r="J514" s="66">
        <f>16.6327 * CHOOSE(CONTROL!$C$23, $C$12, 100%, $E$12)</f>
        <v>16.6327</v>
      </c>
      <c r="K514" s="66">
        <f>16.6396 * CHOOSE(CONTROL!$C$23, $C$12, 100%, $E$12)</f>
        <v>16.639600000000002</v>
      </c>
      <c r="L514" s="66">
        <f>9.2441 * CHOOSE(CONTROL!$C$23, $C$12, 100%, $E$12)</f>
        <v>9.2440999999999995</v>
      </c>
      <c r="M514" s="66">
        <f>9.251 * CHOOSE(CONTROL!$C$23, $C$12, 100%, $E$12)</f>
        <v>9.2509999999999994</v>
      </c>
      <c r="N514" s="66">
        <f>9.2441 * CHOOSE(CONTROL!$C$23, $C$12, 100%, $E$12)</f>
        <v>9.2440999999999995</v>
      </c>
      <c r="O514" s="66">
        <f>9.251 * CHOOSE(CONTROL!$C$23, $C$12, 100%, $E$12)</f>
        <v>9.2509999999999994</v>
      </c>
    </row>
    <row r="515" spans="1:15" ht="15">
      <c r="A515" s="13">
        <v>56827</v>
      </c>
      <c r="B515" s="65">
        <f>7.7333 * CHOOSE(CONTROL!$C$23, $C$12, 100%, $E$12)</f>
        <v>7.7332999999999998</v>
      </c>
      <c r="C515" s="65">
        <f>7.7333 * CHOOSE(CONTROL!$C$23, $C$12, 100%, $E$12)</f>
        <v>7.7332999999999998</v>
      </c>
      <c r="D515" s="65">
        <f>7.7389 * CHOOSE(CONTROL!$C$23, $C$12, 100%, $E$12)</f>
        <v>7.7389000000000001</v>
      </c>
      <c r="E515" s="66">
        <f>9.1068 * CHOOSE(CONTROL!$C$23, $C$12, 100%, $E$12)</f>
        <v>9.1067999999999998</v>
      </c>
      <c r="F515" s="66">
        <f>9.1068 * CHOOSE(CONTROL!$C$23, $C$12, 100%, $E$12)</f>
        <v>9.1067999999999998</v>
      </c>
      <c r="G515" s="66">
        <f>9.1137 * CHOOSE(CONTROL!$C$23, $C$12, 100%, $E$12)</f>
        <v>9.1136999999999997</v>
      </c>
      <c r="H515" s="66">
        <f>16.6674* CHOOSE(CONTROL!$C$23, $C$12, 100%, $E$12)</f>
        <v>16.667400000000001</v>
      </c>
      <c r="I515" s="66">
        <f>16.6743 * CHOOSE(CONTROL!$C$23, $C$12, 100%, $E$12)</f>
        <v>16.674299999999999</v>
      </c>
      <c r="J515" s="66">
        <f>16.6674 * CHOOSE(CONTROL!$C$23, $C$12, 100%, $E$12)</f>
        <v>16.667400000000001</v>
      </c>
      <c r="K515" s="66">
        <f>16.6743 * CHOOSE(CONTROL!$C$23, $C$12, 100%, $E$12)</f>
        <v>16.674299999999999</v>
      </c>
      <c r="L515" s="66">
        <f>9.1068 * CHOOSE(CONTROL!$C$23, $C$12, 100%, $E$12)</f>
        <v>9.1067999999999998</v>
      </c>
      <c r="M515" s="66">
        <f>9.1137 * CHOOSE(CONTROL!$C$23, $C$12, 100%, $E$12)</f>
        <v>9.1136999999999997</v>
      </c>
      <c r="N515" s="66">
        <f>9.1068 * CHOOSE(CONTROL!$C$23, $C$12, 100%, $E$12)</f>
        <v>9.1067999999999998</v>
      </c>
      <c r="O515" s="66">
        <f>9.1137 * CHOOSE(CONTROL!$C$23, $C$12, 100%, $E$12)</f>
        <v>9.1136999999999997</v>
      </c>
    </row>
    <row r="516" spans="1:15" ht="15">
      <c r="A516" s="13">
        <v>56858</v>
      </c>
      <c r="B516" s="65">
        <f>7.7303 * CHOOSE(CONTROL!$C$23, $C$12, 100%, $E$12)</f>
        <v>7.7302999999999997</v>
      </c>
      <c r="C516" s="65">
        <f>7.7303 * CHOOSE(CONTROL!$C$23, $C$12, 100%, $E$12)</f>
        <v>7.7302999999999997</v>
      </c>
      <c r="D516" s="65">
        <f>7.7359 * CHOOSE(CONTROL!$C$23, $C$12, 100%, $E$12)</f>
        <v>7.7359</v>
      </c>
      <c r="E516" s="66">
        <f>9.089 * CHOOSE(CONTROL!$C$23, $C$12, 100%, $E$12)</f>
        <v>9.0890000000000004</v>
      </c>
      <c r="F516" s="66">
        <f>9.089 * CHOOSE(CONTROL!$C$23, $C$12, 100%, $E$12)</f>
        <v>9.0890000000000004</v>
      </c>
      <c r="G516" s="66">
        <f>9.0958 * CHOOSE(CONTROL!$C$23, $C$12, 100%, $E$12)</f>
        <v>9.0958000000000006</v>
      </c>
      <c r="H516" s="66">
        <f>16.7021* CHOOSE(CONTROL!$C$23, $C$12, 100%, $E$12)</f>
        <v>16.702100000000002</v>
      </c>
      <c r="I516" s="66">
        <f>16.709 * CHOOSE(CONTROL!$C$23, $C$12, 100%, $E$12)</f>
        <v>16.709</v>
      </c>
      <c r="J516" s="66">
        <f>16.7021 * CHOOSE(CONTROL!$C$23, $C$12, 100%, $E$12)</f>
        <v>16.702100000000002</v>
      </c>
      <c r="K516" s="66">
        <f>16.709 * CHOOSE(CONTROL!$C$23, $C$12, 100%, $E$12)</f>
        <v>16.709</v>
      </c>
      <c r="L516" s="66">
        <f>9.089 * CHOOSE(CONTROL!$C$23, $C$12, 100%, $E$12)</f>
        <v>9.0890000000000004</v>
      </c>
      <c r="M516" s="66">
        <f>9.0958 * CHOOSE(CONTROL!$C$23, $C$12, 100%, $E$12)</f>
        <v>9.0958000000000006</v>
      </c>
      <c r="N516" s="66">
        <f>9.089 * CHOOSE(CONTROL!$C$23, $C$12, 100%, $E$12)</f>
        <v>9.0890000000000004</v>
      </c>
      <c r="O516" s="66">
        <f>9.0958 * CHOOSE(CONTROL!$C$23, $C$12, 100%, $E$12)</f>
        <v>9.0958000000000006</v>
      </c>
    </row>
    <row r="517" spans="1:15" ht="15">
      <c r="A517" s="13">
        <v>56888</v>
      </c>
      <c r="B517" s="65">
        <f>7.7376 * CHOOSE(CONTROL!$C$23, $C$12, 100%, $E$12)</f>
        <v>7.7375999999999996</v>
      </c>
      <c r="C517" s="65">
        <f>7.7376 * CHOOSE(CONTROL!$C$23, $C$12, 100%, $E$12)</f>
        <v>7.7375999999999996</v>
      </c>
      <c r="D517" s="65">
        <f>7.7416 * CHOOSE(CONTROL!$C$23, $C$12, 100%, $E$12)</f>
        <v>7.7416</v>
      </c>
      <c r="E517" s="66">
        <f>9.1386 * CHOOSE(CONTROL!$C$23, $C$12, 100%, $E$12)</f>
        <v>9.1386000000000003</v>
      </c>
      <c r="F517" s="66">
        <f>9.1386 * CHOOSE(CONTROL!$C$23, $C$12, 100%, $E$12)</f>
        <v>9.1386000000000003</v>
      </c>
      <c r="G517" s="66">
        <f>9.1435 * CHOOSE(CONTROL!$C$23, $C$12, 100%, $E$12)</f>
        <v>9.1434999999999995</v>
      </c>
      <c r="H517" s="66">
        <f>16.7369* CHOOSE(CONTROL!$C$23, $C$12, 100%, $E$12)</f>
        <v>16.736899999999999</v>
      </c>
      <c r="I517" s="66">
        <f>16.7418 * CHOOSE(CONTROL!$C$23, $C$12, 100%, $E$12)</f>
        <v>16.741800000000001</v>
      </c>
      <c r="J517" s="66">
        <f>16.7369 * CHOOSE(CONTROL!$C$23, $C$12, 100%, $E$12)</f>
        <v>16.736899999999999</v>
      </c>
      <c r="K517" s="66">
        <f>16.7418 * CHOOSE(CONTROL!$C$23, $C$12, 100%, $E$12)</f>
        <v>16.741800000000001</v>
      </c>
      <c r="L517" s="66">
        <f>9.1386 * CHOOSE(CONTROL!$C$23, $C$12, 100%, $E$12)</f>
        <v>9.1386000000000003</v>
      </c>
      <c r="M517" s="66">
        <f>9.1435 * CHOOSE(CONTROL!$C$23, $C$12, 100%, $E$12)</f>
        <v>9.1434999999999995</v>
      </c>
      <c r="N517" s="66">
        <f>9.1386 * CHOOSE(CONTROL!$C$23, $C$12, 100%, $E$12)</f>
        <v>9.1386000000000003</v>
      </c>
      <c r="O517" s="66">
        <f>9.1435 * CHOOSE(CONTROL!$C$23, $C$12, 100%, $E$12)</f>
        <v>9.1434999999999995</v>
      </c>
    </row>
    <row r="518" spans="1:15" ht="15">
      <c r="A518" s="13">
        <v>56919</v>
      </c>
      <c r="B518" s="65">
        <f>7.7406 * CHOOSE(CONTROL!$C$23, $C$12, 100%, $E$12)</f>
        <v>7.7405999999999997</v>
      </c>
      <c r="C518" s="65">
        <f>7.7406 * CHOOSE(CONTROL!$C$23, $C$12, 100%, $E$12)</f>
        <v>7.7405999999999997</v>
      </c>
      <c r="D518" s="65">
        <f>7.7446 * CHOOSE(CONTROL!$C$23, $C$12, 100%, $E$12)</f>
        <v>7.7446000000000002</v>
      </c>
      <c r="E518" s="66">
        <f>9.1723 * CHOOSE(CONTROL!$C$23, $C$12, 100%, $E$12)</f>
        <v>9.1722999999999999</v>
      </c>
      <c r="F518" s="66">
        <f>9.1723 * CHOOSE(CONTROL!$C$23, $C$12, 100%, $E$12)</f>
        <v>9.1722999999999999</v>
      </c>
      <c r="G518" s="66">
        <f>9.1772 * CHOOSE(CONTROL!$C$23, $C$12, 100%, $E$12)</f>
        <v>9.1771999999999991</v>
      </c>
      <c r="H518" s="66">
        <f>16.7718* CHOOSE(CONTROL!$C$23, $C$12, 100%, $E$12)</f>
        <v>16.771799999999999</v>
      </c>
      <c r="I518" s="66">
        <f>16.7767 * CHOOSE(CONTROL!$C$23, $C$12, 100%, $E$12)</f>
        <v>16.776700000000002</v>
      </c>
      <c r="J518" s="66">
        <f>16.7718 * CHOOSE(CONTROL!$C$23, $C$12, 100%, $E$12)</f>
        <v>16.771799999999999</v>
      </c>
      <c r="K518" s="66">
        <f>16.7767 * CHOOSE(CONTROL!$C$23, $C$12, 100%, $E$12)</f>
        <v>16.776700000000002</v>
      </c>
      <c r="L518" s="66">
        <f>9.1723 * CHOOSE(CONTROL!$C$23, $C$12, 100%, $E$12)</f>
        <v>9.1722999999999999</v>
      </c>
      <c r="M518" s="66">
        <f>9.1772 * CHOOSE(CONTROL!$C$23, $C$12, 100%, $E$12)</f>
        <v>9.1771999999999991</v>
      </c>
      <c r="N518" s="66">
        <f>9.1723 * CHOOSE(CONTROL!$C$23, $C$12, 100%, $E$12)</f>
        <v>9.1722999999999999</v>
      </c>
      <c r="O518" s="66">
        <f>9.1772 * CHOOSE(CONTROL!$C$23, $C$12, 100%, $E$12)</f>
        <v>9.1771999999999991</v>
      </c>
    </row>
    <row r="519" spans="1:15" ht="15">
      <c r="A519" s="13">
        <v>56949</v>
      </c>
      <c r="B519" s="65">
        <f>7.7406 * CHOOSE(CONTROL!$C$23, $C$12, 100%, $E$12)</f>
        <v>7.7405999999999997</v>
      </c>
      <c r="C519" s="65">
        <f>7.7406 * CHOOSE(CONTROL!$C$23, $C$12, 100%, $E$12)</f>
        <v>7.7405999999999997</v>
      </c>
      <c r="D519" s="65">
        <f>7.7446 * CHOOSE(CONTROL!$C$23, $C$12, 100%, $E$12)</f>
        <v>7.7446000000000002</v>
      </c>
      <c r="E519" s="66">
        <f>9.0934 * CHOOSE(CONTROL!$C$23, $C$12, 100%, $E$12)</f>
        <v>9.0934000000000008</v>
      </c>
      <c r="F519" s="66">
        <f>9.0934 * CHOOSE(CONTROL!$C$23, $C$12, 100%, $E$12)</f>
        <v>9.0934000000000008</v>
      </c>
      <c r="G519" s="66">
        <f>9.0983 * CHOOSE(CONTROL!$C$23, $C$12, 100%, $E$12)</f>
        <v>9.0983000000000001</v>
      </c>
      <c r="H519" s="66">
        <f>16.8067* CHOOSE(CONTROL!$C$23, $C$12, 100%, $E$12)</f>
        <v>16.806699999999999</v>
      </c>
      <c r="I519" s="66">
        <f>16.8116 * CHOOSE(CONTROL!$C$23, $C$12, 100%, $E$12)</f>
        <v>16.811599999999999</v>
      </c>
      <c r="J519" s="66">
        <f>16.8067 * CHOOSE(CONTROL!$C$23, $C$12, 100%, $E$12)</f>
        <v>16.806699999999999</v>
      </c>
      <c r="K519" s="66">
        <f>16.8116 * CHOOSE(CONTROL!$C$23, $C$12, 100%, $E$12)</f>
        <v>16.811599999999999</v>
      </c>
      <c r="L519" s="66">
        <f>9.0934 * CHOOSE(CONTROL!$C$23, $C$12, 100%, $E$12)</f>
        <v>9.0934000000000008</v>
      </c>
      <c r="M519" s="66">
        <f>9.0983 * CHOOSE(CONTROL!$C$23, $C$12, 100%, $E$12)</f>
        <v>9.0983000000000001</v>
      </c>
      <c r="N519" s="66">
        <f>9.0934 * CHOOSE(CONTROL!$C$23, $C$12, 100%, $E$12)</f>
        <v>9.0934000000000008</v>
      </c>
      <c r="O519" s="66">
        <f>9.0983 * CHOOSE(CONTROL!$C$23, $C$12, 100%, $E$12)</f>
        <v>9.0983000000000001</v>
      </c>
    </row>
    <row r="520" spans="1:15" ht="15">
      <c r="A520" s="13">
        <v>56980</v>
      </c>
      <c r="B520" s="65">
        <f>7.8071 * CHOOSE(CONTROL!$C$23, $C$12, 100%, $E$12)</f>
        <v>7.8071000000000002</v>
      </c>
      <c r="C520" s="65">
        <f>7.8071 * CHOOSE(CONTROL!$C$23, $C$12, 100%, $E$12)</f>
        <v>7.8071000000000002</v>
      </c>
      <c r="D520" s="65">
        <f>7.8111 * CHOOSE(CONTROL!$C$23, $C$12, 100%, $E$12)</f>
        <v>7.8110999999999997</v>
      </c>
      <c r="E520" s="66">
        <f>9.2242 * CHOOSE(CONTROL!$C$23, $C$12, 100%, $E$12)</f>
        <v>9.2241999999999997</v>
      </c>
      <c r="F520" s="66">
        <f>9.2242 * CHOOSE(CONTROL!$C$23, $C$12, 100%, $E$12)</f>
        <v>9.2241999999999997</v>
      </c>
      <c r="G520" s="66">
        <f>9.2291 * CHOOSE(CONTROL!$C$23, $C$12, 100%, $E$12)</f>
        <v>9.2291000000000007</v>
      </c>
      <c r="H520" s="66">
        <f>16.8417* CHOOSE(CONTROL!$C$23, $C$12, 100%, $E$12)</f>
        <v>16.841699999999999</v>
      </c>
      <c r="I520" s="66">
        <f>16.8467 * CHOOSE(CONTROL!$C$23, $C$12, 100%, $E$12)</f>
        <v>16.846699999999998</v>
      </c>
      <c r="J520" s="66">
        <f>16.8417 * CHOOSE(CONTROL!$C$23, $C$12, 100%, $E$12)</f>
        <v>16.841699999999999</v>
      </c>
      <c r="K520" s="66">
        <f>16.8467 * CHOOSE(CONTROL!$C$23, $C$12, 100%, $E$12)</f>
        <v>16.846699999999998</v>
      </c>
      <c r="L520" s="66">
        <f>9.2242 * CHOOSE(CONTROL!$C$23, $C$12, 100%, $E$12)</f>
        <v>9.2241999999999997</v>
      </c>
      <c r="M520" s="66">
        <f>9.2291 * CHOOSE(CONTROL!$C$23, $C$12, 100%, $E$12)</f>
        <v>9.2291000000000007</v>
      </c>
      <c r="N520" s="66">
        <f>9.2242 * CHOOSE(CONTROL!$C$23, $C$12, 100%, $E$12)</f>
        <v>9.2241999999999997</v>
      </c>
      <c r="O520" s="66">
        <f>9.2291 * CHOOSE(CONTROL!$C$23, $C$12, 100%, $E$12)</f>
        <v>9.2291000000000007</v>
      </c>
    </row>
    <row r="521" spans="1:15" ht="15">
      <c r="A521" s="13">
        <v>57011</v>
      </c>
      <c r="B521" s="65">
        <f>7.8041 * CHOOSE(CONTROL!$C$23, $C$12, 100%, $E$12)</f>
        <v>7.8041</v>
      </c>
      <c r="C521" s="65">
        <f>7.8041 * CHOOSE(CONTROL!$C$23, $C$12, 100%, $E$12)</f>
        <v>7.8041</v>
      </c>
      <c r="D521" s="65">
        <f>7.8081 * CHOOSE(CONTROL!$C$23, $C$12, 100%, $E$12)</f>
        <v>7.8080999999999996</v>
      </c>
      <c r="E521" s="66">
        <f>9.0688 * CHOOSE(CONTROL!$C$23, $C$12, 100%, $E$12)</f>
        <v>9.0687999999999995</v>
      </c>
      <c r="F521" s="66">
        <f>9.0688 * CHOOSE(CONTROL!$C$23, $C$12, 100%, $E$12)</f>
        <v>9.0687999999999995</v>
      </c>
      <c r="G521" s="66">
        <f>9.0738 * CHOOSE(CONTROL!$C$23, $C$12, 100%, $E$12)</f>
        <v>9.0738000000000003</v>
      </c>
      <c r="H521" s="66">
        <f>16.8768* CHOOSE(CONTROL!$C$23, $C$12, 100%, $E$12)</f>
        <v>16.876799999999999</v>
      </c>
      <c r="I521" s="66">
        <f>16.8817 * CHOOSE(CONTROL!$C$23, $C$12, 100%, $E$12)</f>
        <v>16.881699999999999</v>
      </c>
      <c r="J521" s="66">
        <f>16.8768 * CHOOSE(CONTROL!$C$23, $C$12, 100%, $E$12)</f>
        <v>16.876799999999999</v>
      </c>
      <c r="K521" s="66">
        <f>16.8817 * CHOOSE(CONTROL!$C$23, $C$12, 100%, $E$12)</f>
        <v>16.881699999999999</v>
      </c>
      <c r="L521" s="66">
        <f>9.0688 * CHOOSE(CONTROL!$C$23, $C$12, 100%, $E$12)</f>
        <v>9.0687999999999995</v>
      </c>
      <c r="M521" s="66">
        <f>9.0738 * CHOOSE(CONTROL!$C$23, $C$12, 100%, $E$12)</f>
        <v>9.0738000000000003</v>
      </c>
      <c r="N521" s="66">
        <f>9.0688 * CHOOSE(CONTROL!$C$23, $C$12, 100%, $E$12)</f>
        <v>9.0687999999999995</v>
      </c>
      <c r="O521" s="66">
        <f>9.0738 * CHOOSE(CONTROL!$C$23, $C$12, 100%, $E$12)</f>
        <v>9.0738000000000003</v>
      </c>
    </row>
    <row r="522" spans="1:15" ht="15">
      <c r="A522" s="13">
        <v>57040</v>
      </c>
      <c r="B522" s="65">
        <f>7.8011 * CHOOSE(CONTROL!$C$23, $C$12, 100%, $E$12)</f>
        <v>7.8010999999999999</v>
      </c>
      <c r="C522" s="65">
        <f>7.8011 * CHOOSE(CONTROL!$C$23, $C$12, 100%, $E$12)</f>
        <v>7.8010999999999999</v>
      </c>
      <c r="D522" s="65">
        <f>7.8051 * CHOOSE(CONTROL!$C$23, $C$12, 100%, $E$12)</f>
        <v>7.8051000000000004</v>
      </c>
      <c r="E522" s="66">
        <f>9.1875 * CHOOSE(CONTROL!$C$23, $C$12, 100%, $E$12)</f>
        <v>9.1875</v>
      </c>
      <c r="F522" s="66">
        <f>9.1875 * CHOOSE(CONTROL!$C$23, $C$12, 100%, $E$12)</f>
        <v>9.1875</v>
      </c>
      <c r="G522" s="66">
        <f>9.1924 * CHOOSE(CONTROL!$C$23, $C$12, 100%, $E$12)</f>
        <v>9.1923999999999992</v>
      </c>
      <c r="H522" s="66">
        <f>16.912* CHOOSE(CONTROL!$C$23, $C$12, 100%, $E$12)</f>
        <v>16.911999999999999</v>
      </c>
      <c r="I522" s="66">
        <f>16.9169 * CHOOSE(CONTROL!$C$23, $C$12, 100%, $E$12)</f>
        <v>16.916899999999998</v>
      </c>
      <c r="J522" s="66">
        <f>16.912 * CHOOSE(CONTROL!$C$23, $C$12, 100%, $E$12)</f>
        <v>16.911999999999999</v>
      </c>
      <c r="K522" s="66">
        <f>16.9169 * CHOOSE(CONTROL!$C$23, $C$12, 100%, $E$12)</f>
        <v>16.916899999999998</v>
      </c>
      <c r="L522" s="66">
        <f>9.1875 * CHOOSE(CONTROL!$C$23, $C$12, 100%, $E$12)</f>
        <v>9.1875</v>
      </c>
      <c r="M522" s="66">
        <f>9.1924 * CHOOSE(CONTROL!$C$23, $C$12, 100%, $E$12)</f>
        <v>9.1923999999999992</v>
      </c>
      <c r="N522" s="66">
        <f>9.1875 * CHOOSE(CONTROL!$C$23, $C$12, 100%, $E$12)</f>
        <v>9.1875</v>
      </c>
      <c r="O522" s="66">
        <f>9.1924 * CHOOSE(CONTROL!$C$23, $C$12, 100%, $E$12)</f>
        <v>9.1923999999999992</v>
      </c>
    </row>
    <row r="523" spans="1:15" ht="15">
      <c r="A523" s="13">
        <v>57071</v>
      </c>
      <c r="B523" s="65">
        <f>7.802 * CHOOSE(CONTROL!$C$23, $C$12, 100%, $E$12)</f>
        <v>7.8019999999999996</v>
      </c>
      <c r="C523" s="65">
        <f>7.802 * CHOOSE(CONTROL!$C$23, $C$12, 100%, $E$12)</f>
        <v>7.8019999999999996</v>
      </c>
      <c r="D523" s="65">
        <f>7.806 * CHOOSE(CONTROL!$C$23, $C$12, 100%, $E$12)</f>
        <v>7.806</v>
      </c>
      <c r="E523" s="66">
        <f>9.313 * CHOOSE(CONTROL!$C$23, $C$12, 100%, $E$12)</f>
        <v>9.3130000000000006</v>
      </c>
      <c r="F523" s="66">
        <f>9.313 * CHOOSE(CONTROL!$C$23, $C$12, 100%, $E$12)</f>
        <v>9.3130000000000006</v>
      </c>
      <c r="G523" s="66">
        <f>9.3179 * CHOOSE(CONTROL!$C$23, $C$12, 100%, $E$12)</f>
        <v>9.3178999999999998</v>
      </c>
      <c r="H523" s="66">
        <f>16.9472* CHOOSE(CONTROL!$C$23, $C$12, 100%, $E$12)</f>
        <v>16.947199999999999</v>
      </c>
      <c r="I523" s="66">
        <f>16.9521 * CHOOSE(CONTROL!$C$23, $C$12, 100%, $E$12)</f>
        <v>16.952100000000002</v>
      </c>
      <c r="J523" s="66">
        <f>16.9472 * CHOOSE(CONTROL!$C$23, $C$12, 100%, $E$12)</f>
        <v>16.947199999999999</v>
      </c>
      <c r="K523" s="66">
        <f>16.9521 * CHOOSE(CONTROL!$C$23, $C$12, 100%, $E$12)</f>
        <v>16.952100000000002</v>
      </c>
      <c r="L523" s="66">
        <f>9.313 * CHOOSE(CONTROL!$C$23, $C$12, 100%, $E$12)</f>
        <v>9.3130000000000006</v>
      </c>
      <c r="M523" s="66">
        <f>9.3179 * CHOOSE(CONTROL!$C$23, $C$12, 100%, $E$12)</f>
        <v>9.3178999999999998</v>
      </c>
      <c r="N523" s="66">
        <f>9.313 * CHOOSE(CONTROL!$C$23, $C$12, 100%, $E$12)</f>
        <v>9.3130000000000006</v>
      </c>
      <c r="O523" s="66">
        <f>9.3179 * CHOOSE(CONTROL!$C$23, $C$12, 100%, $E$12)</f>
        <v>9.3178999999999998</v>
      </c>
    </row>
    <row r="524" spans="1:15" ht="15">
      <c r="A524" s="13">
        <v>57101</v>
      </c>
      <c r="B524" s="65">
        <f>7.802 * CHOOSE(CONTROL!$C$23, $C$12, 100%, $E$12)</f>
        <v>7.8019999999999996</v>
      </c>
      <c r="C524" s="65">
        <f>7.802 * CHOOSE(CONTROL!$C$23, $C$12, 100%, $E$12)</f>
        <v>7.8019999999999996</v>
      </c>
      <c r="D524" s="65">
        <f>7.8076 * CHOOSE(CONTROL!$C$23, $C$12, 100%, $E$12)</f>
        <v>7.8075999999999999</v>
      </c>
      <c r="E524" s="66">
        <f>9.3616 * CHOOSE(CONTROL!$C$23, $C$12, 100%, $E$12)</f>
        <v>9.3615999999999993</v>
      </c>
      <c r="F524" s="66">
        <f>9.3616 * CHOOSE(CONTROL!$C$23, $C$12, 100%, $E$12)</f>
        <v>9.3615999999999993</v>
      </c>
      <c r="G524" s="66">
        <f>9.3685 * CHOOSE(CONTROL!$C$23, $C$12, 100%, $E$12)</f>
        <v>9.3684999999999992</v>
      </c>
      <c r="H524" s="66">
        <f>16.9825* CHOOSE(CONTROL!$C$23, $C$12, 100%, $E$12)</f>
        <v>16.982500000000002</v>
      </c>
      <c r="I524" s="66">
        <f>16.9894 * CHOOSE(CONTROL!$C$23, $C$12, 100%, $E$12)</f>
        <v>16.9894</v>
      </c>
      <c r="J524" s="66">
        <f>16.9825 * CHOOSE(CONTROL!$C$23, $C$12, 100%, $E$12)</f>
        <v>16.982500000000002</v>
      </c>
      <c r="K524" s="66">
        <f>16.9894 * CHOOSE(CONTROL!$C$23, $C$12, 100%, $E$12)</f>
        <v>16.9894</v>
      </c>
      <c r="L524" s="66">
        <f>9.3616 * CHOOSE(CONTROL!$C$23, $C$12, 100%, $E$12)</f>
        <v>9.3615999999999993</v>
      </c>
      <c r="M524" s="66">
        <f>9.3685 * CHOOSE(CONTROL!$C$23, $C$12, 100%, $E$12)</f>
        <v>9.3684999999999992</v>
      </c>
      <c r="N524" s="66">
        <f>9.3616 * CHOOSE(CONTROL!$C$23, $C$12, 100%, $E$12)</f>
        <v>9.3615999999999993</v>
      </c>
      <c r="O524" s="66">
        <f>9.3685 * CHOOSE(CONTROL!$C$23, $C$12, 100%, $E$12)</f>
        <v>9.3684999999999992</v>
      </c>
    </row>
    <row r="525" spans="1:15" ht="15">
      <c r="A525" s="13">
        <v>57132</v>
      </c>
      <c r="B525" s="65">
        <f>7.808 * CHOOSE(CONTROL!$C$23, $C$12, 100%, $E$12)</f>
        <v>7.8079999999999998</v>
      </c>
      <c r="C525" s="65">
        <f>7.808 * CHOOSE(CONTROL!$C$23, $C$12, 100%, $E$12)</f>
        <v>7.8079999999999998</v>
      </c>
      <c r="D525" s="65">
        <f>7.8137 * CHOOSE(CONTROL!$C$23, $C$12, 100%, $E$12)</f>
        <v>7.8136999999999999</v>
      </c>
      <c r="E525" s="66">
        <f>9.3172 * CHOOSE(CONTROL!$C$23, $C$12, 100%, $E$12)</f>
        <v>9.3171999999999997</v>
      </c>
      <c r="F525" s="66">
        <f>9.3172 * CHOOSE(CONTROL!$C$23, $C$12, 100%, $E$12)</f>
        <v>9.3171999999999997</v>
      </c>
      <c r="G525" s="66">
        <f>9.3241 * CHOOSE(CONTROL!$C$23, $C$12, 100%, $E$12)</f>
        <v>9.3240999999999996</v>
      </c>
      <c r="H525" s="66">
        <f>17.0179* CHOOSE(CONTROL!$C$23, $C$12, 100%, $E$12)</f>
        <v>17.017900000000001</v>
      </c>
      <c r="I525" s="66">
        <f>17.0248 * CHOOSE(CONTROL!$C$23, $C$12, 100%, $E$12)</f>
        <v>17.024799999999999</v>
      </c>
      <c r="J525" s="66">
        <f>17.0179 * CHOOSE(CONTROL!$C$23, $C$12, 100%, $E$12)</f>
        <v>17.017900000000001</v>
      </c>
      <c r="K525" s="66">
        <f>17.0248 * CHOOSE(CONTROL!$C$23, $C$12, 100%, $E$12)</f>
        <v>17.024799999999999</v>
      </c>
      <c r="L525" s="66">
        <f>9.3172 * CHOOSE(CONTROL!$C$23, $C$12, 100%, $E$12)</f>
        <v>9.3171999999999997</v>
      </c>
      <c r="M525" s="66">
        <f>9.3241 * CHOOSE(CONTROL!$C$23, $C$12, 100%, $E$12)</f>
        <v>9.3240999999999996</v>
      </c>
      <c r="N525" s="66">
        <f>9.3172 * CHOOSE(CONTROL!$C$23, $C$12, 100%, $E$12)</f>
        <v>9.3171999999999997</v>
      </c>
      <c r="O525" s="66">
        <f>9.3241 * CHOOSE(CONTROL!$C$23, $C$12, 100%, $E$12)</f>
        <v>9.3240999999999996</v>
      </c>
    </row>
    <row r="526" spans="1:15" ht="15">
      <c r="A526" s="13">
        <v>57162</v>
      </c>
      <c r="B526" s="65">
        <f>7.9308 * CHOOSE(CONTROL!$C$23, $C$12, 100%, $E$12)</f>
        <v>7.9307999999999996</v>
      </c>
      <c r="C526" s="65">
        <f>7.9308 * CHOOSE(CONTROL!$C$23, $C$12, 100%, $E$12)</f>
        <v>7.9307999999999996</v>
      </c>
      <c r="D526" s="65">
        <f>7.9364 * CHOOSE(CONTROL!$C$23, $C$12, 100%, $E$12)</f>
        <v>7.9363999999999999</v>
      </c>
      <c r="E526" s="66">
        <f>9.4704 * CHOOSE(CONTROL!$C$23, $C$12, 100%, $E$12)</f>
        <v>9.4703999999999997</v>
      </c>
      <c r="F526" s="66">
        <f>9.4704 * CHOOSE(CONTROL!$C$23, $C$12, 100%, $E$12)</f>
        <v>9.4703999999999997</v>
      </c>
      <c r="G526" s="66">
        <f>9.4773 * CHOOSE(CONTROL!$C$23, $C$12, 100%, $E$12)</f>
        <v>9.4772999999999996</v>
      </c>
      <c r="H526" s="66">
        <f>17.0534* CHOOSE(CONTROL!$C$23, $C$12, 100%, $E$12)</f>
        <v>17.0534</v>
      </c>
      <c r="I526" s="66">
        <f>17.0602 * CHOOSE(CONTROL!$C$23, $C$12, 100%, $E$12)</f>
        <v>17.060199999999998</v>
      </c>
      <c r="J526" s="66">
        <f>17.0534 * CHOOSE(CONTROL!$C$23, $C$12, 100%, $E$12)</f>
        <v>17.0534</v>
      </c>
      <c r="K526" s="66">
        <f>17.0602 * CHOOSE(CONTROL!$C$23, $C$12, 100%, $E$12)</f>
        <v>17.060199999999998</v>
      </c>
      <c r="L526" s="66">
        <f>9.4704 * CHOOSE(CONTROL!$C$23, $C$12, 100%, $E$12)</f>
        <v>9.4703999999999997</v>
      </c>
      <c r="M526" s="66">
        <f>9.4773 * CHOOSE(CONTROL!$C$23, $C$12, 100%, $E$12)</f>
        <v>9.4772999999999996</v>
      </c>
      <c r="N526" s="66">
        <f>9.4704 * CHOOSE(CONTROL!$C$23, $C$12, 100%, $E$12)</f>
        <v>9.4703999999999997</v>
      </c>
      <c r="O526" s="66">
        <f>9.4773 * CHOOSE(CONTROL!$C$23, $C$12, 100%, $E$12)</f>
        <v>9.4772999999999996</v>
      </c>
    </row>
    <row r="527" spans="1:15" ht="15">
      <c r="A527" s="13">
        <v>57193</v>
      </c>
      <c r="B527" s="65">
        <f>7.9375 * CHOOSE(CONTROL!$C$23, $C$12, 100%, $E$12)</f>
        <v>7.9375</v>
      </c>
      <c r="C527" s="65">
        <f>7.9375 * CHOOSE(CONTROL!$C$23, $C$12, 100%, $E$12)</f>
        <v>7.9375</v>
      </c>
      <c r="D527" s="65">
        <f>7.9431 * CHOOSE(CONTROL!$C$23, $C$12, 100%, $E$12)</f>
        <v>7.9431000000000003</v>
      </c>
      <c r="E527" s="66">
        <f>9.3291 * CHOOSE(CONTROL!$C$23, $C$12, 100%, $E$12)</f>
        <v>9.3291000000000004</v>
      </c>
      <c r="F527" s="66">
        <f>9.3291 * CHOOSE(CONTROL!$C$23, $C$12, 100%, $E$12)</f>
        <v>9.3291000000000004</v>
      </c>
      <c r="G527" s="66">
        <f>9.336 * CHOOSE(CONTROL!$C$23, $C$12, 100%, $E$12)</f>
        <v>9.3360000000000003</v>
      </c>
      <c r="H527" s="66">
        <f>17.0889* CHOOSE(CONTROL!$C$23, $C$12, 100%, $E$12)</f>
        <v>17.088899999999999</v>
      </c>
      <c r="I527" s="66">
        <f>17.0958 * CHOOSE(CONTROL!$C$23, $C$12, 100%, $E$12)</f>
        <v>17.095800000000001</v>
      </c>
      <c r="J527" s="66">
        <f>17.0889 * CHOOSE(CONTROL!$C$23, $C$12, 100%, $E$12)</f>
        <v>17.088899999999999</v>
      </c>
      <c r="K527" s="66">
        <f>17.0958 * CHOOSE(CONTROL!$C$23, $C$12, 100%, $E$12)</f>
        <v>17.095800000000001</v>
      </c>
      <c r="L527" s="66">
        <f>9.3291 * CHOOSE(CONTROL!$C$23, $C$12, 100%, $E$12)</f>
        <v>9.3291000000000004</v>
      </c>
      <c r="M527" s="66">
        <f>9.336 * CHOOSE(CONTROL!$C$23, $C$12, 100%, $E$12)</f>
        <v>9.3360000000000003</v>
      </c>
      <c r="N527" s="66">
        <f>9.3291 * CHOOSE(CONTROL!$C$23, $C$12, 100%, $E$12)</f>
        <v>9.3291000000000004</v>
      </c>
      <c r="O527" s="66">
        <f>9.336 * CHOOSE(CONTROL!$C$23, $C$12, 100%, $E$12)</f>
        <v>9.3360000000000003</v>
      </c>
    </row>
    <row r="528" spans="1:15" ht="15">
      <c r="A528" s="13">
        <v>57224</v>
      </c>
      <c r="B528" s="65">
        <f>7.9344 * CHOOSE(CONTROL!$C$23, $C$12, 100%, $E$12)</f>
        <v>7.9344000000000001</v>
      </c>
      <c r="C528" s="65">
        <f>7.9344 * CHOOSE(CONTROL!$C$23, $C$12, 100%, $E$12)</f>
        <v>7.9344000000000001</v>
      </c>
      <c r="D528" s="65">
        <f>7.9401 * CHOOSE(CONTROL!$C$23, $C$12, 100%, $E$12)</f>
        <v>7.9401000000000002</v>
      </c>
      <c r="E528" s="66">
        <f>9.3108 * CHOOSE(CONTROL!$C$23, $C$12, 100%, $E$12)</f>
        <v>9.3108000000000004</v>
      </c>
      <c r="F528" s="66">
        <f>9.3108 * CHOOSE(CONTROL!$C$23, $C$12, 100%, $E$12)</f>
        <v>9.3108000000000004</v>
      </c>
      <c r="G528" s="66">
        <f>9.3177 * CHOOSE(CONTROL!$C$23, $C$12, 100%, $E$12)</f>
        <v>9.3177000000000003</v>
      </c>
      <c r="H528" s="66">
        <f>17.1245* CHOOSE(CONTROL!$C$23, $C$12, 100%, $E$12)</f>
        <v>17.124500000000001</v>
      </c>
      <c r="I528" s="66">
        <f>17.1314 * CHOOSE(CONTROL!$C$23, $C$12, 100%, $E$12)</f>
        <v>17.131399999999999</v>
      </c>
      <c r="J528" s="66">
        <f>17.1245 * CHOOSE(CONTROL!$C$23, $C$12, 100%, $E$12)</f>
        <v>17.124500000000001</v>
      </c>
      <c r="K528" s="66">
        <f>17.1314 * CHOOSE(CONTROL!$C$23, $C$12, 100%, $E$12)</f>
        <v>17.131399999999999</v>
      </c>
      <c r="L528" s="66">
        <f>9.3108 * CHOOSE(CONTROL!$C$23, $C$12, 100%, $E$12)</f>
        <v>9.3108000000000004</v>
      </c>
      <c r="M528" s="66">
        <f>9.3177 * CHOOSE(CONTROL!$C$23, $C$12, 100%, $E$12)</f>
        <v>9.3177000000000003</v>
      </c>
      <c r="N528" s="66">
        <f>9.3108 * CHOOSE(CONTROL!$C$23, $C$12, 100%, $E$12)</f>
        <v>9.3108000000000004</v>
      </c>
      <c r="O528" s="66">
        <f>9.3177 * CHOOSE(CONTROL!$C$23, $C$12, 100%, $E$12)</f>
        <v>9.3177000000000003</v>
      </c>
    </row>
    <row r="529" spans="1:15" ht="15">
      <c r="A529" s="13">
        <v>57254</v>
      </c>
      <c r="B529" s="65">
        <f>7.9424 * CHOOSE(CONTROL!$C$23, $C$12, 100%, $E$12)</f>
        <v>7.9424000000000001</v>
      </c>
      <c r="C529" s="65">
        <f>7.9424 * CHOOSE(CONTROL!$C$23, $C$12, 100%, $E$12)</f>
        <v>7.9424000000000001</v>
      </c>
      <c r="D529" s="65">
        <f>7.9464 * CHOOSE(CONTROL!$C$23, $C$12, 100%, $E$12)</f>
        <v>7.9463999999999997</v>
      </c>
      <c r="E529" s="66">
        <f>9.3622 * CHOOSE(CONTROL!$C$23, $C$12, 100%, $E$12)</f>
        <v>9.3621999999999996</v>
      </c>
      <c r="F529" s="66">
        <f>9.3622 * CHOOSE(CONTROL!$C$23, $C$12, 100%, $E$12)</f>
        <v>9.3621999999999996</v>
      </c>
      <c r="G529" s="66">
        <f>9.3671 * CHOOSE(CONTROL!$C$23, $C$12, 100%, $E$12)</f>
        <v>9.3671000000000006</v>
      </c>
      <c r="H529" s="66">
        <f>17.1602* CHOOSE(CONTROL!$C$23, $C$12, 100%, $E$12)</f>
        <v>17.1602</v>
      </c>
      <c r="I529" s="66">
        <f>17.1651 * CHOOSE(CONTROL!$C$23, $C$12, 100%, $E$12)</f>
        <v>17.165099999999999</v>
      </c>
      <c r="J529" s="66">
        <f>17.1602 * CHOOSE(CONTROL!$C$23, $C$12, 100%, $E$12)</f>
        <v>17.1602</v>
      </c>
      <c r="K529" s="66">
        <f>17.1651 * CHOOSE(CONTROL!$C$23, $C$12, 100%, $E$12)</f>
        <v>17.165099999999999</v>
      </c>
      <c r="L529" s="66">
        <f>9.3622 * CHOOSE(CONTROL!$C$23, $C$12, 100%, $E$12)</f>
        <v>9.3621999999999996</v>
      </c>
      <c r="M529" s="66">
        <f>9.3671 * CHOOSE(CONTROL!$C$23, $C$12, 100%, $E$12)</f>
        <v>9.3671000000000006</v>
      </c>
      <c r="N529" s="66">
        <f>9.3622 * CHOOSE(CONTROL!$C$23, $C$12, 100%, $E$12)</f>
        <v>9.3621999999999996</v>
      </c>
      <c r="O529" s="66">
        <f>9.3671 * CHOOSE(CONTROL!$C$23, $C$12, 100%, $E$12)</f>
        <v>9.3671000000000006</v>
      </c>
    </row>
    <row r="530" spans="1:15" ht="15">
      <c r="A530" s="13">
        <v>57285</v>
      </c>
      <c r="B530" s="65">
        <f>7.9454 * CHOOSE(CONTROL!$C$23, $C$12, 100%, $E$12)</f>
        <v>7.9454000000000002</v>
      </c>
      <c r="C530" s="65">
        <f>7.9454 * CHOOSE(CONTROL!$C$23, $C$12, 100%, $E$12)</f>
        <v>7.9454000000000002</v>
      </c>
      <c r="D530" s="65">
        <f>7.9494 * CHOOSE(CONTROL!$C$23, $C$12, 100%, $E$12)</f>
        <v>7.9493999999999998</v>
      </c>
      <c r="E530" s="66">
        <f>9.3968 * CHOOSE(CONTROL!$C$23, $C$12, 100%, $E$12)</f>
        <v>9.3968000000000007</v>
      </c>
      <c r="F530" s="66">
        <f>9.3968 * CHOOSE(CONTROL!$C$23, $C$12, 100%, $E$12)</f>
        <v>9.3968000000000007</v>
      </c>
      <c r="G530" s="66">
        <f>9.4017 * CHOOSE(CONTROL!$C$23, $C$12, 100%, $E$12)</f>
        <v>9.4016999999999999</v>
      </c>
      <c r="H530" s="66">
        <f>17.1959* CHOOSE(CONTROL!$C$23, $C$12, 100%, $E$12)</f>
        <v>17.195900000000002</v>
      </c>
      <c r="I530" s="66">
        <f>17.2008 * CHOOSE(CONTROL!$C$23, $C$12, 100%, $E$12)</f>
        <v>17.200800000000001</v>
      </c>
      <c r="J530" s="66">
        <f>17.1959 * CHOOSE(CONTROL!$C$23, $C$12, 100%, $E$12)</f>
        <v>17.195900000000002</v>
      </c>
      <c r="K530" s="66">
        <f>17.2008 * CHOOSE(CONTROL!$C$23, $C$12, 100%, $E$12)</f>
        <v>17.200800000000001</v>
      </c>
      <c r="L530" s="66">
        <f>9.3968 * CHOOSE(CONTROL!$C$23, $C$12, 100%, $E$12)</f>
        <v>9.3968000000000007</v>
      </c>
      <c r="M530" s="66">
        <f>9.4017 * CHOOSE(CONTROL!$C$23, $C$12, 100%, $E$12)</f>
        <v>9.4016999999999999</v>
      </c>
      <c r="N530" s="66">
        <f>9.3968 * CHOOSE(CONTROL!$C$23, $C$12, 100%, $E$12)</f>
        <v>9.3968000000000007</v>
      </c>
      <c r="O530" s="66">
        <f>9.4017 * CHOOSE(CONTROL!$C$23, $C$12, 100%, $E$12)</f>
        <v>9.4016999999999999</v>
      </c>
    </row>
    <row r="531" spans="1:15" ht="15">
      <c r="A531" s="13">
        <v>57315</v>
      </c>
      <c r="B531" s="65">
        <f>7.9454 * CHOOSE(CONTROL!$C$23, $C$12, 100%, $E$12)</f>
        <v>7.9454000000000002</v>
      </c>
      <c r="C531" s="65">
        <f>7.9454 * CHOOSE(CONTROL!$C$23, $C$12, 100%, $E$12)</f>
        <v>7.9454000000000002</v>
      </c>
      <c r="D531" s="65">
        <f>7.9494 * CHOOSE(CONTROL!$C$23, $C$12, 100%, $E$12)</f>
        <v>7.9493999999999998</v>
      </c>
      <c r="E531" s="66">
        <f>9.3157 * CHOOSE(CONTROL!$C$23, $C$12, 100%, $E$12)</f>
        <v>9.3156999999999996</v>
      </c>
      <c r="F531" s="66">
        <f>9.3157 * CHOOSE(CONTROL!$C$23, $C$12, 100%, $E$12)</f>
        <v>9.3156999999999996</v>
      </c>
      <c r="G531" s="66">
        <f>9.3206 * CHOOSE(CONTROL!$C$23, $C$12, 100%, $E$12)</f>
        <v>9.3206000000000007</v>
      </c>
      <c r="H531" s="66">
        <f>17.2317* CHOOSE(CONTROL!$C$23, $C$12, 100%, $E$12)</f>
        <v>17.2317</v>
      </c>
      <c r="I531" s="66">
        <f>17.2367 * CHOOSE(CONTROL!$C$23, $C$12, 100%, $E$12)</f>
        <v>17.236699999999999</v>
      </c>
      <c r="J531" s="66">
        <f>17.2317 * CHOOSE(CONTROL!$C$23, $C$12, 100%, $E$12)</f>
        <v>17.2317</v>
      </c>
      <c r="K531" s="66">
        <f>17.2367 * CHOOSE(CONTROL!$C$23, $C$12, 100%, $E$12)</f>
        <v>17.236699999999999</v>
      </c>
      <c r="L531" s="66">
        <f>9.3157 * CHOOSE(CONTROL!$C$23, $C$12, 100%, $E$12)</f>
        <v>9.3156999999999996</v>
      </c>
      <c r="M531" s="66">
        <f>9.3206 * CHOOSE(CONTROL!$C$23, $C$12, 100%, $E$12)</f>
        <v>9.3206000000000007</v>
      </c>
      <c r="N531" s="66">
        <f>9.3157 * CHOOSE(CONTROL!$C$23, $C$12, 100%, $E$12)</f>
        <v>9.3156999999999996</v>
      </c>
      <c r="O531" s="66">
        <f>9.3206 * CHOOSE(CONTROL!$C$23, $C$12, 100%, $E$12)</f>
        <v>9.3206000000000007</v>
      </c>
    </row>
    <row r="532" spans="1:15" ht="15">
      <c r="A532" s="13">
        <v>57346</v>
      </c>
      <c r="B532" s="65">
        <f>8.0136 * CHOOSE(CONTROL!$C$23, $C$12, 100%, $E$12)</f>
        <v>8.0136000000000003</v>
      </c>
      <c r="C532" s="65">
        <f>8.0136 * CHOOSE(CONTROL!$C$23, $C$12, 100%, $E$12)</f>
        <v>8.0136000000000003</v>
      </c>
      <c r="D532" s="65">
        <f>8.0176 * CHOOSE(CONTROL!$C$23, $C$12, 100%, $E$12)</f>
        <v>8.0175999999999998</v>
      </c>
      <c r="E532" s="66">
        <f>9.4498 * CHOOSE(CONTROL!$C$23, $C$12, 100%, $E$12)</f>
        <v>9.4497999999999998</v>
      </c>
      <c r="F532" s="66">
        <f>9.4498 * CHOOSE(CONTROL!$C$23, $C$12, 100%, $E$12)</f>
        <v>9.4497999999999998</v>
      </c>
      <c r="G532" s="66">
        <f>9.4547 * CHOOSE(CONTROL!$C$23, $C$12, 100%, $E$12)</f>
        <v>9.4547000000000008</v>
      </c>
      <c r="H532" s="66">
        <f>17.2676* CHOOSE(CONTROL!$C$23, $C$12, 100%, $E$12)</f>
        <v>17.267600000000002</v>
      </c>
      <c r="I532" s="66">
        <f>17.2726 * CHOOSE(CONTROL!$C$23, $C$12, 100%, $E$12)</f>
        <v>17.272600000000001</v>
      </c>
      <c r="J532" s="66">
        <f>17.2676 * CHOOSE(CONTROL!$C$23, $C$12, 100%, $E$12)</f>
        <v>17.267600000000002</v>
      </c>
      <c r="K532" s="66">
        <f>17.2726 * CHOOSE(CONTROL!$C$23, $C$12, 100%, $E$12)</f>
        <v>17.272600000000001</v>
      </c>
      <c r="L532" s="66">
        <f>9.4498 * CHOOSE(CONTROL!$C$23, $C$12, 100%, $E$12)</f>
        <v>9.4497999999999998</v>
      </c>
      <c r="M532" s="66">
        <f>9.4547 * CHOOSE(CONTROL!$C$23, $C$12, 100%, $E$12)</f>
        <v>9.4547000000000008</v>
      </c>
      <c r="N532" s="66">
        <f>9.4498 * CHOOSE(CONTROL!$C$23, $C$12, 100%, $E$12)</f>
        <v>9.4497999999999998</v>
      </c>
      <c r="O532" s="66">
        <f>9.4547 * CHOOSE(CONTROL!$C$23, $C$12, 100%, $E$12)</f>
        <v>9.4547000000000008</v>
      </c>
    </row>
    <row r="533" spans="1:15" ht="15">
      <c r="A533" s="13">
        <v>57377</v>
      </c>
      <c r="B533" s="65">
        <f>8.0106 * CHOOSE(CONTROL!$C$23, $C$12, 100%, $E$12)</f>
        <v>8.0106000000000002</v>
      </c>
      <c r="C533" s="65">
        <f>8.0106 * CHOOSE(CONTROL!$C$23, $C$12, 100%, $E$12)</f>
        <v>8.0106000000000002</v>
      </c>
      <c r="D533" s="65">
        <f>8.0146 * CHOOSE(CONTROL!$C$23, $C$12, 100%, $E$12)</f>
        <v>8.0145999999999997</v>
      </c>
      <c r="E533" s="66">
        <f>9.2901 * CHOOSE(CONTROL!$C$23, $C$12, 100%, $E$12)</f>
        <v>9.2901000000000007</v>
      </c>
      <c r="F533" s="66">
        <f>9.2901 * CHOOSE(CONTROL!$C$23, $C$12, 100%, $E$12)</f>
        <v>9.2901000000000007</v>
      </c>
      <c r="G533" s="66">
        <f>9.2951 * CHOOSE(CONTROL!$C$23, $C$12, 100%, $E$12)</f>
        <v>9.2950999999999997</v>
      </c>
      <c r="H533" s="66">
        <f>17.3036* CHOOSE(CONTROL!$C$23, $C$12, 100%, $E$12)</f>
        <v>17.303599999999999</v>
      </c>
      <c r="I533" s="66">
        <f>17.3085 * CHOOSE(CONTROL!$C$23, $C$12, 100%, $E$12)</f>
        <v>17.308499999999999</v>
      </c>
      <c r="J533" s="66">
        <f>17.3036 * CHOOSE(CONTROL!$C$23, $C$12, 100%, $E$12)</f>
        <v>17.303599999999999</v>
      </c>
      <c r="K533" s="66">
        <f>17.3085 * CHOOSE(CONTROL!$C$23, $C$12, 100%, $E$12)</f>
        <v>17.308499999999999</v>
      </c>
      <c r="L533" s="66">
        <f>9.2901 * CHOOSE(CONTROL!$C$23, $C$12, 100%, $E$12)</f>
        <v>9.2901000000000007</v>
      </c>
      <c r="M533" s="66">
        <f>9.2951 * CHOOSE(CONTROL!$C$23, $C$12, 100%, $E$12)</f>
        <v>9.2950999999999997</v>
      </c>
      <c r="N533" s="66">
        <f>9.2901 * CHOOSE(CONTROL!$C$23, $C$12, 100%, $E$12)</f>
        <v>9.2901000000000007</v>
      </c>
      <c r="O533" s="66">
        <f>9.2951 * CHOOSE(CONTROL!$C$23, $C$12, 100%, $E$12)</f>
        <v>9.2950999999999997</v>
      </c>
    </row>
    <row r="534" spans="1:15" ht="15">
      <c r="A534" s="13">
        <v>57405</v>
      </c>
      <c r="B534" s="65">
        <f>8.0075 * CHOOSE(CONTROL!$C$23, $C$12, 100%, $E$12)</f>
        <v>8.0075000000000003</v>
      </c>
      <c r="C534" s="65">
        <f>8.0075 * CHOOSE(CONTROL!$C$23, $C$12, 100%, $E$12)</f>
        <v>8.0075000000000003</v>
      </c>
      <c r="D534" s="65">
        <f>8.0115 * CHOOSE(CONTROL!$C$23, $C$12, 100%, $E$12)</f>
        <v>8.0114999999999998</v>
      </c>
      <c r="E534" s="66">
        <f>9.4122 * CHOOSE(CONTROL!$C$23, $C$12, 100%, $E$12)</f>
        <v>9.4122000000000003</v>
      </c>
      <c r="F534" s="66">
        <f>9.4122 * CHOOSE(CONTROL!$C$23, $C$12, 100%, $E$12)</f>
        <v>9.4122000000000003</v>
      </c>
      <c r="G534" s="66">
        <f>9.4171 * CHOOSE(CONTROL!$C$23, $C$12, 100%, $E$12)</f>
        <v>9.4170999999999996</v>
      </c>
      <c r="H534" s="66">
        <f>17.3397* CHOOSE(CONTROL!$C$23, $C$12, 100%, $E$12)</f>
        <v>17.339700000000001</v>
      </c>
      <c r="I534" s="66">
        <f>17.3446 * CHOOSE(CONTROL!$C$23, $C$12, 100%, $E$12)</f>
        <v>17.3446</v>
      </c>
      <c r="J534" s="66">
        <f>17.3397 * CHOOSE(CONTROL!$C$23, $C$12, 100%, $E$12)</f>
        <v>17.339700000000001</v>
      </c>
      <c r="K534" s="66">
        <f>17.3446 * CHOOSE(CONTROL!$C$23, $C$12, 100%, $E$12)</f>
        <v>17.3446</v>
      </c>
      <c r="L534" s="66">
        <f>9.4122 * CHOOSE(CONTROL!$C$23, $C$12, 100%, $E$12)</f>
        <v>9.4122000000000003</v>
      </c>
      <c r="M534" s="66">
        <f>9.4171 * CHOOSE(CONTROL!$C$23, $C$12, 100%, $E$12)</f>
        <v>9.4170999999999996</v>
      </c>
      <c r="N534" s="66">
        <f>9.4122 * CHOOSE(CONTROL!$C$23, $C$12, 100%, $E$12)</f>
        <v>9.4122000000000003</v>
      </c>
      <c r="O534" s="66">
        <f>9.4171 * CHOOSE(CONTROL!$C$23, $C$12, 100%, $E$12)</f>
        <v>9.4170999999999996</v>
      </c>
    </row>
    <row r="535" spans="1:15" ht="15">
      <c r="A535" s="13">
        <v>57436</v>
      </c>
      <c r="B535" s="65">
        <f>8.0086 * CHOOSE(CONTROL!$C$23, $C$12, 100%, $E$12)</f>
        <v>8.0085999999999995</v>
      </c>
      <c r="C535" s="65">
        <f>8.0086 * CHOOSE(CONTROL!$C$23, $C$12, 100%, $E$12)</f>
        <v>8.0085999999999995</v>
      </c>
      <c r="D535" s="65">
        <f>8.0126 * CHOOSE(CONTROL!$C$23, $C$12, 100%, $E$12)</f>
        <v>8.0126000000000008</v>
      </c>
      <c r="E535" s="66">
        <f>9.5413 * CHOOSE(CONTROL!$C$23, $C$12, 100%, $E$12)</f>
        <v>9.5412999999999997</v>
      </c>
      <c r="F535" s="66">
        <f>9.5413 * CHOOSE(CONTROL!$C$23, $C$12, 100%, $E$12)</f>
        <v>9.5412999999999997</v>
      </c>
      <c r="G535" s="66">
        <f>9.5463 * CHOOSE(CONTROL!$C$23, $C$12, 100%, $E$12)</f>
        <v>9.5463000000000005</v>
      </c>
      <c r="H535" s="66">
        <f>17.3758* CHOOSE(CONTROL!$C$23, $C$12, 100%, $E$12)</f>
        <v>17.375800000000002</v>
      </c>
      <c r="I535" s="66">
        <f>17.3807 * CHOOSE(CONTROL!$C$23, $C$12, 100%, $E$12)</f>
        <v>17.380700000000001</v>
      </c>
      <c r="J535" s="66">
        <f>17.3758 * CHOOSE(CONTROL!$C$23, $C$12, 100%, $E$12)</f>
        <v>17.375800000000002</v>
      </c>
      <c r="K535" s="66">
        <f>17.3807 * CHOOSE(CONTROL!$C$23, $C$12, 100%, $E$12)</f>
        <v>17.380700000000001</v>
      </c>
      <c r="L535" s="66">
        <f>9.5413 * CHOOSE(CONTROL!$C$23, $C$12, 100%, $E$12)</f>
        <v>9.5412999999999997</v>
      </c>
      <c r="M535" s="66">
        <f>9.5463 * CHOOSE(CONTROL!$C$23, $C$12, 100%, $E$12)</f>
        <v>9.5463000000000005</v>
      </c>
      <c r="N535" s="66">
        <f>9.5413 * CHOOSE(CONTROL!$C$23, $C$12, 100%, $E$12)</f>
        <v>9.5412999999999997</v>
      </c>
      <c r="O535" s="66">
        <f>9.5463 * CHOOSE(CONTROL!$C$23, $C$12, 100%, $E$12)</f>
        <v>9.5463000000000005</v>
      </c>
    </row>
    <row r="536" spans="1:15" ht="15">
      <c r="A536" s="13">
        <v>57466</v>
      </c>
      <c r="B536" s="65">
        <f>8.0086 * CHOOSE(CONTROL!$C$23, $C$12, 100%, $E$12)</f>
        <v>8.0085999999999995</v>
      </c>
      <c r="C536" s="65">
        <f>8.0086 * CHOOSE(CONTROL!$C$23, $C$12, 100%, $E$12)</f>
        <v>8.0085999999999995</v>
      </c>
      <c r="D536" s="65">
        <f>8.0142 * CHOOSE(CONTROL!$C$23, $C$12, 100%, $E$12)</f>
        <v>8.0142000000000007</v>
      </c>
      <c r="E536" s="66">
        <f>9.5913 * CHOOSE(CONTROL!$C$23, $C$12, 100%, $E$12)</f>
        <v>9.5913000000000004</v>
      </c>
      <c r="F536" s="66">
        <f>9.5913 * CHOOSE(CONTROL!$C$23, $C$12, 100%, $E$12)</f>
        <v>9.5913000000000004</v>
      </c>
      <c r="G536" s="66">
        <f>9.5982 * CHOOSE(CONTROL!$C$23, $C$12, 100%, $E$12)</f>
        <v>9.5982000000000003</v>
      </c>
      <c r="H536" s="66">
        <f>17.412* CHOOSE(CONTROL!$C$23, $C$12, 100%, $E$12)</f>
        <v>17.411999999999999</v>
      </c>
      <c r="I536" s="66">
        <f>17.4189 * CHOOSE(CONTROL!$C$23, $C$12, 100%, $E$12)</f>
        <v>17.418900000000001</v>
      </c>
      <c r="J536" s="66">
        <f>17.412 * CHOOSE(CONTROL!$C$23, $C$12, 100%, $E$12)</f>
        <v>17.411999999999999</v>
      </c>
      <c r="K536" s="66">
        <f>17.4189 * CHOOSE(CONTROL!$C$23, $C$12, 100%, $E$12)</f>
        <v>17.418900000000001</v>
      </c>
      <c r="L536" s="66">
        <f>9.5913 * CHOOSE(CONTROL!$C$23, $C$12, 100%, $E$12)</f>
        <v>9.5913000000000004</v>
      </c>
      <c r="M536" s="66">
        <f>9.5982 * CHOOSE(CONTROL!$C$23, $C$12, 100%, $E$12)</f>
        <v>9.5982000000000003</v>
      </c>
      <c r="N536" s="66">
        <f>9.5913 * CHOOSE(CONTROL!$C$23, $C$12, 100%, $E$12)</f>
        <v>9.5913000000000004</v>
      </c>
      <c r="O536" s="66">
        <f>9.5982 * CHOOSE(CONTROL!$C$23, $C$12, 100%, $E$12)</f>
        <v>9.5982000000000003</v>
      </c>
    </row>
    <row r="537" spans="1:15" ht="15">
      <c r="A537" s="13">
        <v>57497</v>
      </c>
      <c r="B537" s="65">
        <f>8.0147 * CHOOSE(CONTROL!$C$23, $C$12, 100%, $E$12)</f>
        <v>8.0146999999999995</v>
      </c>
      <c r="C537" s="65">
        <f>8.0147 * CHOOSE(CONTROL!$C$23, $C$12, 100%, $E$12)</f>
        <v>8.0146999999999995</v>
      </c>
      <c r="D537" s="65">
        <f>8.0203 * CHOOSE(CONTROL!$C$23, $C$12, 100%, $E$12)</f>
        <v>8.0203000000000007</v>
      </c>
      <c r="E537" s="66">
        <f>9.5456 * CHOOSE(CONTROL!$C$23, $C$12, 100%, $E$12)</f>
        <v>9.5456000000000003</v>
      </c>
      <c r="F537" s="66">
        <f>9.5456 * CHOOSE(CONTROL!$C$23, $C$12, 100%, $E$12)</f>
        <v>9.5456000000000003</v>
      </c>
      <c r="G537" s="66">
        <f>9.5525 * CHOOSE(CONTROL!$C$23, $C$12, 100%, $E$12)</f>
        <v>9.5525000000000002</v>
      </c>
      <c r="H537" s="66">
        <f>17.4483* CHOOSE(CONTROL!$C$23, $C$12, 100%, $E$12)</f>
        <v>17.4483</v>
      </c>
      <c r="I537" s="66">
        <f>17.4552 * CHOOSE(CONTROL!$C$23, $C$12, 100%, $E$12)</f>
        <v>17.455200000000001</v>
      </c>
      <c r="J537" s="66">
        <f>17.4483 * CHOOSE(CONTROL!$C$23, $C$12, 100%, $E$12)</f>
        <v>17.4483</v>
      </c>
      <c r="K537" s="66">
        <f>17.4552 * CHOOSE(CONTROL!$C$23, $C$12, 100%, $E$12)</f>
        <v>17.455200000000001</v>
      </c>
      <c r="L537" s="66">
        <f>9.5456 * CHOOSE(CONTROL!$C$23, $C$12, 100%, $E$12)</f>
        <v>9.5456000000000003</v>
      </c>
      <c r="M537" s="66">
        <f>9.5525 * CHOOSE(CONTROL!$C$23, $C$12, 100%, $E$12)</f>
        <v>9.5525000000000002</v>
      </c>
      <c r="N537" s="66">
        <f>9.5456 * CHOOSE(CONTROL!$C$23, $C$12, 100%, $E$12)</f>
        <v>9.5456000000000003</v>
      </c>
      <c r="O537" s="66">
        <f>9.5525 * CHOOSE(CONTROL!$C$23, $C$12, 100%, $E$12)</f>
        <v>9.5525000000000002</v>
      </c>
    </row>
    <row r="538" spans="1:15" ht="15">
      <c r="A538" s="13">
        <v>57527</v>
      </c>
      <c r="B538" s="65">
        <f>8.1404 * CHOOSE(CONTROL!$C$23, $C$12, 100%, $E$12)</f>
        <v>8.1403999999999996</v>
      </c>
      <c r="C538" s="65">
        <f>8.1404 * CHOOSE(CONTROL!$C$23, $C$12, 100%, $E$12)</f>
        <v>8.1403999999999996</v>
      </c>
      <c r="D538" s="65">
        <f>8.1461 * CHOOSE(CONTROL!$C$23, $C$12, 100%, $E$12)</f>
        <v>8.1461000000000006</v>
      </c>
      <c r="E538" s="66">
        <f>9.7022 * CHOOSE(CONTROL!$C$23, $C$12, 100%, $E$12)</f>
        <v>9.7021999999999995</v>
      </c>
      <c r="F538" s="66">
        <f>9.7022 * CHOOSE(CONTROL!$C$23, $C$12, 100%, $E$12)</f>
        <v>9.7021999999999995</v>
      </c>
      <c r="G538" s="66">
        <f>9.7091 * CHOOSE(CONTROL!$C$23, $C$12, 100%, $E$12)</f>
        <v>9.7090999999999994</v>
      </c>
      <c r="H538" s="66">
        <f>17.4846* CHOOSE(CONTROL!$C$23, $C$12, 100%, $E$12)</f>
        <v>17.4846</v>
      </c>
      <c r="I538" s="66">
        <f>17.4915 * CHOOSE(CONTROL!$C$23, $C$12, 100%, $E$12)</f>
        <v>17.491499999999998</v>
      </c>
      <c r="J538" s="66">
        <f>17.4846 * CHOOSE(CONTROL!$C$23, $C$12, 100%, $E$12)</f>
        <v>17.4846</v>
      </c>
      <c r="K538" s="66">
        <f>17.4915 * CHOOSE(CONTROL!$C$23, $C$12, 100%, $E$12)</f>
        <v>17.491499999999998</v>
      </c>
      <c r="L538" s="66">
        <f>9.7022 * CHOOSE(CONTROL!$C$23, $C$12, 100%, $E$12)</f>
        <v>9.7021999999999995</v>
      </c>
      <c r="M538" s="66">
        <f>9.7091 * CHOOSE(CONTROL!$C$23, $C$12, 100%, $E$12)</f>
        <v>9.7090999999999994</v>
      </c>
      <c r="N538" s="66">
        <f>9.7022 * CHOOSE(CONTROL!$C$23, $C$12, 100%, $E$12)</f>
        <v>9.7021999999999995</v>
      </c>
      <c r="O538" s="66">
        <f>9.7091 * CHOOSE(CONTROL!$C$23, $C$12, 100%, $E$12)</f>
        <v>9.7090999999999994</v>
      </c>
    </row>
    <row r="539" spans="1:15" ht="15">
      <c r="A539" s="13">
        <v>57558</v>
      </c>
      <c r="B539" s="65">
        <f>8.1471 * CHOOSE(CONTROL!$C$23, $C$12, 100%, $E$12)</f>
        <v>8.1471</v>
      </c>
      <c r="C539" s="65">
        <f>8.1471 * CHOOSE(CONTROL!$C$23, $C$12, 100%, $E$12)</f>
        <v>8.1471</v>
      </c>
      <c r="D539" s="65">
        <f>8.1527 * CHOOSE(CONTROL!$C$23, $C$12, 100%, $E$12)</f>
        <v>8.1526999999999994</v>
      </c>
      <c r="E539" s="66">
        <f>9.5568 * CHOOSE(CONTROL!$C$23, $C$12, 100%, $E$12)</f>
        <v>9.5568000000000008</v>
      </c>
      <c r="F539" s="66">
        <f>9.5568 * CHOOSE(CONTROL!$C$23, $C$12, 100%, $E$12)</f>
        <v>9.5568000000000008</v>
      </c>
      <c r="G539" s="66">
        <f>9.5637 * CHOOSE(CONTROL!$C$23, $C$12, 100%, $E$12)</f>
        <v>9.5637000000000008</v>
      </c>
      <c r="H539" s="66">
        <f>17.521* CHOOSE(CONTROL!$C$23, $C$12, 100%, $E$12)</f>
        <v>17.521000000000001</v>
      </c>
      <c r="I539" s="66">
        <f>17.5279 * CHOOSE(CONTROL!$C$23, $C$12, 100%, $E$12)</f>
        <v>17.527899999999999</v>
      </c>
      <c r="J539" s="66">
        <f>17.521 * CHOOSE(CONTROL!$C$23, $C$12, 100%, $E$12)</f>
        <v>17.521000000000001</v>
      </c>
      <c r="K539" s="66">
        <f>17.5279 * CHOOSE(CONTROL!$C$23, $C$12, 100%, $E$12)</f>
        <v>17.527899999999999</v>
      </c>
      <c r="L539" s="66">
        <f>9.5568 * CHOOSE(CONTROL!$C$23, $C$12, 100%, $E$12)</f>
        <v>9.5568000000000008</v>
      </c>
      <c r="M539" s="66">
        <f>9.5637 * CHOOSE(CONTROL!$C$23, $C$12, 100%, $E$12)</f>
        <v>9.5637000000000008</v>
      </c>
      <c r="N539" s="66">
        <f>9.5568 * CHOOSE(CONTROL!$C$23, $C$12, 100%, $E$12)</f>
        <v>9.5568000000000008</v>
      </c>
      <c r="O539" s="66">
        <f>9.5637 * CHOOSE(CONTROL!$C$23, $C$12, 100%, $E$12)</f>
        <v>9.5637000000000008</v>
      </c>
    </row>
    <row r="540" spans="1:15" ht="15">
      <c r="A540" s="13">
        <v>57589</v>
      </c>
      <c r="B540" s="65">
        <f>8.1441 * CHOOSE(CONTROL!$C$23, $C$12, 100%, $E$12)</f>
        <v>8.1440999999999999</v>
      </c>
      <c r="C540" s="65">
        <f>8.1441 * CHOOSE(CONTROL!$C$23, $C$12, 100%, $E$12)</f>
        <v>8.1440999999999999</v>
      </c>
      <c r="D540" s="65">
        <f>8.1497 * CHOOSE(CONTROL!$C$23, $C$12, 100%, $E$12)</f>
        <v>8.1496999999999993</v>
      </c>
      <c r="E540" s="66">
        <f>9.538 * CHOOSE(CONTROL!$C$23, $C$12, 100%, $E$12)</f>
        <v>9.5380000000000003</v>
      </c>
      <c r="F540" s="66">
        <f>9.538 * CHOOSE(CONTROL!$C$23, $C$12, 100%, $E$12)</f>
        <v>9.5380000000000003</v>
      </c>
      <c r="G540" s="66">
        <f>9.5449 * CHOOSE(CONTROL!$C$23, $C$12, 100%, $E$12)</f>
        <v>9.5449000000000002</v>
      </c>
      <c r="H540" s="66">
        <f>17.5575* CHOOSE(CONTROL!$C$23, $C$12, 100%, $E$12)</f>
        <v>17.557500000000001</v>
      </c>
      <c r="I540" s="66">
        <f>17.5644 * CHOOSE(CONTROL!$C$23, $C$12, 100%, $E$12)</f>
        <v>17.564399999999999</v>
      </c>
      <c r="J540" s="66">
        <f>17.5575 * CHOOSE(CONTROL!$C$23, $C$12, 100%, $E$12)</f>
        <v>17.557500000000001</v>
      </c>
      <c r="K540" s="66">
        <f>17.5644 * CHOOSE(CONTROL!$C$23, $C$12, 100%, $E$12)</f>
        <v>17.564399999999999</v>
      </c>
      <c r="L540" s="66">
        <f>9.538 * CHOOSE(CONTROL!$C$23, $C$12, 100%, $E$12)</f>
        <v>9.5380000000000003</v>
      </c>
      <c r="M540" s="66">
        <f>9.5449 * CHOOSE(CONTROL!$C$23, $C$12, 100%, $E$12)</f>
        <v>9.5449000000000002</v>
      </c>
      <c r="N540" s="66">
        <f>9.538 * CHOOSE(CONTROL!$C$23, $C$12, 100%, $E$12)</f>
        <v>9.5380000000000003</v>
      </c>
      <c r="O540" s="66">
        <f>9.5449 * CHOOSE(CONTROL!$C$23, $C$12, 100%, $E$12)</f>
        <v>9.5449000000000002</v>
      </c>
    </row>
    <row r="541" spans="1:15" ht="15">
      <c r="A541" s="13">
        <v>57619</v>
      </c>
      <c r="B541" s="65">
        <f>8.1527 * CHOOSE(CONTROL!$C$23, $C$12, 100%, $E$12)</f>
        <v>8.1526999999999994</v>
      </c>
      <c r="C541" s="65">
        <f>8.1527 * CHOOSE(CONTROL!$C$23, $C$12, 100%, $E$12)</f>
        <v>8.1526999999999994</v>
      </c>
      <c r="D541" s="65">
        <f>8.1567 * CHOOSE(CONTROL!$C$23, $C$12, 100%, $E$12)</f>
        <v>8.1567000000000007</v>
      </c>
      <c r="E541" s="66">
        <f>9.5913 * CHOOSE(CONTROL!$C$23, $C$12, 100%, $E$12)</f>
        <v>9.5913000000000004</v>
      </c>
      <c r="F541" s="66">
        <f>9.5913 * CHOOSE(CONTROL!$C$23, $C$12, 100%, $E$12)</f>
        <v>9.5913000000000004</v>
      </c>
      <c r="G541" s="66">
        <f>9.5962 * CHOOSE(CONTROL!$C$23, $C$12, 100%, $E$12)</f>
        <v>9.5961999999999996</v>
      </c>
      <c r="H541" s="66">
        <f>17.5941* CHOOSE(CONTROL!$C$23, $C$12, 100%, $E$12)</f>
        <v>17.594100000000001</v>
      </c>
      <c r="I541" s="66">
        <f>17.599 * CHOOSE(CONTROL!$C$23, $C$12, 100%, $E$12)</f>
        <v>17.599</v>
      </c>
      <c r="J541" s="66">
        <f>17.5941 * CHOOSE(CONTROL!$C$23, $C$12, 100%, $E$12)</f>
        <v>17.594100000000001</v>
      </c>
      <c r="K541" s="66">
        <f>17.599 * CHOOSE(CONTROL!$C$23, $C$12, 100%, $E$12)</f>
        <v>17.599</v>
      </c>
      <c r="L541" s="66">
        <f>9.5913 * CHOOSE(CONTROL!$C$23, $C$12, 100%, $E$12)</f>
        <v>9.5913000000000004</v>
      </c>
      <c r="M541" s="66">
        <f>9.5962 * CHOOSE(CONTROL!$C$23, $C$12, 100%, $E$12)</f>
        <v>9.5961999999999996</v>
      </c>
      <c r="N541" s="66">
        <f>9.5913 * CHOOSE(CONTROL!$C$23, $C$12, 100%, $E$12)</f>
        <v>9.5913000000000004</v>
      </c>
      <c r="O541" s="66">
        <f>9.5962 * CHOOSE(CONTROL!$C$23, $C$12, 100%, $E$12)</f>
        <v>9.5961999999999996</v>
      </c>
    </row>
    <row r="542" spans="1:15" ht="15">
      <c r="A542" s="13">
        <v>57650</v>
      </c>
      <c r="B542" s="65">
        <f>8.1558 * CHOOSE(CONTROL!$C$23, $C$12, 100%, $E$12)</f>
        <v>8.1557999999999993</v>
      </c>
      <c r="C542" s="65">
        <f>8.1558 * CHOOSE(CONTROL!$C$23, $C$12, 100%, $E$12)</f>
        <v>8.1557999999999993</v>
      </c>
      <c r="D542" s="65">
        <f>8.1597 * CHOOSE(CONTROL!$C$23, $C$12, 100%, $E$12)</f>
        <v>8.1597000000000008</v>
      </c>
      <c r="E542" s="66">
        <f>9.6267 * CHOOSE(CONTROL!$C$23, $C$12, 100%, $E$12)</f>
        <v>9.6266999999999996</v>
      </c>
      <c r="F542" s="66">
        <f>9.6267 * CHOOSE(CONTROL!$C$23, $C$12, 100%, $E$12)</f>
        <v>9.6266999999999996</v>
      </c>
      <c r="G542" s="66">
        <f>9.6317 * CHOOSE(CONTROL!$C$23, $C$12, 100%, $E$12)</f>
        <v>9.6317000000000004</v>
      </c>
      <c r="H542" s="66">
        <f>17.6308* CHOOSE(CONTROL!$C$23, $C$12, 100%, $E$12)</f>
        <v>17.630800000000001</v>
      </c>
      <c r="I542" s="66">
        <f>17.6357 * CHOOSE(CONTROL!$C$23, $C$12, 100%, $E$12)</f>
        <v>17.6357</v>
      </c>
      <c r="J542" s="66">
        <f>17.6308 * CHOOSE(CONTROL!$C$23, $C$12, 100%, $E$12)</f>
        <v>17.630800000000001</v>
      </c>
      <c r="K542" s="66">
        <f>17.6357 * CHOOSE(CONTROL!$C$23, $C$12, 100%, $E$12)</f>
        <v>17.6357</v>
      </c>
      <c r="L542" s="66">
        <f>9.6267 * CHOOSE(CONTROL!$C$23, $C$12, 100%, $E$12)</f>
        <v>9.6266999999999996</v>
      </c>
      <c r="M542" s="66">
        <f>9.6317 * CHOOSE(CONTROL!$C$23, $C$12, 100%, $E$12)</f>
        <v>9.6317000000000004</v>
      </c>
      <c r="N542" s="66">
        <f>9.6267 * CHOOSE(CONTROL!$C$23, $C$12, 100%, $E$12)</f>
        <v>9.6266999999999996</v>
      </c>
      <c r="O542" s="66">
        <f>9.6317 * CHOOSE(CONTROL!$C$23, $C$12, 100%, $E$12)</f>
        <v>9.6317000000000004</v>
      </c>
    </row>
    <row r="543" spans="1:15" ht="15">
      <c r="A543" s="13">
        <v>57680</v>
      </c>
      <c r="B543" s="65">
        <f>8.1558 * CHOOSE(CONTROL!$C$23, $C$12, 100%, $E$12)</f>
        <v>8.1557999999999993</v>
      </c>
      <c r="C543" s="65">
        <f>8.1558 * CHOOSE(CONTROL!$C$23, $C$12, 100%, $E$12)</f>
        <v>8.1557999999999993</v>
      </c>
      <c r="D543" s="65">
        <f>8.1597 * CHOOSE(CONTROL!$C$23, $C$12, 100%, $E$12)</f>
        <v>8.1597000000000008</v>
      </c>
      <c r="E543" s="66">
        <f>9.5434 * CHOOSE(CONTROL!$C$23, $C$12, 100%, $E$12)</f>
        <v>9.5434000000000001</v>
      </c>
      <c r="F543" s="66">
        <f>9.5434 * CHOOSE(CONTROL!$C$23, $C$12, 100%, $E$12)</f>
        <v>9.5434000000000001</v>
      </c>
      <c r="G543" s="66">
        <f>9.5483 * CHOOSE(CONTROL!$C$23, $C$12, 100%, $E$12)</f>
        <v>9.5482999999999993</v>
      </c>
      <c r="H543" s="66">
        <f>17.6675* CHOOSE(CONTROL!$C$23, $C$12, 100%, $E$12)</f>
        <v>17.6675</v>
      </c>
      <c r="I543" s="66">
        <f>17.6724 * CHOOSE(CONTROL!$C$23, $C$12, 100%, $E$12)</f>
        <v>17.6724</v>
      </c>
      <c r="J543" s="66">
        <f>17.6675 * CHOOSE(CONTROL!$C$23, $C$12, 100%, $E$12)</f>
        <v>17.6675</v>
      </c>
      <c r="K543" s="66">
        <f>17.6724 * CHOOSE(CONTROL!$C$23, $C$12, 100%, $E$12)</f>
        <v>17.6724</v>
      </c>
      <c r="L543" s="66">
        <f>9.5434 * CHOOSE(CONTROL!$C$23, $C$12, 100%, $E$12)</f>
        <v>9.5434000000000001</v>
      </c>
      <c r="M543" s="66">
        <f>9.5483 * CHOOSE(CONTROL!$C$23, $C$12, 100%, $E$12)</f>
        <v>9.5482999999999993</v>
      </c>
      <c r="N543" s="66">
        <f>9.5434 * CHOOSE(CONTROL!$C$23, $C$12, 100%, $E$12)</f>
        <v>9.5434000000000001</v>
      </c>
      <c r="O543" s="66">
        <f>9.5483 * CHOOSE(CONTROL!$C$23, $C$12, 100%, $E$12)</f>
        <v>9.5482999999999993</v>
      </c>
    </row>
    <row r="544" spans="1:15" ht="15">
      <c r="A544" s="13">
        <v>57711</v>
      </c>
      <c r="B544" s="65">
        <f>8.2256 * CHOOSE(CONTROL!$C$23, $C$12, 100%, $E$12)</f>
        <v>8.2256</v>
      </c>
      <c r="C544" s="65">
        <f>8.2256 * CHOOSE(CONTROL!$C$23, $C$12, 100%, $E$12)</f>
        <v>8.2256</v>
      </c>
      <c r="D544" s="65">
        <f>8.2296 * CHOOSE(CONTROL!$C$23, $C$12, 100%, $E$12)</f>
        <v>8.2295999999999996</v>
      </c>
      <c r="E544" s="66">
        <f>9.6809 * CHOOSE(CONTROL!$C$23, $C$12, 100%, $E$12)</f>
        <v>9.6808999999999994</v>
      </c>
      <c r="F544" s="66">
        <f>9.6809 * CHOOSE(CONTROL!$C$23, $C$12, 100%, $E$12)</f>
        <v>9.6808999999999994</v>
      </c>
      <c r="G544" s="66">
        <f>9.6859 * CHOOSE(CONTROL!$C$23, $C$12, 100%, $E$12)</f>
        <v>9.6859000000000002</v>
      </c>
      <c r="H544" s="66">
        <f>17.7043* CHOOSE(CONTROL!$C$23, $C$12, 100%, $E$12)</f>
        <v>17.7043</v>
      </c>
      <c r="I544" s="66">
        <f>17.7092 * CHOOSE(CONTROL!$C$23, $C$12, 100%, $E$12)</f>
        <v>17.709199999999999</v>
      </c>
      <c r="J544" s="66">
        <f>17.7043 * CHOOSE(CONTROL!$C$23, $C$12, 100%, $E$12)</f>
        <v>17.7043</v>
      </c>
      <c r="K544" s="66">
        <f>17.7092 * CHOOSE(CONTROL!$C$23, $C$12, 100%, $E$12)</f>
        <v>17.709199999999999</v>
      </c>
      <c r="L544" s="66">
        <f>9.6809 * CHOOSE(CONTROL!$C$23, $C$12, 100%, $E$12)</f>
        <v>9.6808999999999994</v>
      </c>
      <c r="M544" s="66">
        <f>9.6859 * CHOOSE(CONTROL!$C$23, $C$12, 100%, $E$12)</f>
        <v>9.6859000000000002</v>
      </c>
      <c r="N544" s="66">
        <f>9.6809 * CHOOSE(CONTROL!$C$23, $C$12, 100%, $E$12)</f>
        <v>9.6808999999999994</v>
      </c>
      <c r="O544" s="66">
        <f>9.6859 * CHOOSE(CONTROL!$C$23, $C$12, 100%, $E$12)</f>
        <v>9.6859000000000002</v>
      </c>
    </row>
    <row r="545" spans="1:15" ht="15">
      <c r="A545" s="13">
        <v>57742</v>
      </c>
      <c r="B545" s="65">
        <f>8.2226 * CHOOSE(CONTROL!$C$23, $C$12, 100%, $E$12)</f>
        <v>8.2225999999999999</v>
      </c>
      <c r="C545" s="65">
        <f>8.2226 * CHOOSE(CONTROL!$C$23, $C$12, 100%, $E$12)</f>
        <v>8.2225999999999999</v>
      </c>
      <c r="D545" s="65">
        <f>8.2266 * CHOOSE(CONTROL!$C$23, $C$12, 100%, $E$12)</f>
        <v>8.2265999999999995</v>
      </c>
      <c r="E545" s="66">
        <f>9.5169 * CHOOSE(CONTROL!$C$23, $C$12, 100%, $E$12)</f>
        <v>9.5168999999999997</v>
      </c>
      <c r="F545" s="66">
        <f>9.5169 * CHOOSE(CONTROL!$C$23, $C$12, 100%, $E$12)</f>
        <v>9.5168999999999997</v>
      </c>
      <c r="G545" s="66">
        <f>9.5218 * CHOOSE(CONTROL!$C$23, $C$12, 100%, $E$12)</f>
        <v>9.5218000000000007</v>
      </c>
      <c r="H545" s="66">
        <f>17.7412* CHOOSE(CONTROL!$C$23, $C$12, 100%, $E$12)</f>
        <v>17.741199999999999</v>
      </c>
      <c r="I545" s="66">
        <f>17.7461 * CHOOSE(CONTROL!$C$23, $C$12, 100%, $E$12)</f>
        <v>17.746099999999998</v>
      </c>
      <c r="J545" s="66">
        <f>17.7412 * CHOOSE(CONTROL!$C$23, $C$12, 100%, $E$12)</f>
        <v>17.741199999999999</v>
      </c>
      <c r="K545" s="66">
        <f>17.7461 * CHOOSE(CONTROL!$C$23, $C$12, 100%, $E$12)</f>
        <v>17.746099999999998</v>
      </c>
      <c r="L545" s="66">
        <f>9.5169 * CHOOSE(CONTROL!$C$23, $C$12, 100%, $E$12)</f>
        <v>9.5168999999999997</v>
      </c>
      <c r="M545" s="66">
        <f>9.5218 * CHOOSE(CONTROL!$C$23, $C$12, 100%, $E$12)</f>
        <v>9.5218000000000007</v>
      </c>
      <c r="N545" s="66">
        <f>9.5169 * CHOOSE(CONTROL!$C$23, $C$12, 100%, $E$12)</f>
        <v>9.5168999999999997</v>
      </c>
      <c r="O545" s="66">
        <f>9.5218 * CHOOSE(CONTROL!$C$23, $C$12, 100%, $E$12)</f>
        <v>9.5218000000000007</v>
      </c>
    </row>
    <row r="546" spans="1:15" ht="15">
      <c r="A546" s="13">
        <v>57770</v>
      </c>
      <c r="B546" s="65">
        <f>8.2195 * CHOOSE(CONTROL!$C$23, $C$12, 100%, $E$12)</f>
        <v>8.2195</v>
      </c>
      <c r="C546" s="65">
        <f>8.2195 * CHOOSE(CONTROL!$C$23, $C$12, 100%, $E$12)</f>
        <v>8.2195</v>
      </c>
      <c r="D546" s="65">
        <f>8.2235 * CHOOSE(CONTROL!$C$23, $C$12, 100%, $E$12)</f>
        <v>8.2234999999999996</v>
      </c>
      <c r="E546" s="66">
        <f>9.6424 * CHOOSE(CONTROL!$C$23, $C$12, 100%, $E$12)</f>
        <v>9.6424000000000003</v>
      </c>
      <c r="F546" s="66">
        <f>9.6424 * CHOOSE(CONTROL!$C$23, $C$12, 100%, $E$12)</f>
        <v>9.6424000000000003</v>
      </c>
      <c r="G546" s="66">
        <f>9.6473 * CHOOSE(CONTROL!$C$23, $C$12, 100%, $E$12)</f>
        <v>9.6472999999999995</v>
      </c>
      <c r="H546" s="66">
        <f>17.7782* CHOOSE(CONTROL!$C$23, $C$12, 100%, $E$12)</f>
        <v>17.778199999999998</v>
      </c>
      <c r="I546" s="66">
        <f>17.7831 * CHOOSE(CONTROL!$C$23, $C$12, 100%, $E$12)</f>
        <v>17.783100000000001</v>
      </c>
      <c r="J546" s="66">
        <f>17.7782 * CHOOSE(CONTROL!$C$23, $C$12, 100%, $E$12)</f>
        <v>17.778199999999998</v>
      </c>
      <c r="K546" s="66">
        <f>17.7831 * CHOOSE(CONTROL!$C$23, $C$12, 100%, $E$12)</f>
        <v>17.783100000000001</v>
      </c>
      <c r="L546" s="66">
        <f>9.6424 * CHOOSE(CONTROL!$C$23, $C$12, 100%, $E$12)</f>
        <v>9.6424000000000003</v>
      </c>
      <c r="M546" s="66">
        <f>9.6473 * CHOOSE(CONTROL!$C$23, $C$12, 100%, $E$12)</f>
        <v>9.6472999999999995</v>
      </c>
      <c r="N546" s="66">
        <f>9.6424 * CHOOSE(CONTROL!$C$23, $C$12, 100%, $E$12)</f>
        <v>9.6424000000000003</v>
      </c>
      <c r="O546" s="66">
        <f>9.6473 * CHOOSE(CONTROL!$C$23, $C$12, 100%, $E$12)</f>
        <v>9.6472999999999995</v>
      </c>
    </row>
    <row r="547" spans="1:15" ht="15">
      <c r="A547" s="13">
        <v>57801</v>
      </c>
      <c r="B547" s="65">
        <f>8.2208 * CHOOSE(CONTROL!$C$23, $C$12, 100%, $E$12)</f>
        <v>8.2208000000000006</v>
      </c>
      <c r="C547" s="65">
        <f>8.2208 * CHOOSE(CONTROL!$C$23, $C$12, 100%, $E$12)</f>
        <v>8.2208000000000006</v>
      </c>
      <c r="D547" s="65">
        <f>8.2248 * CHOOSE(CONTROL!$C$23, $C$12, 100%, $E$12)</f>
        <v>8.2248000000000001</v>
      </c>
      <c r="E547" s="66">
        <f>9.7753 * CHOOSE(CONTROL!$C$23, $C$12, 100%, $E$12)</f>
        <v>9.7752999999999997</v>
      </c>
      <c r="F547" s="66">
        <f>9.7753 * CHOOSE(CONTROL!$C$23, $C$12, 100%, $E$12)</f>
        <v>9.7752999999999997</v>
      </c>
      <c r="G547" s="66">
        <f>9.7802 * CHOOSE(CONTROL!$C$23, $C$12, 100%, $E$12)</f>
        <v>9.7802000000000007</v>
      </c>
      <c r="H547" s="66">
        <f>17.8152* CHOOSE(CONTROL!$C$23, $C$12, 100%, $E$12)</f>
        <v>17.815200000000001</v>
      </c>
      <c r="I547" s="66">
        <f>17.8201 * CHOOSE(CONTROL!$C$23, $C$12, 100%, $E$12)</f>
        <v>17.8201</v>
      </c>
      <c r="J547" s="66">
        <f>17.8152 * CHOOSE(CONTROL!$C$23, $C$12, 100%, $E$12)</f>
        <v>17.815200000000001</v>
      </c>
      <c r="K547" s="66">
        <f>17.8201 * CHOOSE(CONTROL!$C$23, $C$12, 100%, $E$12)</f>
        <v>17.8201</v>
      </c>
      <c r="L547" s="66">
        <f>9.7753 * CHOOSE(CONTROL!$C$23, $C$12, 100%, $E$12)</f>
        <v>9.7752999999999997</v>
      </c>
      <c r="M547" s="66">
        <f>9.7802 * CHOOSE(CONTROL!$C$23, $C$12, 100%, $E$12)</f>
        <v>9.7802000000000007</v>
      </c>
      <c r="N547" s="66">
        <f>9.7753 * CHOOSE(CONTROL!$C$23, $C$12, 100%, $E$12)</f>
        <v>9.7752999999999997</v>
      </c>
      <c r="O547" s="66">
        <f>9.7802 * CHOOSE(CONTROL!$C$23, $C$12, 100%, $E$12)</f>
        <v>9.7802000000000007</v>
      </c>
    </row>
    <row r="548" spans="1:15" ht="15">
      <c r="A548" s="13">
        <v>57831</v>
      </c>
      <c r="B548" s="65">
        <f>8.2208 * CHOOSE(CONTROL!$C$23, $C$12, 100%, $E$12)</f>
        <v>8.2208000000000006</v>
      </c>
      <c r="C548" s="65">
        <f>8.2208 * CHOOSE(CONTROL!$C$23, $C$12, 100%, $E$12)</f>
        <v>8.2208000000000006</v>
      </c>
      <c r="D548" s="65">
        <f>8.2264 * CHOOSE(CONTROL!$C$23, $C$12, 100%, $E$12)</f>
        <v>8.2263999999999999</v>
      </c>
      <c r="E548" s="66">
        <f>9.8267 * CHOOSE(CONTROL!$C$23, $C$12, 100%, $E$12)</f>
        <v>9.8267000000000007</v>
      </c>
      <c r="F548" s="66">
        <f>9.8267 * CHOOSE(CONTROL!$C$23, $C$12, 100%, $E$12)</f>
        <v>9.8267000000000007</v>
      </c>
      <c r="G548" s="66">
        <f>9.8336 * CHOOSE(CONTROL!$C$23, $C$12, 100%, $E$12)</f>
        <v>9.8336000000000006</v>
      </c>
      <c r="H548" s="66">
        <f>17.8523* CHOOSE(CONTROL!$C$23, $C$12, 100%, $E$12)</f>
        <v>17.8523</v>
      </c>
      <c r="I548" s="66">
        <f>17.8592 * CHOOSE(CONTROL!$C$23, $C$12, 100%, $E$12)</f>
        <v>17.859200000000001</v>
      </c>
      <c r="J548" s="66">
        <f>17.8523 * CHOOSE(CONTROL!$C$23, $C$12, 100%, $E$12)</f>
        <v>17.8523</v>
      </c>
      <c r="K548" s="66">
        <f>17.8592 * CHOOSE(CONTROL!$C$23, $C$12, 100%, $E$12)</f>
        <v>17.859200000000001</v>
      </c>
      <c r="L548" s="66">
        <f>9.8267 * CHOOSE(CONTROL!$C$23, $C$12, 100%, $E$12)</f>
        <v>9.8267000000000007</v>
      </c>
      <c r="M548" s="66">
        <f>9.8336 * CHOOSE(CONTROL!$C$23, $C$12, 100%, $E$12)</f>
        <v>9.8336000000000006</v>
      </c>
      <c r="N548" s="66">
        <f>9.8267 * CHOOSE(CONTROL!$C$23, $C$12, 100%, $E$12)</f>
        <v>9.8267000000000007</v>
      </c>
      <c r="O548" s="66">
        <f>9.8336 * CHOOSE(CONTROL!$C$23, $C$12, 100%, $E$12)</f>
        <v>9.8336000000000006</v>
      </c>
    </row>
    <row r="549" spans="1:15" ht="15">
      <c r="A549" s="13">
        <v>57862</v>
      </c>
      <c r="B549" s="65">
        <f>8.2269 * CHOOSE(CONTROL!$C$23, $C$12, 100%, $E$12)</f>
        <v>8.2269000000000005</v>
      </c>
      <c r="C549" s="65">
        <f>8.2269 * CHOOSE(CONTROL!$C$23, $C$12, 100%, $E$12)</f>
        <v>8.2269000000000005</v>
      </c>
      <c r="D549" s="65">
        <f>8.2325 * CHOOSE(CONTROL!$C$23, $C$12, 100%, $E$12)</f>
        <v>8.2324999999999999</v>
      </c>
      <c r="E549" s="66">
        <f>9.7795 * CHOOSE(CONTROL!$C$23, $C$12, 100%, $E$12)</f>
        <v>9.7795000000000005</v>
      </c>
      <c r="F549" s="66">
        <f>9.7795 * CHOOSE(CONTROL!$C$23, $C$12, 100%, $E$12)</f>
        <v>9.7795000000000005</v>
      </c>
      <c r="G549" s="66">
        <f>9.7864 * CHOOSE(CONTROL!$C$23, $C$12, 100%, $E$12)</f>
        <v>9.7864000000000004</v>
      </c>
      <c r="H549" s="66">
        <f>17.8895* CHOOSE(CONTROL!$C$23, $C$12, 100%, $E$12)</f>
        <v>17.889500000000002</v>
      </c>
      <c r="I549" s="66">
        <f>17.8964 * CHOOSE(CONTROL!$C$23, $C$12, 100%, $E$12)</f>
        <v>17.8964</v>
      </c>
      <c r="J549" s="66">
        <f>17.8895 * CHOOSE(CONTROL!$C$23, $C$12, 100%, $E$12)</f>
        <v>17.889500000000002</v>
      </c>
      <c r="K549" s="66">
        <f>17.8964 * CHOOSE(CONTROL!$C$23, $C$12, 100%, $E$12)</f>
        <v>17.8964</v>
      </c>
      <c r="L549" s="66">
        <f>9.7795 * CHOOSE(CONTROL!$C$23, $C$12, 100%, $E$12)</f>
        <v>9.7795000000000005</v>
      </c>
      <c r="M549" s="66">
        <f>9.7864 * CHOOSE(CONTROL!$C$23, $C$12, 100%, $E$12)</f>
        <v>9.7864000000000004</v>
      </c>
      <c r="N549" s="66">
        <f>9.7795 * CHOOSE(CONTROL!$C$23, $C$12, 100%, $E$12)</f>
        <v>9.7795000000000005</v>
      </c>
      <c r="O549" s="66">
        <f>9.7864 * CHOOSE(CONTROL!$C$23, $C$12, 100%, $E$12)</f>
        <v>9.7864000000000004</v>
      </c>
    </row>
    <row r="550" spans="1:15" ht="15">
      <c r="A550" s="13">
        <v>57892</v>
      </c>
      <c r="B550" s="65">
        <f>8.3557 * CHOOSE(CONTROL!$C$23, $C$12, 100%, $E$12)</f>
        <v>8.3557000000000006</v>
      </c>
      <c r="C550" s="65">
        <f>8.3557 * CHOOSE(CONTROL!$C$23, $C$12, 100%, $E$12)</f>
        <v>8.3557000000000006</v>
      </c>
      <c r="D550" s="65">
        <f>8.3613 * CHOOSE(CONTROL!$C$23, $C$12, 100%, $E$12)</f>
        <v>8.3613</v>
      </c>
      <c r="E550" s="66">
        <f>9.9397 * CHOOSE(CONTROL!$C$23, $C$12, 100%, $E$12)</f>
        <v>9.9397000000000002</v>
      </c>
      <c r="F550" s="66">
        <f>9.9397 * CHOOSE(CONTROL!$C$23, $C$12, 100%, $E$12)</f>
        <v>9.9397000000000002</v>
      </c>
      <c r="G550" s="66">
        <f>9.9466 * CHOOSE(CONTROL!$C$23, $C$12, 100%, $E$12)</f>
        <v>9.9466000000000001</v>
      </c>
      <c r="H550" s="66">
        <f>17.9268* CHOOSE(CONTROL!$C$23, $C$12, 100%, $E$12)</f>
        <v>17.9268</v>
      </c>
      <c r="I550" s="66">
        <f>17.9337 * CHOOSE(CONTROL!$C$23, $C$12, 100%, $E$12)</f>
        <v>17.933700000000002</v>
      </c>
      <c r="J550" s="66">
        <f>17.9268 * CHOOSE(CONTROL!$C$23, $C$12, 100%, $E$12)</f>
        <v>17.9268</v>
      </c>
      <c r="K550" s="66">
        <f>17.9337 * CHOOSE(CONTROL!$C$23, $C$12, 100%, $E$12)</f>
        <v>17.933700000000002</v>
      </c>
      <c r="L550" s="66">
        <f>9.9397 * CHOOSE(CONTROL!$C$23, $C$12, 100%, $E$12)</f>
        <v>9.9397000000000002</v>
      </c>
      <c r="M550" s="66">
        <f>9.9466 * CHOOSE(CONTROL!$C$23, $C$12, 100%, $E$12)</f>
        <v>9.9466000000000001</v>
      </c>
      <c r="N550" s="66">
        <f>9.9397 * CHOOSE(CONTROL!$C$23, $C$12, 100%, $E$12)</f>
        <v>9.9397000000000002</v>
      </c>
      <c r="O550" s="66">
        <f>9.9466 * CHOOSE(CONTROL!$C$23, $C$12, 100%, $E$12)</f>
        <v>9.9466000000000001</v>
      </c>
    </row>
    <row r="551" spans="1:15" ht="15">
      <c r="A551" s="13">
        <v>57923</v>
      </c>
      <c r="B551" s="65">
        <f>8.3623 * CHOOSE(CONTROL!$C$23, $C$12, 100%, $E$12)</f>
        <v>8.3622999999999994</v>
      </c>
      <c r="C551" s="65">
        <f>8.3623 * CHOOSE(CONTROL!$C$23, $C$12, 100%, $E$12)</f>
        <v>8.3622999999999994</v>
      </c>
      <c r="D551" s="65">
        <f>8.368 * CHOOSE(CONTROL!$C$23, $C$12, 100%, $E$12)</f>
        <v>8.3680000000000003</v>
      </c>
      <c r="E551" s="66">
        <f>9.7901 * CHOOSE(CONTROL!$C$23, $C$12, 100%, $E$12)</f>
        <v>9.7901000000000007</v>
      </c>
      <c r="F551" s="66">
        <f>9.7901 * CHOOSE(CONTROL!$C$23, $C$12, 100%, $E$12)</f>
        <v>9.7901000000000007</v>
      </c>
      <c r="G551" s="66">
        <f>9.797 * CHOOSE(CONTROL!$C$23, $C$12, 100%, $E$12)</f>
        <v>9.7970000000000006</v>
      </c>
      <c r="H551" s="66">
        <f>17.9641* CHOOSE(CONTROL!$C$23, $C$12, 100%, $E$12)</f>
        <v>17.964099999999998</v>
      </c>
      <c r="I551" s="66">
        <f>17.971 * CHOOSE(CONTROL!$C$23, $C$12, 100%, $E$12)</f>
        <v>17.971</v>
      </c>
      <c r="J551" s="66">
        <f>17.9641 * CHOOSE(CONTROL!$C$23, $C$12, 100%, $E$12)</f>
        <v>17.964099999999998</v>
      </c>
      <c r="K551" s="66">
        <f>17.971 * CHOOSE(CONTROL!$C$23, $C$12, 100%, $E$12)</f>
        <v>17.971</v>
      </c>
      <c r="L551" s="66">
        <f>9.7901 * CHOOSE(CONTROL!$C$23, $C$12, 100%, $E$12)</f>
        <v>9.7901000000000007</v>
      </c>
      <c r="M551" s="66">
        <f>9.797 * CHOOSE(CONTROL!$C$23, $C$12, 100%, $E$12)</f>
        <v>9.7970000000000006</v>
      </c>
      <c r="N551" s="66">
        <f>9.7901 * CHOOSE(CONTROL!$C$23, $C$12, 100%, $E$12)</f>
        <v>9.7901000000000007</v>
      </c>
      <c r="O551" s="66">
        <f>9.797 * CHOOSE(CONTROL!$C$23, $C$12, 100%, $E$12)</f>
        <v>9.7970000000000006</v>
      </c>
    </row>
    <row r="552" spans="1:15" ht="15">
      <c r="A552" s="13">
        <v>57954</v>
      </c>
      <c r="B552" s="65">
        <f>8.3593 * CHOOSE(CONTROL!$C$23, $C$12, 100%, $E$12)</f>
        <v>8.3592999999999993</v>
      </c>
      <c r="C552" s="65">
        <f>8.3593 * CHOOSE(CONTROL!$C$23, $C$12, 100%, $E$12)</f>
        <v>8.3592999999999993</v>
      </c>
      <c r="D552" s="65">
        <f>8.3649 * CHOOSE(CONTROL!$C$23, $C$12, 100%, $E$12)</f>
        <v>8.3649000000000004</v>
      </c>
      <c r="E552" s="66">
        <f>9.7709 * CHOOSE(CONTROL!$C$23, $C$12, 100%, $E$12)</f>
        <v>9.7708999999999993</v>
      </c>
      <c r="F552" s="66">
        <f>9.7709 * CHOOSE(CONTROL!$C$23, $C$12, 100%, $E$12)</f>
        <v>9.7708999999999993</v>
      </c>
      <c r="G552" s="66">
        <f>9.7777 * CHOOSE(CONTROL!$C$23, $C$12, 100%, $E$12)</f>
        <v>9.7776999999999994</v>
      </c>
      <c r="H552" s="66">
        <f>18.0015* CHOOSE(CONTROL!$C$23, $C$12, 100%, $E$12)</f>
        <v>18.0015</v>
      </c>
      <c r="I552" s="66">
        <f>18.0084 * CHOOSE(CONTROL!$C$23, $C$12, 100%, $E$12)</f>
        <v>18.008400000000002</v>
      </c>
      <c r="J552" s="66">
        <f>18.0015 * CHOOSE(CONTROL!$C$23, $C$12, 100%, $E$12)</f>
        <v>18.0015</v>
      </c>
      <c r="K552" s="66">
        <f>18.0084 * CHOOSE(CONTROL!$C$23, $C$12, 100%, $E$12)</f>
        <v>18.008400000000002</v>
      </c>
      <c r="L552" s="66">
        <f>9.7709 * CHOOSE(CONTROL!$C$23, $C$12, 100%, $E$12)</f>
        <v>9.7708999999999993</v>
      </c>
      <c r="M552" s="66">
        <f>9.7777 * CHOOSE(CONTROL!$C$23, $C$12, 100%, $E$12)</f>
        <v>9.7776999999999994</v>
      </c>
      <c r="N552" s="66">
        <f>9.7709 * CHOOSE(CONTROL!$C$23, $C$12, 100%, $E$12)</f>
        <v>9.7708999999999993</v>
      </c>
      <c r="O552" s="66">
        <f>9.7777 * CHOOSE(CONTROL!$C$23, $C$12, 100%, $E$12)</f>
        <v>9.7776999999999994</v>
      </c>
    </row>
    <row r="553" spans="1:15" ht="15">
      <c r="A553" s="13">
        <v>57984</v>
      </c>
      <c r="B553" s="65">
        <f>8.3686 * CHOOSE(CONTROL!$C$23, $C$12, 100%, $E$12)</f>
        <v>8.3686000000000007</v>
      </c>
      <c r="C553" s="65">
        <f>8.3686 * CHOOSE(CONTROL!$C$23, $C$12, 100%, $E$12)</f>
        <v>8.3686000000000007</v>
      </c>
      <c r="D553" s="65">
        <f>8.3726 * CHOOSE(CONTROL!$C$23, $C$12, 100%, $E$12)</f>
        <v>8.3726000000000003</v>
      </c>
      <c r="E553" s="66">
        <f>9.826 * CHOOSE(CONTROL!$C$23, $C$12, 100%, $E$12)</f>
        <v>9.8260000000000005</v>
      </c>
      <c r="F553" s="66">
        <f>9.826 * CHOOSE(CONTROL!$C$23, $C$12, 100%, $E$12)</f>
        <v>9.8260000000000005</v>
      </c>
      <c r="G553" s="66">
        <f>9.8309 * CHOOSE(CONTROL!$C$23, $C$12, 100%, $E$12)</f>
        <v>9.8308999999999997</v>
      </c>
      <c r="H553" s="66">
        <f>18.039* CHOOSE(CONTROL!$C$23, $C$12, 100%, $E$12)</f>
        <v>18.039000000000001</v>
      </c>
      <c r="I553" s="66">
        <f>18.044 * CHOOSE(CONTROL!$C$23, $C$12, 100%, $E$12)</f>
        <v>18.044</v>
      </c>
      <c r="J553" s="66">
        <f>18.039 * CHOOSE(CONTROL!$C$23, $C$12, 100%, $E$12)</f>
        <v>18.039000000000001</v>
      </c>
      <c r="K553" s="66">
        <f>18.044 * CHOOSE(CONTROL!$C$23, $C$12, 100%, $E$12)</f>
        <v>18.044</v>
      </c>
      <c r="L553" s="66">
        <f>9.826 * CHOOSE(CONTROL!$C$23, $C$12, 100%, $E$12)</f>
        <v>9.8260000000000005</v>
      </c>
      <c r="M553" s="66">
        <f>9.8309 * CHOOSE(CONTROL!$C$23, $C$12, 100%, $E$12)</f>
        <v>9.8308999999999997</v>
      </c>
      <c r="N553" s="66">
        <f>9.826 * CHOOSE(CONTROL!$C$23, $C$12, 100%, $E$12)</f>
        <v>9.8260000000000005</v>
      </c>
      <c r="O553" s="66">
        <f>9.8309 * CHOOSE(CONTROL!$C$23, $C$12, 100%, $E$12)</f>
        <v>9.8308999999999997</v>
      </c>
    </row>
    <row r="554" spans="1:15" ht="15">
      <c r="A554" s="13">
        <v>58015</v>
      </c>
      <c r="B554" s="65">
        <f>8.3717 * CHOOSE(CONTROL!$C$23, $C$12, 100%, $E$12)</f>
        <v>8.3717000000000006</v>
      </c>
      <c r="C554" s="65">
        <f>8.3717 * CHOOSE(CONTROL!$C$23, $C$12, 100%, $E$12)</f>
        <v>8.3717000000000006</v>
      </c>
      <c r="D554" s="65">
        <f>8.3757 * CHOOSE(CONTROL!$C$23, $C$12, 100%, $E$12)</f>
        <v>8.3757000000000001</v>
      </c>
      <c r="E554" s="66">
        <f>9.8624 * CHOOSE(CONTROL!$C$23, $C$12, 100%, $E$12)</f>
        <v>9.8623999999999992</v>
      </c>
      <c r="F554" s="66">
        <f>9.8624 * CHOOSE(CONTROL!$C$23, $C$12, 100%, $E$12)</f>
        <v>9.8623999999999992</v>
      </c>
      <c r="G554" s="66">
        <f>9.8673 * CHOOSE(CONTROL!$C$23, $C$12, 100%, $E$12)</f>
        <v>9.8673000000000002</v>
      </c>
      <c r="H554" s="66">
        <f>18.0766* CHOOSE(CONTROL!$C$23, $C$12, 100%, $E$12)</f>
        <v>18.076599999999999</v>
      </c>
      <c r="I554" s="66">
        <f>18.0815 * CHOOSE(CONTROL!$C$23, $C$12, 100%, $E$12)</f>
        <v>18.081499999999998</v>
      </c>
      <c r="J554" s="66">
        <f>18.0766 * CHOOSE(CONTROL!$C$23, $C$12, 100%, $E$12)</f>
        <v>18.076599999999999</v>
      </c>
      <c r="K554" s="66">
        <f>18.0815 * CHOOSE(CONTROL!$C$23, $C$12, 100%, $E$12)</f>
        <v>18.081499999999998</v>
      </c>
      <c r="L554" s="66">
        <f>9.8624 * CHOOSE(CONTROL!$C$23, $C$12, 100%, $E$12)</f>
        <v>9.8623999999999992</v>
      </c>
      <c r="M554" s="66">
        <f>9.8673 * CHOOSE(CONTROL!$C$23, $C$12, 100%, $E$12)</f>
        <v>9.8673000000000002</v>
      </c>
      <c r="N554" s="66">
        <f>9.8624 * CHOOSE(CONTROL!$C$23, $C$12, 100%, $E$12)</f>
        <v>9.8623999999999992</v>
      </c>
      <c r="O554" s="66">
        <f>9.8673 * CHOOSE(CONTROL!$C$23, $C$12, 100%, $E$12)</f>
        <v>9.8673000000000002</v>
      </c>
    </row>
    <row r="555" spans="1:15" ht="15">
      <c r="A555" s="13">
        <v>58045</v>
      </c>
      <c r="B555" s="65">
        <f>8.3717 * CHOOSE(CONTROL!$C$23, $C$12, 100%, $E$12)</f>
        <v>8.3717000000000006</v>
      </c>
      <c r="C555" s="65">
        <f>8.3717 * CHOOSE(CONTROL!$C$23, $C$12, 100%, $E$12)</f>
        <v>8.3717000000000006</v>
      </c>
      <c r="D555" s="65">
        <f>8.3757 * CHOOSE(CONTROL!$C$23, $C$12, 100%, $E$12)</f>
        <v>8.3757000000000001</v>
      </c>
      <c r="E555" s="66">
        <f>9.7767 * CHOOSE(CONTROL!$C$23, $C$12, 100%, $E$12)</f>
        <v>9.7766999999999999</v>
      </c>
      <c r="F555" s="66">
        <f>9.7767 * CHOOSE(CONTROL!$C$23, $C$12, 100%, $E$12)</f>
        <v>9.7766999999999999</v>
      </c>
      <c r="G555" s="66">
        <f>9.7816 * CHOOSE(CONTROL!$C$23, $C$12, 100%, $E$12)</f>
        <v>9.7815999999999992</v>
      </c>
      <c r="H555" s="66">
        <f>18.1143* CHOOSE(CONTROL!$C$23, $C$12, 100%, $E$12)</f>
        <v>18.1143</v>
      </c>
      <c r="I555" s="66">
        <f>18.1192 * CHOOSE(CONTROL!$C$23, $C$12, 100%, $E$12)</f>
        <v>18.119199999999999</v>
      </c>
      <c r="J555" s="66">
        <f>18.1143 * CHOOSE(CONTROL!$C$23, $C$12, 100%, $E$12)</f>
        <v>18.1143</v>
      </c>
      <c r="K555" s="66">
        <f>18.1192 * CHOOSE(CONTROL!$C$23, $C$12, 100%, $E$12)</f>
        <v>18.119199999999999</v>
      </c>
      <c r="L555" s="66">
        <f>9.7767 * CHOOSE(CONTROL!$C$23, $C$12, 100%, $E$12)</f>
        <v>9.7766999999999999</v>
      </c>
      <c r="M555" s="66">
        <f>9.7816 * CHOOSE(CONTROL!$C$23, $C$12, 100%, $E$12)</f>
        <v>9.7815999999999992</v>
      </c>
      <c r="N555" s="66">
        <f>9.7767 * CHOOSE(CONTROL!$C$23, $C$12, 100%, $E$12)</f>
        <v>9.7766999999999999</v>
      </c>
      <c r="O555" s="66">
        <f>9.7816 * CHOOSE(CONTROL!$C$23, $C$12, 100%, $E$12)</f>
        <v>9.7815999999999992</v>
      </c>
    </row>
    <row r="556" spans="1:15" ht="15">
      <c r="A556" s="13">
        <v>58076</v>
      </c>
      <c r="B556" s="65">
        <f>8.4433 * CHOOSE(CONTROL!$C$23, $C$12, 100%, $E$12)</f>
        <v>8.4433000000000007</v>
      </c>
      <c r="C556" s="65">
        <f>8.4433 * CHOOSE(CONTROL!$C$23, $C$12, 100%, $E$12)</f>
        <v>8.4433000000000007</v>
      </c>
      <c r="D556" s="65">
        <f>8.4473 * CHOOSE(CONTROL!$C$23, $C$12, 100%, $E$12)</f>
        <v>8.4473000000000003</v>
      </c>
      <c r="E556" s="66">
        <f>9.9178 * CHOOSE(CONTROL!$C$23, $C$12, 100%, $E$12)</f>
        <v>9.9177999999999997</v>
      </c>
      <c r="F556" s="66">
        <f>9.9178 * CHOOSE(CONTROL!$C$23, $C$12, 100%, $E$12)</f>
        <v>9.9177999999999997</v>
      </c>
      <c r="G556" s="66">
        <f>9.9227 * CHOOSE(CONTROL!$C$23, $C$12, 100%, $E$12)</f>
        <v>9.9227000000000007</v>
      </c>
      <c r="H556" s="66">
        <f>18.152* CHOOSE(CONTROL!$C$23, $C$12, 100%, $E$12)</f>
        <v>18.152000000000001</v>
      </c>
      <c r="I556" s="66">
        <f>18.1569 * CHOOSE(CONTROL!$C$23, $C$12, 100%, $E$12)</f>
        <v>18.1569</v>
      </c>
      <c r="J556" s="66">
        <f>18.152 * CHOOSE(CONTROL!$C$23, $C$12, 100%, $E$12)</f>
        <v>18.152000000000001</v>
      </c>
      <c r="K556" s="66">
        <f>18.1569 * CHOOSE(CONTROL!$C$23, $C$12, 100%, $E$12)</f>
        <v>18.1569</v>
      </c>
      <c r="L556" s="66">
        <f>9.9178 * CHOOSE(CONTROL!$C$23, $C$12, 100%, $E$12)</f>
        <v>9.9177999999999997</v>
      </c>
      <c r="M556" s="66">
        <f>9.9227 * CHOOSE(CONTROL!$C$23, $C$12, 100%, $E$12)</f>
        <v>9.9227000000000007</v>
      </c>
      <c r="N556" s="66">
        <f>9.9178 * CHOOSE(CONTROL!$C$23, $C$12, 100%, $E$12)</f>
        <v>9.9177999999999997</v>
      </c>
      <c r="O556" s="66">
        <f>9.9227 * CHOOSE(CONTROL!$C$23, $C$12, 100%, $E$12)</f>
        <v>9.9227000000000007</v>
      </c>
    </row>
    <row r="557" spans="1:15" ht="15">
      <c r="A557" s="13">
        <v>58107</v>
      </c>
      <c r="B557" s="65">
        <f>8.4402 * CHOOSE(CONTROL!$C$23, $C$12, 100%, $E$12)</f>
        <v>8.4402000000000008</v>
      </c>
      <c r="C557" s="65">
        <f>8.4402 * CHOOSE(CONTROL!$C$23, $C$12, 100%, $E$12)</f>
        <v>8.4402000000000008</v>
      </c>
      <c r="D557" s="65">
        <f>8.4442 * CHOOSE(CONTROL!$C$23, $C$12, 100%, $E$12)</f>
        <v>8.4442000000000004</v>
      </c>
      <c r="E557" s="66">
        <f>9.7492 * CHOOSE(CONTROL!$C$23, $C$12, 100%, $E$12)</f>
        <v>9.7492000000000001</v>
      </c>
      <c r="F557" s="66">
        <f>9.7492 * CHOOSE(CONTROL!$C$23, $C$12, 100%, $E$12)</f>
        <v>9.7492000000000001</v>
      </c>
      <c r="G557" s="66">
        <f>9.7541 * CHOOSE(CONTROL!$C$23, $C$12, 100%, $E$12)</f>
        <v>9.7540999999999993</v>
      </c>
      <c r="H557" s="66">
        <f>18.1898* CHOOSE(CONTROL!$C$23, $C$12, 100%, $E$12)</f>
        <v>18.189800000000002</v>
      </c>
      <c r="I557" s="66">
        <f>18.1948 * CHOOSE(CONTROL!$C$23, $C$12, 100%, $E$12)</f>
        <v>18.194800000000001</v>
      </c>
      <c r="J557" s="66">
        <f>18.1898 * CHOOSE(CONTROL!$C$23, $C$12, 100%, $E$12)</f>
        <v>18.189800000000002</v>
      </c>
      <c r="K557" s="66">
        <f>18.1948 * CHOOSE(CONTROL!$C$23, $C$12, 100%, $E$12)</f>
        <v>18.194800000000001</v>
      </c>
      <c r="L557" s="66">
        <f>9.7492 * CHOOSE(CONTROL!$C$23, $C$12, 100%, $E$12)</f>
        <v>9.7492000000000001</v>
      </c>
      <c r="M557" s="66">
        <f>9.7541 * CHOOSE(CONTROL!$C$23, $C$12, 100%, $E$12)</f>
        <v>9.7540999999999993</v>
      </c>
      <c r="N557" s="66">
        <f>9.7492 * CHOOSE(CONTROL!$C$23, $C$12, 100%, $E$12)</f>
        <v>9.7492000000000001</v>
      </c>
      <c r="O557" s="66">
        <f>9.7541 * CHOOSE(CONTROL!$C$23, $C$12, 100%, $E$12)</f>
        <v>9.7540999999999993</v>
      </c>
    </row>
    <row r="558" spans="1:15" ht="15">
      <c r="A558" s="13">
        <v>58135</v>
      </c>
      <c r="B558" s="65">
        <f>8.4372 * CHOOSE(CONTROL!$C$23, $C$12, 100%, $E$12)</f>
        <v>8.4372000000000007</v>
      </c>
      <c r="C558" s="65">
        <f>8.4372 * CHOOSE(CONTROL!$C$23, $C$12, 100%, $E$12)</f>
        <v>8.4372000000000007</v>
      </c>
      <c r="D558" s="65">
        <f>8.4412 * CHOOSE(CONTROL!$C$23, $C$12, 100%, $E$12)</f>
        <v>8.4412000000000003</v>
      </c>
      <c r="E558" s="66">
        <f>9.8783 * CHOOSE(CONTROL!$C$23, $C$12, 100%, $E$12)</f>
        <v>9.8782999999999994</v>
      </c>
      <c r="F558" s="66">
        <f>9.8783 * CHOOSE(CONTROL!$C$23, $C$12, 100%, $E$12)</f>
        <v>9.8782999999999994</v>
      </c>
      <c r="G558" s="66">
        <f>9.8832 * CHOOSE(CONTROL!$C$23, $C$12, 100%, $E$12)</f>
        <v>9.8832000000000004</v>
      </c>
      <c r="H558" s="66">
        <f>18.2277* CHOOSE(CONTROL!$C$23, $C$12, 100%, $E$12)</f>
        <v>18.227699999999999</v>
      </c>
      <c r="I558" s="66">
        <f>18.2327 * CHOOSE(CONTROL!$C$23, $C$12, 100%, $E$12)</f>
        <v>18.232700000000001</v>
      </c>
      <c r="J558" s="66">
        <f>18.2277 * CHOOSE(CONTROL!$C$23, $C$12, 100%, $E$12)</f>
        <v>18.227699999999999</v>
      </c>
      <c r="K558" s="66">
        <f>18.2327 * CHOOSE(CONTROL!$C$23, $C$12, 100%, $E$12)</f>
        <v>18.232700000000001</v>
      </c>
      <c r="L558" s="66">
        <f>9.8783 * CHOOSE(CONTROL!$C$23, $C$12, 100%, $E$12)</f>
        <v>9.8782999999999994</v>
      </c>
      <c r="M558" s="66">
        <f>9.8832 * CHOOSE(CONTROL!$C$23, $C$12, 100%, $E$12)</f>
        <v>9.8832000000000004</v>
      </c>
      <c r="N558" s="66">
        <f>9.8783 * CHOOSE(CONTROL!$C$23, $C$12, 100%, $E$12)</f>
        <v>9.8782999999999994</v>
      </c>
      <c r="O558" s="66">
        <f>9.8832 * CHOOSE(CONTROL!$C$23, $C$12, 100%, $E$12)</f>
        <v>9.8832000000000004</v>
      </c>
    </row>
    <row r="559" spans="1:15" ht="15">
      <c r="A559" s="13">
        <v>58166</v>
      </c>
      <c r="B559" s="65">
        <f>8.4386 * CHOOSE(CONTROL!$C$23, $C$12, 100%, $E$12)</f>
        <v>8.4385999999999992</v>
      </c>
      <c r="C559" s="65">
        <f>8.4386 * CHOOSE(CONTROL!$C$23, $C$12, 100%, $E$12)</f>
        <v>8.4385999999999992</v>
      </c>
      <c r="D559" s="65">
        <f>8.4426 * CHOOSE(CONTROL!$C$23, $C$12, 100%, $E$12)</f>
        <v>8.4426000000000005</v>
      </c>
      <c r="E559" s="66">
        <f>10.015 * CHOOSE(CONTROL!$C$23, $C$12, 100%, $E$12)</f>
        <v>10.015000000000001</v>
      </c>
      <c r="F559" s="66">
        <f>10.015 * CHOOSE(CONTROL!$C$23, $C$12, 100%, $E$12)</f>
        <v>10.015000000000001</v>
      </c>
      <c r="G559" s="66">
        <f>10.0199 * CHOOSE(CONTROL!$C$23, $C$12, 100%, $E$12)</f>
        <v>10.0199</v>
      </c>
      <c r="H559" s="66">
        <f>18.2657* CHOOSE(CONTROL!$C$23, $C$12, 100%, $E$12)</f>
        <v>18.265699999999999</v>
      </c>
      <c r="I559" s="66">
        <f>18.2706 * CHOOSE(CONTROL!$C$23, $C$12, 100%, $E$12)</f>
        <v>18.270600000000002</v>
      </c>
      <c r="J559" s="66">
        <f>18.2657 * CHOOSE(CONTROL!$C$23, $C$12, 100%, $E$12)</f>
        <v>18.265699999999999</v>
      </c>
      <c r="K559" s="66">
        <f>18.2706 * CHOOSE(CONTROL!$C$23, $C$12, 100%, $E$12)</f>
        <v>18.270600000000002</v>
      </c>
      <c r="L559" s="66">
        <f>10.015 * CHOOSE(CONTROL!$C$23, $C$12, 100%, $E$12)</f>
        <v>10.015000000000001</v>
      </c>
      <c r="M559" s="66">
        <f>10.0199 * CHOOSE(CONTROL!$C$23, $C$12, 100%, $E$12)</f>
        <v>10.0199</v>
      </c>
      <c r="N559" s="66">
        <f>10.015 * CHOOSE(CONTROL!$C$23, $C$12, 100%, $E$12)</f>
        <v>10.015000000000001</v>
      </c>
      <c r="O559" s="66">
        <f>10.0199 * CHOOSE(CONTROL!$C$23, $C$12, 100%, $E$12)</f>
        <v>10.0199</v>
      </c>
    </row>
    <row r="560" spans="1:15" ht="15">
      <c r="A560" s="13">
        <v>58196</v>
      </c>
      <c r="B560" s="65">
        <f>8.4386 * CHOOSE(CONTROL!$C$23, $C$12, 100%, $E$12)</f>
        <v>8.4385999999999992</v>
      </c>
      <c r="C560" s="65">
        <f>8.4386 * CHOOSE(CONTROL!$C$23, $C$12, 100%, $E$12)</f>
        <v>8.4385999999999992</v>
      </c>
      <c r="D560" s="65">
        <f>8.4443 * CHOOSE(CONTROL!$C$23, $C$12, 100%, $E$12)</f>
        <v>8.4443000000000001</v>
      </c>
      <c r="E560" s="66">
        <f>10.0679 * CHOOSE(CONTROL!$C$23, $C$12, 100%, $E$12)</f>
        <v>10.0679</v>
      </c>
      <c r="F560" s="66">
        <f>10.0679 * CHOOSE(CONTROL!$C$23, $C$12, 100%, $E$12)</f>
        <v>10.0679</v>
      </c>
      <c r="G560" s="66">
        <f>10.0747 * CHOOSE(CONTROL!$C$23, $C$12, 100%, $E$12)</f>
        <v>10.0747</v>
      </c>
      <c r="H560" s="66">
        <f>18.3038* CHOOSE(CONTROL!$C$23, $C$12, 100%, $E$12)</f>
        <v>18.303799999999999</v>
      </c>
      <c r="I560" s="66">
        <f>18.3107 * CHOOSE(CONTROL!$C$23, $C$12, 100%, $E$12)</f>
        <v>18.310700000000001</v>
      </c>
      <c r="J560" s="66">
        <f>18.3038 * CHOOSE(CONTROL!$C$23, $C$12, 100%, $E$12)</f>
        <v>18.303799999999999</v>
      </c>
      <c r="K560" s="66">
        <f>18.3107 * CHOOSE(CONTROL!$C$23, $C$12, 100%, $E$12)</f>
        <v>18.310700000000001</v>
      </c>
      <c r="L560" s="66">
        <f>10.0679 * CHOOSE(CONTROL!$C$23, $C$12, 100%, $E$12)</f>
        <v>10.0679</v>
      </c>
      <c r="M560" s="66">
        <f>10.0747 * CHOOSE(CONTROL!$C$23, $C$12, 100%, $E$12)</f>
        <v>10.0747</v>
      </c>
      <c r="N560" s="66">
        <f>10.0679 * CHOOSE(CONTROL!$C$23, $C$12, 100%, $E$12)</f>
        <v>10.0679</v>
      </c>
      <c r="O560" s="66">
        <f>10.0747 * CHOOSE(CONTROL!$C$23, $C$12, 100%, $E$12)</f>
        <v>10.0747</v>
      </c>
    </row>
    <row r="561" spans="1:15" ht="15">
      <c r="A561" s="13">
        <v>58227</v>
      </c>
      <c r="B561" s="65">
        <f>8.4447 * CHOOSE(CONTROL!$C$23, $C$12, 100%, $E$12)</f>
        <v>8.4446999999999992</v>
      </c>
      <c r="C561" s="65">
        <f>8.4447 * CHOOSE(CONTROL!$C$23, $C$12, 100%, $E$12)</f>
        <v>8.4446999999999992</v>
      </c>
      <c r="D561" s="65">
        <f>8.4503 * CHOOSE(CONTROL!$C$23, $C$12, 100%, $E$12)</f>
        <v>8.4503000000000004</v>
      </c>
      <c r="E561" s="66">
        <f>10.0192 * CHOOSE(CONTROL!$C$23, $C$12, 100%, $E$12)</f>
        <v>10.0192</v>
      </c>
      <c r="F561" s="66">
        <f>10.0192 * CHOOSE(CONTROL!$C$23, $C$12, 100%, $E$12)</f>
        <v>10.0192</v>
      </c>
      <c r="G561" s="66">
        <f>10.0261 * CHOOSE(CONTROL!$C$23, $C$12, 100%, $E$12)</f>
        <v>10.0261</v>
      </c>
      <c r="H561" s="66">
        <f>18.3419* CHOOSE(CONTROL!$C$23, $C$12, 100%, $E$12)</f>
        <v>18.341899999999999</v>
      </c>
      <c r="I561" s="66">
        <f>18.3488 * CHOOSE(CONTROL!$C$23, $C$12, 100%, $E$12)</f>
        <v>18.348800000000001</v>
      </c>
      <c r="J561" s="66">
        <f>18.3419 * CHOOSE(CONTROL!$C$23, $C$12, 100%, $E$12)</f>
        <v>18.341899999999999</v>
      </c>
      <c r="K561" s="66">
        <f>18.3488 * CHOOSE(CONTROL!$C$23, $C$12, 100%, $E$12)</f>
        <v>18.348800000000001</v>
      </c>
      <c r="L561" s="66">
        <f>10.0192 * CHOOSE(CONTROL!$C$23, $C$12, 100%, $E$12)</f>
        <v>10.0192</v>
      </c>
      <c r="M561" s="66">
        <f>10.0261 * CHOOSE(CONTROL!$C$23, $C$12, 100%, $E$12)</f>
        <v>10.0261</v>
      </c>
      <c r="N561" s="66">
        <f>10.0192 * CHOOSE(CONTROL!$C$23, $C$12, 100%, $E$12)</f>
        <v>10.0192</v>
      </c>
      <c r="O561" s="66">
        <f>10.0261 * CHOOSE(CONTROL!$C$23, $C$12, 100%, $E$12)</f>
        <v>10.0261</v>
      </c>
    </row>
    <row r="562" spans="1:15" ht="15">
      <c r="A562" s="13">
        <v>58257</v>
      </c>
      <c r="B562" s="65">
        <f>8.5766 * CHOOSE(CONTROL!$C$23, $C$12, 100%, $E$12)</f>
        <v>8.5765999999999991</v>
      </c>
      <c r="C562" s="65">
        <f>8.5766 * CHOOSE(CONTROL!$C$23, $C$12, 100%, $E$12)</f>
        <v>8.5765999999999991</v>
      </c>
      <c r="D562" s="65">
        <f>8.5823 * CHOOSE(CONTROL!$C$23, $C$12, 100%, $E$12)</f>
        <v>8.5823</v>
      </c>
      <c r="E562" s="66">
        <f>10.183 * CHOOSE(CONTROL!$C$23, $C$12, 100%, $E$12)</f>
        <v>10.183</v>
      </c>
      <c r="F562" s="66">
        <f>10.183 * CHOOSE(CONTROL!$C$23, $C$12, 100%, $E$12)</f>
        <v>10.183</v>
      </c>
      <c r="G562" s="66">
        <f>10.1899 * CHOOSE(CONTROL!$C$23, $C$12, 100%, $E$12)</f>
        <v>10.1899</v>
      </c>
      <c r="H562" s="66">
        <f>18.3801* CHOOSE(CONTROL!$C$23, $C$12, 100%, $E$12)</f>
        <v>18.380099999999999</v>
      </c>
      <c r="I562" s="66">
        <f>18.387 * CHOOSE(CONTROL!$C$23, $C$12, 100%, $E$12)</f>
        <v>18.387</v>
      </c>
      <c r="J562" s="66">
        <f>18.3801 * CHOOSE(CONTROL!$C$23, $C$12, 100%, $E$12)</f>
        <v>18.380099999999999</v>
      </c>
      <c r="K562" s="66">
        <f>18.387 * CHOOSE(CONTROL!$C$23, $C$12, 100%, $E$12)</f>
        <v>18.387</v>
      </c>
      <c r="L562" s="66">
        <f>10.183 * CHOOSE(CONTROL!$C$23, $C$12, 100%, $E$12)</f>
        <v>10.183</v>
      </c>
      <c r="M562" s="66">
        <f>10.1899 * CHOOSE(CONTROL!$C$23, $C$12, 100%, $E$12)</f>
        <v>10.1899</v>
      </c>
      <c r="N562" s="66">
        <f>10.183 * CHOOSE(CONTROL!$C$23, $C$12, 100%, $E$12)</f>
        <v>10.183</v>
      </c>
      <c r="O562" s="66">
        <f>10.1899 * CHOOSE(CONTROL!$C$23, $C$12, 100%, $E$12)</f>
        <v>10.1899</v>
      </c>
    </row>
    <row r="563" spans="1:15" ht="15">
      <c r="A563" s="13">
        <v>58288</v>
      </c>
      <c r="B563" s="65">
        <f>8.5833 * CHOOSE(CONTROL!$C$23, $C$12, 100%, $E$12)</f>
        <v>8.5832999999999995</v>
      </c>
      <c r="C563" s="65">
        <f>8.5833 * CHOOSE(CONTROL!$C$23, $C$12, 100%, $E$12)</f>
        <v>8.5832999999999995</v>
      </c>
      <c r="D563" s="65">
        <f>8.589 * CHOOSE(CONTROL!$C$23, $C$12, 100%, $E$12)</f>
        <v>8.5890000000000004</v>
      </c>
      <c r="E563" s="66">
        <f>10.0291 * CHOOSE(CONTROL!$C$23, $C$12, 100%, $E$12)</f>
        <v>10.0291</v>
      </c>
      <c r="F563" s="66">
        <f>10.0291 * CHOOSE(CONTROL!$C$23, $C$12, 100%, $E$12)</f>
        <v>10.0291</v>
      </c>
      <c r="G563" s="66">
        <f>10.036 * CHOOSE(CONTROL!$C$23, $C$12, 100%, $E$12)</f>
        <v>10.036</v>
      </c>
      <c r="H563" s="66">
        <f>18.4184* CHOOSE(CONTROL!$C$23, $C$12, 100%, $E$12)</f>
        <v>18.418399999999998</v>
      </c>
      <c r="I563" s="66">
        <f>18.4253 * CHOOSE(CONTROL!$C$23, $C$12, 100%, $E$12)</f>
        <v>18.4253</v>
      </c>
      <c r="J563" s="66">
        <f>18.4184 * CHOOSE(CONTROL!$C$23, $C$12, 100%, $E$12)</f>
        <v>18.418399999999998</v>
      </c>
      <c r="K563" s="66">
        <f>18.4253 * CHOOSE(CONTROL!$C$23, $C$12, 100%, $E$12)</f>
        <v>18.4253</v>
      </c>
      <c r="L563" s="66">
        <f>10.0291 * CHOOSE(CONTROL!$C$23, $C$12, 100%, $E$12)</f>
        <v>10.0291</v>
      </c>
      <c r="M563" s="66">
        <f>10.036 * CHOOSE(CONTROL!$C$23, $C$12, 100%, $E$12)</f>
        <v>10.036</v>
      </c>
      <c r="N563" s="66">
        <f>10.0291 * CHOOSE(CONTROL!$C$23, $C$12, 100%, $E$12)</f>
        <v>10.0291</v>
      </c>
      <c r="O563" s="66">
        <f>10.036 * CHOOSE(CONTROL!$C$23, $C$12, 100%, $E$12)</f>
        <v>10.036</v>
      </c>
    </row>
    <row r="564" spans="1:15" ht="15">
      <c r="A564" s="13">
        <v>58319</v>
      </c>
      <c r="B564" s="65">
        <f>8.5803 * CHOOSE(CONTROL!$C$23, $C$12, 100%, $E$12)</f>
        <v>8.5802999999999994</v>
      </c>
      <c r="C564" s="65">
        <f>8.5803 * CHOOSE(CONTROL!$C$23, $C$12, 100%, $E$12)</f>
        <v>8.5802999999999994</v>
      </c>
      <c r="D564" s="65">
        <f>8.5859 * CHOOSE(CONTROL!$C$23, $C$12, 100%, $E$12)</f>
        <v>8.5859000000000005</v>
      </c>
      <c r="E564" s="66">
        <f>10.0094 * CHOOSE(CONTROL!$C$23, $C$12, 100%, $E$12)</f>
        <v>10.009399999999999</v>
      </c>
      <c r="F564" s="66">
        <f>10.0094 * CHOOSE(CONTROL!$C$23, $C$12, 100%, $E$12)</f>
        <v>10.009399999999999</v>
      </c>
      <c r="G564" s="66">
        <f>10.0163 * CHOOSE(CONTROL!$C$23, $C$12, 100%, $E$12)</f>
        <v>10.016299999999999</v>
      </c>
      <c r="H564" s="66">
        <f>18.4568* CHOOSE(CONTROL!$C$23, $C$12, 100%, $E$12)</f>
        <v>18.456800000000001</v>
      </c>
      <c r="I564" s="66">
        <f>18.4637 * CHOOSE(CONTROL!$C$23, $C$12, 100%, $E$12)</f>
        <v>18.463699999999999</v>
      </c>
      <c r="J564" s="66">
        <f>18.4568 * CHOOSE(CONTROL!$C$23, $C$12, 100%, $E$12)</f>
        <v>18.456800000000001</v>
      </c>
      <c r="K564" s="66">
        <f>18.4637 * CHOOSE(CONTROL!$C$23, $C$12, 100%, $E$12)</f>
        <v>18.463699999999999</v>
      </c>
      <c r="L564" s="66">
        <f>10.0094 * CHOOSE(CONTROL!$C$23, $C$12, 100%, $E$12)</f>
        <v>10.009399999999999</v>
      </c>
      <c r="M564" s="66">
        <f>10.0163 * CHOOSE(CONTROL!$C$23, $C$12, 100%, $E$12)</f>
        <v>10.016299999999999</v>
      </c>
      <c r="N564" s="66">
        <f>10.0094 * CHOOSE(CONTROL!$C$23, $C$12, 100%, $E$12)</f>
        <v>10.009399999999999</v>
      </c>
      <c r="O564" s="66">
        <f>10.0163 * CHOOSE(CONTROL!$C$23, $C$12, 100%, $E$12)</f>
        <v>10.016299999999999</v>
      </c>
    </row>
    <row r="565" spans="1:15" ht="15">
      <c r="A565" s="13">
        <v>58349</v>
      </c>
      <c r="B565" s="65">
        <f>8.5903 * CHOOSE(CONTROL!$C$23, $C$12, 100%, $E$12)</f>
        <v>8.5902999999999992</v>
      </c>
      <c r="C565" s="65">
        <f>8.5903 * CHOOSE(CONTROL!$C$23, $C$12, 100%, $E$12)</f>
        <v>8.5902999999999992</v>
      </c>
      <c r="D565" s="65">
        <f>8.5943 * CHOOSE(CONTROL!$C$23, $C$12, 100%, $E$12)</f>
        <v>8.5943000000000005</v>
      </c>
      <c r="E565" s="66">
        <f>10.0665 * CHOOSE(CONTROL!$C$23, $C$12, 100%, $E$12)</f>
        <v>10.0665</v>
      </c>
      <c r="F565" s="66">
        <f>10.0665 * CHOOSE(CONTROL!$C$23, $C$12, 100%, $E$12)</f>
        <v>10.0665</v>
      </c>
      <c r="G565" s="66">
        <f>10.0714 * CHOOSE(CONTROL!$C$23, $C$12, 100%, $E$12)</f>
        <v>10.071400000000001</v>
      </c>
      <c r="H565" s="66">
        <f>18.4952* CHOOSE(CONTROL!$C$23, $C$12, 100%, $E$12)</f>
        <v>18.495200000000001</v>
      </c>
      <c r="I565" s="66">
        <f>18.5001 * CHOOSE(CONTROL!$C$23, $C$12, 100%, $E$12)</f>
        <v>18.5001</v>
      </c>
      <c r="J565" s="66">
        <f>18.4952 * CHOOSE(CONTROL!$C$23, $C$12, 100%, $E$12)</f>
        <v>18.495200000000001</v>
      </c>
      <c r="K565" s="66">
        <f>18.5001 * CHOOSE(CONTROL!$C$23, $C$12, 100%, $E$12)</f>
        <v>18.5001</v>
      </c>
      <c r="L565" s="66">
        <f>10.0665 * CHOOSE(CONTROL!$C$23, $C$12, 100%, $E$12)</f>
        <v>10.0665</v>
      </c>
      <c r="M565" s="66">
        <f>10.0714 * CHOOSE(CONTROL!$C$23, $C$12, 100%, $E$12)</f>
        <v>10.071400000000001</v>
      </c>
      <c r="N565" s="66">
        <f>10.0665 * CHOOSE(CONTROL!$C$23, $C$12, 100%, $E$12)</f>
        <v>10.0665</v>
      </c>
      <c r="O565" s="66">
        <f>10.0714 * CHOOSE(CONTROL!$C$23, $C$12, 100%, $E$12)</f>
        <v>10.071400000000001</v>
      </c>
    </row>
    <row r="566" spans="1:15" ht="15">
      <c r="A566" s="13">
        <v>58380</v>
      </c>
      <c r="B566" s="65">
        <f>8.5934 * CHOOSE(CONTROL!$C$23, $C$12, 100%, $E$12)</f>
        <v>8.5934000000000008</v>
      </c>
      <c r="C566" s="65">
        <f>8.5934 * CHOOSE(CONTROL!$C$23, $C$12, 100%, $E$12)</f>
        <v>8.5934000000000008</v>
      </c>
      <c r="D566" s="65">
        <f>8.5974 * CHOOSE(CONTROL!$C$23, $C$12, 100%, $E$12)</f>
        <v>8.5974000000000004</v>
      </c>
      <c r="E566" s="66">
        <f>10.1038 * CHOOSE(CONTROL!$C$23, $C$12, 100%, $E$12)</f>
        <v>10.1038</v>
      </c>
      <c r="F566" s="66">
        <f>10.1038 * CHOOSE(CONTROL!$C$23, $C$12, 100%, $E$12)</f>
        <v>10.1038</v>
      </c>
      <c r="G566" s="66">
        <f>10.1087 * CHOOSE(CONTROL!$C$23, $C$12, 100%, $E$12)</f>
        <v>10.108700000000001</v>
      </c>
      <c r="H566" s="66">
        <f>18.5338* CHOOSE(CONTROL!$C$23, $C$12, 100%, $E$12)</f>
        <v>18.533799999999999</v>
      </c>
      <c r="I566" s="66">
        <f>18.5387 * CHOOSE(CONTROL!$C$23, $C$12, 100%, $E$12)</f>
        <v>18.538699999999999</v>
      </c>
      <c r="J566" s="66">
        <f>18.5338 * CHOOSE(CONTROL!$C$23, $C$12, 100%, $E$12)</f>
        <v>18.533799999999999</v>
      </c>
      <c r="K566" s="66">
        <f>18.5387 * CHOOSE(CONTROL!$C$23, $C$12, 100%, $E$12)</f>
        <v>18.538699999999999</v>
      </c>
      <c r="L566" s="66">
        <f>10.1038 * CHOOSE(CONTROL!$C$23, $C$12, 100%, $E$12)</f>
        <v>10.1038</v>
      </c>
      <c r="M566" s="66">
        <f>10.1087 * CHOOSE(CONTROL!$C$23, $C$12, 100%, $E$12)</f>
        <v>10.108700000000001</v>
      </c>
      <c r="N566" s="66">
        <f>10.1038 * CHOOSE(CONTROL!$C$23, $C$12, 100%, $E$12)</f>
        <v>10.1038</v>
      </c>
      <c r="O566" s="66">
        <f>10.1087 * CHOOSE(CONTROL!$C$23, $C$12, 100%, $E$12)</f>
        <v>10.108700000000001</v>
      </c>
    </row>
    <row r="567" spans="1:15" ht="15">
      <c r="A567" s="13">
        <v>58410</v>
      </c>
      <c r="B567" s="65">
        <f>8.5934 * CHOOSE(CONTROL!$C$23, $C$12, 100%, $E$12)</f>
        <v>8.5934000000000008</v>
      </c>
      <c r="C567" s="65">
        <f>8.5934 * CHOOSE(CONTROL!$C$23, $C$12, 100%, $E$12)</f>
        <v>8.5934000000000008</v>
      </c>
      <c r="D567" s="65">
        <f>8.5974 * CHOOSE(CONTROL!$C$23, $C$12, 100%, $E$12)</f>
        <v>8.5974000000000004</v>
      </c>
      <c r="E567" s="66">
        <f>10.0157 * CHOOSE(CONTROL!$C$23, $C$12, 100%, $E$12)</f>
        <v>10.015700000000001</v>
      </c>
      <c r="F567" s="66">
        <f>10.0157 * CHOOSE(CONTROL!$C$23, $C$12, 100%, $E$12)</f>
        <v>10.015700000000001</v>
      </c>
      <c r="G567" s="66">
        <f>10.0206 * CHOOSE(CONTROL!$C$23, $C$12, 100%, $E$12)</f>
        <v>10.0206</v>
      </c>
      <c r="H567" s="66">
        <f>18.5724* CHOOSE(CONTROL!$C$23, $C$12, 100%, $E$12)</f>
        <v>18.572399999999998</v>
      </c>
      <c r="I567" s="66">
        <f>18.5773 * CHOOSE(CONTROL!$C$23, $C$12, 100%, $E$12)</f>
        <v>18.577300000000001</v>
      </c>
      <c r="J567" s="66">
        <f>18.5724 * CHOOSE(CONTROL!$C$23, $C$12, 100%, $E$12)</f>
        <v>18.572399999999998</v>
      </c>
      <c r="K567" s="66">
        <f>18.5773 * CHOOSE(CONTROL!$C$23, $C$12, 100%, $E$12)</f>
        <v>18.577300000000001</v>
      </c>
      <c r="L567" s="66">
        <f>10.0157 * CHOOSE(CONTROL!$C$23, $C$12, 100%, $E$12)</f>
        <v>10.015700000000001</v>
      </c>
      <c r="M567" s="66">
        <f>10.0206 * CHOOSE(CONTROL!$C$23, $C$12, 100%, $E$12)</f>
        <v>10.0206</v>
      </c>
      <c r="N567" s="66">
        <f>10.0157 * CHOOSE(CONTROL!$C$23, $C$12, 100%, $E$12)</f>
        <v>10.015700000000001</v>
      </c>
      <c r="O567" s="66">
        <f>10.0206 * CHOOSE(CONTROL!$C$23, $C$12, 100%, $E$12)</f>
        <v>10.0206</v>
      </c>
    </row>
    <row r="568" spans="1:15" ht="15">
      <c r="A568" s="13">
        <v>58441</v>
      </c>
      <c r="B568" s="65">
        <f>8.6667 * CHOOSE(CONTROL!$C$23, $C$12, 100%, $E$12)</f>
        <v>8.6667000000000005</v>
      </c>
      <c r="C568" s="65">
        <f>8.6667 * CHOOSE(CONTROL!$C$23, $C$12, 100%, $E$12)</f>
        <v>8.6667000000000005</v>
      </c>
      <c r="D568" s="65">
        <f>8.6707 * CHOOSE(CONTROL!$C$23, $C$12, 100%, $E$12)</f>
        <v>8.6707000000000001</v>
      </c>
      <c r="E568" s="66">
        <f>10.1604 * CHOOSE(CONTROL!$C$23, $C$12, 100%, $E$12)</f>
        <v>10.160399999999999</v>
      </c>
      <c r="F568" s="66">
        <f>10.1604 * CHOOSE(CONTROL!$C$23, $C$12, 100%, $E$12)</f>
        <v>10.160399999999999</v>
      </c>
      <c r="G568" s="66">
        <f>10.1653 * CHOOSE(CONTROL!$C$23, $C$12, 100%, $E$12)</f>
        <v>10.1653</v>
      </c>
      <c r="H568" s="66">
        <f>18.6111* CHOOSE(CONTROL!$C$23, $C$12, 100%, $E$12)</f>
        <v>18.6111</v>
      </c>
      <c r="I568" s="66">
        <f>18.616 * CHOOSE(CONTROL!$C$23, $C$12, 100%, $E$12)</f>
        <v>18.616</v>
      </c>
      <c r="J568" s="66">
        <f>18.6111 * CHOOSE(CONTROL!$C$23, $C$12, 100%, $E$12)</f>
        <v>18.6111</v>
      </c>
      <c r="K568" s="66">
        <f>18.616 * CHOOSE(CONTROL!$C$23, $C$12, 100%, $E$12)</f>
        <v>18.616</v>
      </c>
      <c r="L568" s="66">
        <f>10.1604 * CHOOSE(CONTROL!$C$23, $C$12, 100%, $E$12)</f>
        <v>10.160399999999999</v>
      </c>
      <c r="M568" s="66">
        <f>10.1653 * CHOOSE(CONTROL!$C$23, $C$12, 100%, $E$12)</f>
        <v>10.1653</v>
      </c>
      <c r="N568" s="66">
        <f>10.1604 * CHOOSE(CONTROL!$C$23, $C$12, 100%, $E$12)</f>
        <v>10.160399999999999</v>
      </c>
      <c r="O568" s="66">
        <f>10.1653 * CHOOSE(CONTROL!$C$23, $C$12, 100%, $E$12)</f>
        <v>10.1653</v>
      </c>
    </row>
    <row r="569" spans="1:15" ht="15">
      <c r="A569" s="13">
        <v>58472</v>
      </c>
      <c r="B569" s="65">
        <f>8.6637 * CHOOSE(CONTROL!$C$23, $C$12, 100%, $E$12)</f>
        <v>8.6637000000000004</v>
      </c>
      <c r="C569" s="65">
        <f>8.6637 * CHOOSE(CONTROL!$C$23, $C$12, 100%, $E$12)</f>
        <v>8.6637000000000004</v>
      </c>
      <c r="D569" s="65">
        <f>8.6677 * CHOOSE(CONTROL!$C$23, $C$12, 100%, $E$12)</f>
        <v>8.6677</v>
      </c>
      <c r="E569" s="66">
        <f>9.9871 * CHOOSE(CONTROL!$C$23, $C$12, 100%, $E$12)</f>
        <v>9.9870999999999999</v>
      </c>
      <c r="F569" s="66">
        <f>9.9871 * CHOOSE(CONTROL!$C$23, $C$12, 100%, $E$12)</f>
        <v>9.9870999999999999</v>
      </c>
      <c r="G569" s="66">
        <f>9.9921 * CHOOSE(CONTROL!$C$23, $C$12, 100%, $E$12)</f>
        <v>9.9921000000000006</v>
      </c>
      <c r="H569" s="66">
        <f>18.6498* CHOOSE(CONTROL!$C$23, $C$12, 100%, $E$12)</f>
        <v>18.649799999999999</v>
      </c>
      <c r="I569" s="66">
        <f>18.6548 * CHOOSE(CONTROL!$C$23, $C$12, 100%, $E$12)</f>
        <v>18.654800000000002</v>
      </c>
      <c r="J569" s="66">
        <f>18.6498 * CHOOSE(CONTROL!$C$23, $C$12, 100%, $E$12)</f>
        <v>18.649799999999999</v>
      </c>
      <c r="K569" s="66">
        <f>18.6548 * CHOOSE(CONTROL!$C$23, $C$12, 100%, $E$12)</f>
        <v>18.654800000000002</v>
      </c>
      <c r="L569" s="66">
        <f>9.9871 * CHOOSE(CONTROL!$C$23, $C$12, 100%, $E$12)</f>
        <v>9.9870999999999999</v>
      </c>
      <c r="M569" s="66">
        <f>9.9921 * CHOOSE(CONTROL!$C$23, $C$12, 100%, $E$12)</f>
        <v>9.9921000000000006</v>
      </c>
      <c r="N569" s="66">
        <f>9.9871 * CHOOSE(CONTROL!$C$23, $C$12, 100%, $E$12)</f>
        <v>9.9870999999999999</v>
      </c>
      <c r="O569" s="66">
        <f>9.9921 * CHOOSE(CONTROL!$C$23, $C$12, 100%, $E$12)</f>
        <v>9.9921000000000006</v>
      </c>
    </row>
    <row r="570" spans="1:15" ht="15">
      <c r="A570" s="13">
        <v>58501</v>
      </c>
      <c r="B570" s="65">
        <f>8.6607 * CHOOSE(CONTROL!$C$23, $C$12, 100%, $E$12)</f>
        <v>8.6607000000000003</v>
      </c>
      <c r="C570" s="65">
        <f>8.6607 * CHOOSE(CONTROL!$C$23, $C$12, 100%, $E$12)</f>
        <v>8.6607000000000003</v>
      </c>
      <c r="D570" s="65">
        <f>8.6647 * CHOOSE(CONTROL!$C$23, $C$12, 100%, $E$12)</f>
        <v>8.6646999999999998</v>
      </c>
      <c r="E570" s="66">
        <f>10.1199 * CHOOSE(CONTROL!$C$23, $C$12, 100%, $E$12)</f>
        <v>10.119899999999999</v>
      </c>
      <c r="F570" s="66">
        <f>10.1199 * CHOOSE(CONTROL!$C$23, $C$12, 100%, $E$12)</f>
        <v>10.119899999999999</v>
      </c>
      <c r="G570" s="66">
        <f>10.1249 * CHOOSE(CONTROL!$C$23, $C$12, 100%, $E$12)</f>
        <v>10.1249</v>
      </c>
      <c r="H570" s="66">
        <f>18.6887* CHOOSE(CONTROL!$C$23, $C$12, 100%, $E$12)</f>
        <v>18.688700000000001</v>
      </c>
      <c r="I570" s="66">
        <f>18.6936 * CHOOSE(CONTROL!$C$23, $C$12, 100%, $E$12)</f>
        <v>18.6936</v>
      </c>
      <c r="J570" s="66">
        <f>18.6887 * CHOOSE(CONTROL!$C$23, $C$12, 100%, $E$12)</f>
        <v>18.688700000000001</v>
      </c>
      <c r="K570" s="66">
        <f>18.6936 * CHOOSE(CONTROL!$C$23, $C$12, 100%, $E$12)</f>
        <v>18.6936</v>
      </c>
      <c r="L570" s="66">
        <f>10.1199 * CHOOSE(CONTROL!$C$23, $C$12, 100%, $E$12)</f>
        <v>10.119899999999999</v>
      </c>
      <c r="M570" s="66">
        <f>10.1249 * CHOOSE(CONTROL!$C$23, $C$12, 100%, $E$12)</f>
        <v>10.1249</v>
      </c>
      <c r="N570" s="66">
        <f>10.1199 * CHOOSE(CONTROL!$C$23, $C$12, 100%, $E$12)</f>
        <v>10.119899999999999</v>
      </c>
      <c r="O570" s="66">
        <f>10.1249 * CHOOSE(CONTROL!$C$23, $C$12, 100%, $E$12)</f>
        <v>10.1249</v>
      </c>
    </row>
    <row r="571" spans="1:15" ht="15">
      <c r="A571" s="13">
        <v>58532</v>
      </c>
      <c r="B571" s="65">
        <f>8.6623 * CHOOSE(CONTROL!$C$23, $C$12, 100%, $E$12)</f>
        <v>8.6623000000000001</v>
      </c>
      <c r="C571" s="65">
        <f>8.6623 * CHOOSE(CONTROL!$C$23, $C$12, 100%, $E$12)</f>
        <v>8.6623000000000001</v>
      </c>
      <c r="D571" s="65">
        <f>8.6663 * CHOOSE(CONTROL!$C$23, $C$12, 100%, $E$12)</f>
        <v>8.6662999999999997</v>
      </c>
      <c r="E571" s="66">
        <f>10.2606 * CHOOSE(CONTROL!$C$23, $C$12, 100%, $E$12)</f>
        <v>10.2606</v>
      </c>
      <c r="F571" s="66">
        <f>10.2606 * CHOOSE(CONTROL!$C$23, $C$12, 100%, $E$12)</f>
        <v>10.2606</v>
      </c>
      <c r="G571" s="66">
        <f>10.2655 * CHOOSE(CONTROL!$C$23, $C$12, 100%, $E$12)</f>
        <v>10.265499999999999</v>
      </c>
      <c r="H571" s="66">
        <f>18.7276* CHOOSE(CONTROL!$C$23, $C$12, 100%, $E$12)</f>
        <v>18.727599999999999</v>
      </c>
      <c r="I571" s="66">
        <f>18.7325 * CHOOSE(CONTROL!$C$23, $C$12, 100%, $E$12)</f>
        <v>18.732500000000002</v>
      </c>
      <c r="J571" s="66">
        <f>18.7276 * CHOOSE(CONTROL!$C$23, $C$12, 100%, $E$12)</f>
        <v>18.727599999999999</v>
      </c>
      <c r="K571" s="66">
        <f>18.7325 * CHOOSE(CONTROL!$C$23, $C$12, 100%, $E$12)</f>
        <v>18.732500000000002</v>
      </c>
      <c r="L571" s="66">
        <f>10.2606 * CHOOSE(CONTROL!$C$23, $C$12, 100%, $E$12)</f>
        <v>10.2606</v>
      </c>
      <c r="M571" s="66">
        <f>10.2655 * CHOOSE(CONTROL!$C$23, $C$12, 100%, $E$12)</f>
        <v>10.265499999999999</v>
      </c>
      <c r="N571" s="66">
        <f>10.2606 * CHOOSE(CONTROL!$C$23, $C$12, 100%, $E$12)</f>
        <v>10.2606</v>
      </c>
      <c r="O571" s="66">
        <f>10.2655 * CHOOSE(CONTROL!$C$23, $C$12, 100%, $E$12)</f>
        <v>10.265499999999999</v>
      </c>
    </row>
    <row r="572" spans="1:15" ht="15">
      <c r="A572" s="13">
        <v>58562</v>
      </c>
      <c r="B572" s="65">
        <f>8.6623 * CHOOSE(CONTROL!$C$23, $C$12, 100%, $E$12)</f>
        <v>8.6623000000000001</v>
      </c>
      <c r="C572" s="65">
        <f>8.6623 * CHOOSE(CONTROL!$C$23, $C$12, 100%, $E$12)</f>
        <v>8.6623000000000001</v>
      </c>
      <c r="D572" s="65">
        <f>8.6679 * CHOOSE(CONTROL!$C$23, $C$12, 100%, $E$12)</f>
        <v>8.6678999999999995</v>
      </c>
      <c r="E572" s="66">
        <f>10.315 * CHOOSE(CONTROL!$C$23, $C$12, 100%, $E$12)</f>
        <v>10.315</v>
      </c>
      <c r="F572" s="66">
        <f>10.315 * CHOOSE(CONTROL!$C$23, $C$12, 100%, $E$12)</f>
        <v>10.315</v>
      </c>
      <c r="G572" s="66">
        <f>10.3218 * CHOOSE(CONTROL!$C$23, $C$12, 100%, $E$12)</f>
        <v>10.3218</v>
      </c>
      <c r="H572" s="66">
        <f>18.7666* CHOOSE(CONTROL!$C$23, $C$12, 100%, $E$12)</f>
        <v>18.7666</v>
      </c>
      <c r="I572" s="66">
        <f>18.7735 * CHOOSE(CONTROL!$C$23, $C$12, 100%, $E$12)</f>
        <v>18.773499999999999</v>
      </c>
      <c r="J572" s="66">
        <f>18.7666 * CHOOSE(CONTROL!$C$23, $C$12, 100%, $E$12)</f>
        <v>18.7666</v>
      </c>
      <c r="K572" s="66">
        <f>18.7735 * CHOOSE(CONTROL!$C$23, $C$12, 100%, $E$12)</f>
        <v>18.773499999999999</v>
      </c>
      <c r="L572" s="66">
        <f>10.315 * CHOOSE(CONTROL!$C$23, $C$12, 100%, $E$12)</f>
        <v>10.315</v>
      </c>
      <c r="M572" s="66">
        <f>10.3218 * CHOOSE(CONTROL!$C$23, $C$12, 100%, $E$12)</f>
        <v>10.3218</v>
      </c>
      <c r="N572" s="66">
        <f>10.315 * CHOOSE(CONTROL!$C$23, $C$12, 100%, $E$12)</f>
        <v>10.315</v>
      </c>
      <c r="O572" s="66">
        <f>10.3218 * CHOOSE(CONTROL!$C$23, $C$12, 100%, $E$12)</f>
        <v>10.3218</v>
      </c>
    </row>
    <row r="573" spans="1:15" ht="15">
      <c r="A573" s="13">
        <v>58593</v>
      </c>
      <c r="B573" s="65">
        <f>8.6684 * CHOOSE(CONTROL!$C$23, $C$12, 100%, $E$12)</f>
        <v>8.6684000000000001</v>
      </c>
      <c r="C573" s="65">
        <f>8.6684 * CHOOSE(CONTROL!$C$23, $C$12, 100%, $E$12)</f>
        <v>8.6684000000000001</v>
      </c>
      <c r="D573" s="65">
        <f>8.674 * CHOOSE(CONTROL!$C$23, $C$12, 100%, $E$12)</f>
        <v>8.6739999999999995</v>
      </c>
      <c r="E573" s="66">
        <f>10.2649 * CHOOSE(CONTROL!$C$23, $C$12, 100%, $E$12)</f>
        <v>10.264900000000001</v>
      </c>
      <c r="F573" s="66">
        <f>10.2649 * CHOOSE(CONTROL!$C$23, $C$12, 100%, $E$12)</f>
        <v>10.264900000000001</v>
      </c>
      <c r="G573" s="66">
        <f>10.2717 * CHOOSE(CONTROL!$C$23, $C$12, 100%, $E$12)</f>
        <v>10.271699999999999</v>
      </c>
      <c r="H573" s="66">
        <f>18.8057* CHOOSE(CONTROL!$C$23, $C$12, 100%, $E$12)</f>
        <v>18.805700000000002</v>
      </c>
      <c r="I573" s="66">
        <f>18.8126 * CHOOSE(CONTROL!$C$23, $C$12, 100%, $E$12)</f>
        <v>18.8126</v>
      </c>
      <c r="J573" s="66">
        <f>18.8057 * CHOOSE(CONTROL!$C$23, $C$12, 100%, $E$12)</f>
        <v>18.805700000000002</v>
      </c>
      <c r="K573" s="66">
        <f>18.8126 * CHOOSE(CONTROL!$C$23, $C$12, 100%, $E$12)</f>
        <v>18.8126</v>
      </c>
      <c r="L573" s="66">
        <f>10.2649 * CHOOSE(CONTROL!$C$23, $C$12, 100%, $E$12)</f>
        <v>10.264900000000001</v>
      </c>
      <c r="M573" s="66">
        <f>10.2717 * CHOOSE(CONTROL!$C$23, $C$12, 100%, $E$12)</f>
        <v>10.271699999999999</v>
      </c>
      <c r="N573" s="66">
        <f>10.2649 * CHOOSE(CONTROL!$C$23, $C$12, 100%, $E$12)</f>
        <v>10.264900000000001</v>
      </c>
      <c r="O573" s="66">
        <f>10.2717 * CHOOSE(CONTROL!$C$23, $C$12, 100%, $E$12)</f>
        <v>10.271699999999999</v>
      </c>
    </row>
    <row r="574" spans="1:15" ht="15">
      <c r="A574" s="13">
        <v>58623</v>
      </c>
      <c r="B574" s="65">
        <f>8.8035 * CHOOSE(CONTROL!$C$23, $C$12, 100%, $E$12)</f>
        <v>8.8034999999999997</v>
      </c>
      <c r="C574" s="65">
        <f>8.8035 * CHOOSE(CONTROL!$C$23, $C$12, 100%, $E$12)</f>
        <v>8.8034999999999997</v>
      </c>
      <c r="D574" s="65">
        <f>8.8092 * CHOOSE(CONTROL!$C$23, $C$12, 100%, $E$12)</f>
        <v>8.8092000000000006</v>
      </c>
      <c r="E574" s="66">
        <f>10.4324 * CHOOSE(CONTROL!$C$23, $C$12, 100%, $E$12)</f>
        <v>10.432399999999999</v>
      </c>
      <c r="F574" s="66">
        <f>10.4324 * CHOOSE(CONTROL!$C$23, $C$12, 100%, $E$12)</f>
        <v>10.432399999999999</v>
      </c>
      <c r="G574" s="66">
        <f>10.4393 * CHOOSE(CONTROL!$C$23, $C$12, 100%, $E$12)</f>
        <v>10.439299999999999</v>
      </c>
      <c r="H574" s="66">
        <f>18.8449* CHOOSE(CONTROL!$C$23, $C$12, 100%, $E$12)</f>
        <v>18.844899999999999</v>
      </c>
      <c r="I574" s="66">
        <f>18.8518 * CHOOSE(CONTROL!$C$23, $C$12, 100%, $E$12)</f>
        <v>18.851800000000001</v>
      </c>
      <c r="J574" s="66">
        <f>18.8449 * CHOOSE(CONTROL!$C$23, $C$12, 100%, $E$12)</f>
        <v>18.844899999999999</v>
      </c>
      <c r="K574" s="66">
        <f>18.8518 * CHOOSE(CONTROL!$C$23, $C$12, 100%, $E$12)</f>
        <v>18.851800000000001</v>
      </c>
      <c r="L574" s="66">
        <f>10.4324 * CHOOSE(CONTROL!$C$23, $C$12, 100%, $E$12)</f>
        <v>10.432399999999999</v>
      </c>
      <c r="M574" s="66">
        <f>10.4393 * CHOOSE(CONTROL!$C$23, $C$12, 100%, $E$12)</f>
        <v>10.439299999999999</v>
      </c>
      <c r="N574" s="66">
        <f>10.4324 * CHOOSE(CONTROL!$C$23, $C$12, 100%, $E$12)</f>
        <v>10.432399999999999</v>
      </c>
      <c r="O574" s="66">
        <f>10.4393 * CHOOSE(CONTROL!$C$23, $C$12, 100%, $E$12)</f>
        <v>10.439299999999999</v>
      </c>
    </row>
    <row r="575" spans="1:15" ht="15">
      <c r="A575" s="13">
        <v>58654</v>
      </c>
      <c r="B575" s="65">
        <f>8.8102 * CHOOSE(CONTROL!$C$23, $C$12, 100%, $E$12)</f>
        <v>8.8102</v>
      </c>
      <c r="C575" s="65">
        <f>8.8102 * CHOOSE(CONTROL!$C$23, $C$12, 100%, $E$12)</f>
        <v>8.8102</v>
      </c>
      <c r="D575" s="65">
        <f>8.8158 * CHOOSE(CONTROL!$C$23, $C$12, 100%, $E$12)</f>
        <v>8.8157999999999994</v>
      </c>
      <c r="E575" s="66">
        <f>10.274 * CHOOSE(CONTROL!$C$23, $C$12, 100%, $E$12)</f>
        <v>10.273999999999999</v>
      </c>
      <c r="F575" s="66">
        <f>10.274 * CHOOSE(CONTROL!$C$23, $C$12, 100%, $E$12)</f>
        <v>10.273999999999999</v>
      </c>
      <c r="G575" s="66">
        <f>10.2809 * CHOOSE(CONTROL!$C$23, $C$12, 100%, $E$12)</f>
        <v>10.280900000000001</v>
      </c>
      <c r="H575" s="66">
        <f>18.8842* CHOOSE(CONTROL!$C$23, $C$12, 100%, $E$12)</f>
        <v>18.8842</v>
      </c>
      <c r="I575" s="66">
        <f>18.8911 * CHOOSE(CONTROL!$C$23, $C$12, 100%, $E$12)</f>
        <v>18.891100000000002</v>
      </c>
      <c r="J575" s="66">
        <f>18.8842 * CHOOSE(CONTROL!$C$23, $C$12, 100%, $E$12)</f>
        <v>18.8842</v>
      </c>
      <c r="K575" s="66">
        <f>18.8911 * CHOOSE(CONTROL!$C$23, $C$12, 100%, $E$12)</f>
        <v>18.891100000000002</v>
      </c>
      <c r="L575" s="66">
        <f>10.274 * CHOOSE(CONTROL!$C$23, $C$12, 100%, $E$12)</f>
        <v>10.273999999999999</v>
      </c>
      <c r="M575" s="66">
        <f>10.2809 * CHOOSE(CONTROL!$C$23, $C$12, 100%, $E$12)</f>
        <v>10.280900000000001</v>
      </c>
      <c r="N575" s="66">
        <f>10.274 * CHOOSE(CONTROL!$C$23, $C$12, 100%, $E$12)</f>
        <v>10.273999999999999</v>
      </c>
      <c r="O575" s="66">
        <f>10.2809 * CHOOSE(CONTROL!$C$23, $C$12, 100%, $E$12)</f>
        <v>10.280900000000001</v>
      </c>
    </row>
    <row r="576" spans="1:15" ht="15">
      <c r="A576" s="13">
        <v>58685</v>
      </c>
      <c r="B576" s="65">
        <f>8.8072 * CHOOSE(CONTROL!$C$23, $C$12, 100%, $E$12)</f>
        <v>8.8071999999999999</v>
      </c>
      <c r="C576" s="65">
        <f>8.8072 * CHOOSE(CONTROL!$C$23, $C$12, 100%, $E$12)</f>
        <v>8.8071999999999999</v>
      </c>
      <c r="D576" s="65">
        <f>8.8128 * CHOOSE(CONTROL!$C$23, $C$12, 100%, $E$12)</f>
        <v>8.8127999999999993</v>
      </c>
      <c r="E576" s="66">
        <f>10.2538 * CHOOSE(CONTROL!$C$23, $C$12, 100%, $E$12)</f>
        <v>10.2538</v>
      </c>
      <c r="F576" s="66">
        <f>10.2538 * CHOOSE(CONTROL!$C$23, $C$12, 100%, $E$12)</f>
        <v>10.2538</v>
      </c>
      <c r="G576" s="66">
        <f>10.2607 * CHOOSE(CONTROL!$C$23, $C$12, 100%, $E$12)</f>
        <v>10.2607</v>
      </c>
      <c r="H576" s="66">
        <f>18.9235* CHOOSE(CONTROL!$C$23, $C$12, 100%, $E$12)</f>
        <v>18.923500000000001</v>
      </c>
      <c r="I576" s="66">
        <f>18.9304 * CHOOSE(CONTROL!$C$23, $C$12, 100%, $E$12)</f>
        <v>18.930399999999999</v>
      </c>
      <c r="J576" s="66">
        <f>18.9235 * CHOOSE(CONTROL!$C$23, $C$12, 100%, $E$12)</f>
        <v>18.923500000000001</v>
      </c>
      <c r="K576" s="66">
        <f>18.9304 * CHOOSE(CONTROL!$C$23, $C$12, 100%, $E$12)</f>
        <v>18.930399999999999</v>
      </c>
      <c r="L576" s="66">
        <f>10.2538 * CHOOSE(CONTROL!$C$23, $C$12, 100%, $E$12)</f>
        <v>10.2538</v>
      </c>
      <c r="M576" s="66">
        <f>10.2607 * CHOOSE(CONTROL!$C$23, $C$12, 100%, $E$12)</f>
        <v>10.2607</v>
      </c>
      <c r="N576" s="66">
        <f>10.2538 * CHOOSE(CONTROL!$C$23, $C$12, 100%, $E$12)</f>
        <v>10.2538</v>
      </c>
      <c r="O576" s="66">
        <f>10.2607 * CHOOSE(CONTROL!$C$23, $C$12, 100%, $E$12)</f>
        <v>10.2607</v>
      </c>
    </row>
    <row r="577" spans="1:15" ht="15">
      <c r="A577" s="13">
        <v>58715</v>
      </c>
      <c r="B577" s="65">
        <f>8.8179 * CHOOSE(CONTROL!$C$23, $C$12, 100%, $E$12)</f>
        <v>8.8178999999999998</v>
      </c>
      <c r="C577" s="65">
        <f>8.8179 * CHOOSE(CONTROL!$C$23, $C$12, 100%, $E$12)</f>
        <v>8.8178999999999998</v>
      </c>
      <c r="D577" s="65">
        <f>8.8219 * CHOOSE(CONTROL!$C$23, $C$12, 100%, $E$12)</f>
        <v>8.8218999999999994</v>
      </c>
      <c r="E577" s="66">
        <f>10.3128 * CHOOSE(CONTROL!$C$23, $C$12, 100%, $E$12)</f>
        <v>10.312799999999999</v>
      </c>
      <c r="F577" s="66">
        <f>10.3128 * CHOOSE(CONTROL!$C$23, $C$12, 100%, $E$12)</f>
        <v>10.312799999999999</v>
      </c>
      <c r="G577" s="66">
        <f>10.3178 * CHOOSE(CONTROL!$C$23, $C$12, 100%, $E$12)</f>
        <v>10.3178</v>
      </c>
      <c r="H577" s="66">
        <f>18.9629* CHOOSE(CONTROL!$C$23, $C$12, 100%, $E$12)</f>
        <v>18.962900000000001</v>
      </c>
      <c r="I577" s="66">
        <f>18.9679 * CHOOSE(CONTROL!$C$23, $C$12, 100%, $E$12)</f>
        <v>18.9679</v>
      </c>
      <c r="J577" s="66">
        <f>18.9629 * CHOOSE(CONTROL!$C$23, $C$12, 100%, $E$12)</f>
        <v>18.962900000000001</v>
      </c>
      <c r="K577" s="66">
        <f>18.9679 * CHOOSE(CONTROL!$C$23, $C$12, 100%, $E$12)</f>
        <v>18.9679</v>
      </c>
      <c r="L577" s="66">
        <f>10.3128 * CHOOSE(CONTROL!$C$23, $C$12, 100%, $E$12)</f>
        <v>10.312799999999999</v>
      </c>
      <c r="M577" s="66">
        <f>10.3178 * CHOOSE(CONTROL!$C$23, $C$12, 100%, $E$12)</f>
        <v>10.3178</v>
      </c>
      <c r="N577" s="66">
        <f>10.3128 * CHOOSE(CONTROL!$C$23, $C$12, 100%, $E$12)</f>
        <v>10.312799999999999</v>
      </c>
      <c r="O577" s="66">
        <f>10.3178 * CHOOSE(CONTROL!$C$23, $C$12, 100%, $E$12)</f>
        <v>10.3178</v>
      </c>
    </row>
    <row r="578" spans="1:15" ht="15">
      <c r="A578" s="13">
        <v>58746</v>
      </c>
      <c r="B578" s="65">
        <f>8.821 * CHOOSE(CONTROL!$C$23, $C$12, 100%, $E$12)</f>
        <v>8.8209999999999997</v>
      </c>
      <c r="C578" s="65">
        <f>8.821 * CHOOSE(CONTROL!$C$23, $C$12, 100%, $E$12)</f>
        <v>8.8209999999999997</v>
      </c>
      <c r="D578" s="65">
        <f>8.825 * CHOOSE(CONTROL!$C$23, $C$12, 100%, $E$12)</f>
        <v>8.8249999999999993</v>
      </c>
      <c r="E578" s="66">
        <f>10.3512 * CHOOSE(CONTROL!$C$23, $C$12, 100%, $E$12)</f>
        <v>10.3512</v>
      </c>
      <c r="F578" s="66">
        <f>10.3512 * CHOOSE(CONTROL!$C$23, $C$12, 100%, $E$12)</f>
        <v>10.3512</v>
      </c>
      <c r="G578" s="66">
        <f>10.3561 * CHOOSE(CONTROL!$C$23, $C$12, 100%, $E$12)</f>
        <v>10.3561</v>
      </c>
      <c r="H578" s="66">
        <f>19.0024* CHOOSE(CONTROL!$C$23, $C$12, 100%, $E$12)</f>
        <v>19.002400000000002</v>
      </c>
      <c r="I578" s="66">
        <f>19.0074 * CHOOSE(CONTROL!$C$23, $C$12, 100%, $E$12)</f>
        <v>19.007400000000001</v>
      </c>
      <c r="J578" s="66">
        <f>19.0024 * CHOOSE(CONTROL!$C$23, $C$12, 100%, $E$12)</f>
        <v>19.002400000000002</v>
      </c>
      <c r="K578" s="66">
        <f>19.0074 * CHOOSE(CONTROL!$C$23, $C$12, 100%, $E$12)</f>
        <v>19.007400000000001</v>
      </c>
      <c r="L578" s="66">
        <f>10.3512 * CHOOSE(CONTROL!$C$23, $C$12, 100%, $E$12)</f>
        <v>10.3512</v>
      </c>
      <c r="M578" s="66">
        <f>10.3561 * CHOOSE(CONTROL!$C$23, $C$12, 100%, $E$12)</f>
        <v>10.3561</v>
      </c>
      <c r="N578" s="66">
        <f>10.3512 * CHOOSE(CONTROL!$C$23, $C$12, 100%, $E$12)</f>
        <v>10.3512</v>
      </c>
      <c r="O578" s="66">
        <f>10.3561 * CHOOSE(CONTROL!$C$23, $C$12, 100%, $E$12)</f>
        <v>10.3561</v>
      </c>
    </row>
    <row r="579" spans="1:15" ht="15">
      <c r="A579" s="13">
        <v>58776</v>
      </c>
      <c r="B579" s="65">
        <f>8.821 * CHOOSE(CONTROL!$C$23, $C$12, 100%, $E$12)</f>
        <v>8.8209999999999997</v>
      </c>
      <c r="C579" s="65">
        <f>8.821 * CHOOSE(CONTROL!$C$23, $C$12, 100%, $E$12)</f>
        <v>8.8209999999999997</v>
      </c>
      <c r="D579" s="65">
        <f>8.825 * CHOOSE(CONTROL!$C$23, $C$12, 100%, $E$12)</f>
        <v>8.8249999999999993</v>
      </c>
      <c r="E579" s="66">
        <f>10.2606 * CHOOSE(CONTROL!$C$23, $C$12, 100%, $E$12)</f>
        <v>10.2606</v>
      </c>
      <c r="F579" s="66">
        <f>10.2606 * CHOOSE(CONTROL!$C$23, $C$12, 100%, $E$12)</f>
        <v>10.2606</v>
      </c>
      <c r="G579" s="66">
        <f>10.2655 * CHOOSE(CONTROL!$C$23, $C$12, 100%, $E$12)</f>
        <v>10.265499999999999</v>
      </c>
      <c r="H579" s="66">
        <f>19.042* CHOOSE(CONTROL!$C$23, $C$12, 100%, $E$12)</f>
        <v>19.042000000000002</v>
      </c>
      <c r="I579" s="66">
        <f>19.047 * CHOOSE(CONTROL!$C$23, $C$12, 100%, $E$12)</f>
        <v>19.047000000000001</v>
      </c>
      <c r="J579" s="66">
        <f>19.042 * CHOOSE(CONTROL!$C$23, $C$12, 100%, $E$12)</f>
        <v>19.042000000000002</v>
      </c>
      <c r="K579" s="66">
        <f>19.047 * CHOOSE(CONTROL!$C$23, $C$12, 100%, $E$12)</f>
        <v>19.047000000000001</v>
      </c>
      <c r="L579" s="66">
        <f>10.2606 * CHOOSE(CONTROL!$C$23, $C$12, 100%, $E$12)</f>
        <v>10.2606</v>
      </c>
      <c r="M579" s="66">
        <f>10.2655 * CHOOSE(CONTROL!$C$23, $C$12, 100%, $E$12)</f>
        <v>10.265499999999999</v>
      </c>
      <c r="N579" s="66">
        <f>10.2606 * CHOOSE(CONTROL!$C$23, $C$12, 100%, $E$12)</f>
        <v>10.2606</v>
      </c>
      <c r="O579" s="66">
        <f>10.2655 * CHOOSE(CONTROL!$C$23, $C$12, 100%, $E$12)</f>
        <v>10.265499999999999</v>
      </c>
    </row>
    <row r="580" spans="1:15" ht="15">
      <c r="A580" s="13">
        <v>58807</v>
      </c>
      <c r="B580" s="65">
        <f>8.8962 * CHOOSE(CONTROL!$C$23, $C$12, 100%, $E$12)</f>
        <v>8.8962000000000003</v>
      </c>
      <c r="C580" s="65">
        <f>8.8962 * CHOOSE(CONTROL!$C$23, $C$12, 100%, $E$12)</f>
        <v>8.8962000000000003</v>
      </c>
      <c r="D580" s="65">
        <f>8.9002 * CHOOSE(CONTROL!$C$23, $C$12, 100%, $E$12)</f>
        <v>8.9001999999999999</v>
      </c>
      <c r="E580" s="66">
        <f>10.409 * CHOOSE(CONTROL!$C$23, $C$12, 100%, $E$12)</f>
        <v>10.409000000000001</v>
      </c>
      <c r="F580" s="66">
        <f>10.409 * CHOOSE(CONTROL!$C$23, $C$12, 100%, $E$12)</f>
        <v>10.409000000000001</v>
      </c>
      <c r="G580" s="66">
        <f>10.4139 * CHOOSE(CONTROL!$C$23, $C$12, 100%, $E$12)</f>
        <v>10.4139</v>
      </c>
      <c r="H580" s="66">
        <f>19.0817* CHOOSE(CONTROL!$C$23, $C$12, 100%, $E$12)</f>
        <v>19.081700000000001</v>
      </c>
      <c r="I580" s="66">
        <f>19.0866 * CHOOSE(CONTROL!$C$23, $C$12, 100%, $E$12)</f>
        <v>19.086600000000001</v>
      </c>
      <c r="J580" s="66">
        <f>19.0817 * CHOOSE(CONTROL!$C$23, $C$12, 100%, $E$12)</f>
        <v>19.081700000000001</v>
      </c>
      <c r="K580" s="66">
        <f>19.0866 * CHOOSE(CONTROL!$C$23, $C$12, 100%, $E$12)</f>
        <v>19.086600000000001</v>
      </c>
      <c r="L580" s="66">
        <f>10.409 * CHOOSE(CONTROL!$C$23, $C$12, 100%, $E$12)</f>
        <v>10.409000000000001</v>
      </c>
      <c r="M580" s="66">
        <f>10.4139 * CHOOSE(CONTROL!$C$23, $C$12, 100%, $E$12)</f>
        <v>10.4139</v>
      </c>
      <c r="N580" s="66">
        <f>10.409 * CHOOSE(CONTROL!$C$23, $C$12, 100%, $E$12)</f>
        <v>10.409000000000001</v>
      </c>
      <c r="O580" s="66">
        <f>10.4139 * CHOOSE(CONTROL!$C$23, $C$12, 100%, $E$12)</f>
        <v>10.4139</v>
      </c>
    </row>
    <row r="581" spans="1:15" ht="15">
      <c r="A581" s="13">
        <v>58838</v>
      </c>
      <c r="B581" s="65">
        <f>8.8931 * CHOOSE(CONTROL!$C$23, $C$12, 100%, $E$12)</f>
        <v>8.8931000000000004</v>
      </c>
      <c r="C581" s="65">
        <f>8.8931 * CHOOSE(CONTROL!$C$23, $C$12, 100%, $E$12)</f>
        <v>8.8931000000000004</v>
      </c>
      <c r="D581" s="65">
        <f>8.8971 * CHOOSE(CONTROL!$C$23, $C$12, 100%, $E$12)</f>
        <v>8.8971</v>
      </c>
      <c r="E581" s="66">
        <f>10.2309 * CHOOSE(CONTROL!$C$23, $C$12, 100%, $E$12)</f>
        <v>10.2309</v>
      </c>
      <c r="F581" s="66">
        <f>10.2309 * CHOOSE(CONTROL!$C$23, $C$12, 100%, $E$12)</f>
        <v>10.2309</v>
      </c>
      <c r="G581" s="66">
        <f>10.2359 * CHOOSE(CONTROL!$C$23, $C$12, 100%, $E$12)</f>
        <v>10.235900000000001</v>
      </c>
      <c r="H581" s="66">
        <f>19.1215* CHOOSE(CONTROL!$C$23, $C$12, 100%, $E$12)</f>
        <v>19.121500000000001</v>
      </c>
      <c r="I581" s="66">
        <f>19.1264 * CHOOSE(CONTROL!$C$23, $C$12, 100%, $E$12)</f>
        <v>19.1264</v>
      </c>
      <c r="J581" s="66">
        <f>19.1215 * CHOOSE(CONTROL!$C$23, $C$12, 100%, $E$12)</f>
        <v>19.121500000000001</v>
      </c>
      <c r="K581" s="66">
        <f>19.1264 * CHOOSE(CONTROL!$C$23, $C$12, 100%, $E$12)</f>
        <v>19.1264</v>
      </c>
      <c r="L581" s="66">
        <f>10.2309 * CHOOSE(CONTROL!$C$23, $C$12, 100%, $E$12)</f>
        <v>10.2309</v>
      </c>
      <c r="M581" s="66">
        <f>10.2359 * CHOOSE(CONTROL!$C$23, $C$12, 100%, $E$12)</f>
        <v>10.235900000000001</v>
      </c>
      <c r="N581" s="66">
        <f>10.2309 * CHOOSE(CONTROL!$C$23, $C$12, 100%, $E$12)</f>
        <v>10.2309</v>
      </c>
      <c r="O581" s="66">
        <f>10.2359 * CHOOSE(CONTROL!$C$23, $C$12, 100%, $E$12)</f>
        <v>10.235900000000001</v>
      </c>
    </row>
    <row r="582" spans="1:15" ht="15">
      <c r="A582" s="13">
        <v>58866</v>
      </c>
      <c r="B582" s="65">
        <f>8.8901 * CHOOSE(CONTROL!$C$23, $C$12, 100%, $E$12)</f>
        <v>8.8901000000000003</v>
      </c>
      <c r="C582" s="65">
        <f>8.8901 * CHOOSE(CONTROL!$C$23, $C$12, 100%, $E$12)</f>
        <v>8.8901000000000003</v>
      </c>
      <c r="D582" s="65">
        <f>8.8941 * CHOOSE(CONTROL!$C$23, $C$12, 100%, $E$12)</f>
        <v>8.8940999999999999</v>
      </c>
      <c r="E582" s="66">
        <f>10.3675 * CHOOSE(CONTROL!$C$23, $C$12, 100%, $E$12)</f>
        <v>10.3675</v>
      </c>
      <c r="F582" s="66">
        <f>10.3675 * CHOOSE(CONTROL!$C$23, $C$12, 100%, $E$12)</f>
        <v>10.3675</v>
      </c>
      <c r="G582" s="66">
        <f>10.3725 * CHOOSE(CONTROL!$C$23, $C$12, 100%, $E$12)</f>
        <v>10.3725</v>
      </c>
      <c r="H582" s="66">
        <f>19.1613* CHOOSE(CONTROL!$C$23, $C$12, 100%, $E$12)</f>
        <v>19.161300000000001</v>
      </c>
      <c r="I582" s="66">
        <f>19.1662 * CHOOSE(CONTROL!$C$23, $C$12, 100%, $E$12)</f>
        <v>19.1662</v>
      </c>
      <c r="J582" s="66">
        <f>19.1613 * CHOOSE(CONTROL!$C$23, $C$12, 100%, $E$12)</f>
        <v>19.161300000000001</v>
      </c>
      <c r="K582" s="66">
        <f>19.1662 * CHOOSE(CONTROL!$C$23, $C$12, 100%, $E$12)</f>
        <v>19.1662</v>
      </c>
      <c r="L582" s="66">
        <f>10.3675 * CHOOSE(CONTROL!$C$23, $C$12, 100%, $E$12)</f>
        <v>10.3675</v>
      </c>
      <c r="M582" s="66">
        <f>10.3725 * CHOOSE(CONTROL!$C$23, $C$12, 100%, $E$12)</f>
        <v>10.3725</v>
      </c>
      <c r="N582" s="66">
        <f>10.3675 * CHOOSE(CONTROL!$C$23, $C$12, 100%, $E$12)</f>
        <v>10.3675</v>
      </c>
      <c r="O582" s="66">
        <f>10.3725 * CHOOSE(CONTROL!$C$23, $C$12, 100%, $E$12)</f>
        <v>10.3725</v>
      </c>
    </row>
    <row r="583" spans="1:15" ht="15">
      <c r="A583" s="13">
        <v>58897</v>
      </c>
      <c r="B583" s="65">
        <f>8.8919 * CHOOSE(CONTROL!$C$23, $C$12, 100%, $E$12)</f>
        <v>8.8918999999999997</v>
      </c>
      <c r="C583" s="65">
        <f>8.8919 * CHOOSE(CONTROL!$C$23, $C$12, 100%, $E$12)</f>
        <v>8.8918999999999997</v>
      </c>
      <c r="D583" s="65">
        <f>8.8959 * CHOOSE(CONTROL!$C$23, $C$12, 100%, $E$12)</f>
        <v>8.8958999999999993</v>
      </c>
      <c r="E583" s="66">
        <f>10.5123 * CHOOSE(CONTROL!$C$23, $C$12, 100%, $E$12)</f>
        <v>10.5123</v>
      </c>
      <c r="F583" s="66">
        <f>10.5123 * CHOOSE(CONTROL!$C$23, $C$12, 100%, $E$12)</f>
        <v>10.5123</v>
      </c>
      <c r="G583" s="66">
        <f>10.5172 * CHOOSE(CONTROL!$C$23, $C$12, 100%, $E$12)</f>
        <v>10.517200000000001</v>
      </c>
      <c r="H583" s="66">
        <f>19.2012* CHOOSE(CONTROL!$C$23, $C$12, 100%, $E$12)</f>
        <v>19.2012</v>
      </c>
      <c r="I583" s="66">
        <f>19.2061 * CHOOSE(CONTROL!$C$23, $C$12, 100%, $E$12)</f>
        <v>19.206099999999999</v>
      </c>
      <c r="J583" s="66">
        <f>19.2012 * CHOOSE(CONTROL!$C$23, $C$12, 100%, $E$12)</f>
        <v>19.2012</v>
      </c>
      <c r="K583" s="66">
        <f>19.2061 * CHOOSE(CONTROL!$C$23, $C$12, 100%, $E$12)</f>
        <v>19.206099999999999</v>
      </c>
      <c r="L583" s="66">
        <f>10.5123 * CHOOSE(CONTROL!$C$23, $C$12, 100%, $E$12)</f>
        <v>10.5123</v>
      </c>
      <c r="M583" s="66">
        <f>10.5172 * CHOOSE(CONTROL!$C$23, $C$12, 100%, $E$12)</f>
        <v>10.517200000000001</v>
      </c>
      <c r="N583" s="66">
        <f>10.5123 * CHOOSE(CONTROL!$C$23, $C$12, 100%, $E$12)</f>
        <v>10.5123</v>
      </c>
      <c r="O583" s="66">
        <f>10.5172 * CHOOSE(CONTROL!$C$23, $C$12, 100%, $E$12)</f>
        <v>10.517200000000001</v>
      </c>
    </row>
    <row r="584" spans="1:15" ht="15">
      <c r="A584" s="13">
        <v>58927</v>
      </c>
      <c r="B584" s="65">
        <f>8.8919 * CHOOSE(CONTROL!$C$23, $C$12, 100%, $E$12)</f>
        <v>8.8918999999999997</v>
      </c>
      <c r="C584" s="65">
        <f>8.8919 * CHOOSE(CONTROL!$C$23, $C$12, 100%, $E$12)</f>
        <v>8.8918999999999997</v>
      </c>
      <c r="D584" s="65">
        <f>8.8975 * CHOOSE(CONTROL!$C$23, $C$12, 100%, $E$12)</f>
        <v>8.8975000000000009</v>
      </c>
      <c r="E584" s="66">
        <f>10.5681 * CHOOSE(CONTROL!$C$23, $C$12, 100%, $E$12)</f>
        <v>10.568099999999999</v>
      </c>
      <c r="F584" s="66">
        <f>10.5681 * CHOOSE(CONTROL!$C$23, $C$12, 100%, $E$12)</f>
        <v>10.568099999999999</v>
      </c>
      <c r="G584" s="66">
        <f>10.575 * CHOOSE(CONTROL!$C$23, $C$12, 100%, $E$12)</f>
        <v>10.574999999999999</v>
      </c>
      <c r="H584" s="66">
        <f>19.2412* CHOOSE(CONTROL!$C$23, $C$12, 100%, $E$12)</f>
        <v>19.241199999999999</v>
      </c>
      <c r="I584" s="66">
        <f>19.2481 * CHOOSE(CONTROL!$C$23, $C$12, 100%, $E$12)</f>
        <v>19.248100000000001</v>
      </c>
      <c r="J584" s="66">
        <f>19.2412 * CHOOSE(CONTROL!$C$23, $C$12, 100%, $E$12)</f>
        <v>19.241199999999999</v>
      </c>
      <c r="K584" s="66">
        <f>19.2481 * CHOOSE(CONTROL!$C$23, $C$12, 100%, $E$12)</f>
        <v>19.248100000000001</v>
      </c>
      <c r="L584" s="66">
        <f>10.5681 * CHOOSE(CONTROL!$C$23, $C$12, 100%, $E$12)</f>
        <v>10.568099999999999</v>
      </c>
      <c r="M584" s="66">
        <f>10.575 * CHOOSE(CONTROL!$C$23, $C$12, 100%, $E$12)</f>
        <v>10.574999999999999</v>
      </c>
      <c r="N584" s="66">
        <f>10.5681 * CHOOSE(CONTROL!$C$23, $C$12, 100%, $E$12)</f>
        <v>10.568099999999999</v>
      </c>
      <c r="O584" s="66">
        <f>10.575 * CHOOSE(CONTROL!$C$23, $C$12, 100%, $E$12)</f>
        <v>10.574999999999999</v>
      </c>
    </row>
    <row r="585" spans="1:15" ht="15">
      <c r="A585" s="13">
        <v>58958</v>
      </c>
      <c r="B585" s="65">
        <f>8.898 * CHOOSE(CONTROL!$C$23, $C$12, 100%, $E$12)</f>
        <v>8.8979999999999997</v>
      </c>
      <c r="C585" s="65">
        <f>8.898 * CHOOSE(CONTROL!$C$23, $C$12, 100%, $E$12)</f>
        <v>8.8979999999999997</v>
      </c>
      <c r="D585" s="65">
        <f>8.9036 * CHOOSE(CONTROL!$C$23, $C$12, 100%, $E$12)</f>
        <v>8.9036000000000008</v>
      </c>
      <c r="E585" s="66">
        <f>10.5165 * CHOOSE(CONTROL!$C$23, $C$12, 100%, $E$12)</f>
        <v>10.516500000000001</v>
      </c>
      <c r="F585" s="66">
        <f>10.5165 * CHOOSE(CONTROL!$C$23, $C$12, 100%, $E$12)</f>
        <v>10.516500000000001</v>
      </c>
      <c r="G585" s="66">
        <f>10.5234 * CHOOSE(CONTROL!$C$23, $C$12, 100%, $E$12)</f>
        <v>10.523400000000001</v>
      </c>
      <c r="H585" s="66">
        <f>19.2813* CHOOSE(CONTROL!$C$23, $C$12, 100%, $E$12)</f>
        <v>19.281300000000002</v>
      </c>
      <c r="I585" s="66">
        <f>19.2882 * CHOOSE(CONTROL!$C$23, $C$12, 100%, $E$12)</f>
        <v>19.2882</v>
      </c>
      <c r="J585" s="66">
        <f>19.2813 * CHOOSE(CONTROL!$C$23, $C$12, 100%, $E$12)</f>
        <v>19.281300000000002</v>
      </c>
      <c r="K585" s="66">
        <f>19.2882 * CHOOSE(CONTROL!$C$23, $C$12, 100%, $E$12)</f>
        <v>19.2882</v>
      </c>
      <c r="L585" s="66">
        <f>10.5165 * CHOOSE(CONTROL!$C$23, $C$12, 100%, $E$12)</f>
        <v>10.516500000000001</v>
      </c>
      <c r="M585" s="66">
        <f>10.5234 * CHOOSE(CONTROL!$C$23, $C$12, 100%, $E$12)</f>
        <v>10.523400000000001</v>
      </c>
      <c r="N585" s="66">
        <f>10.5165 * CHOOSE(CONTROL!$C$23, $C$12, 100%, $E$12)</f>
        <v>10.516500000000001</v>
      </c>
      <c r="O585" s="66">
        <f>10.5234 * CHOOSE(CONTROL!$C$23, $C$12, 100%, $E$12)</f>
        <v>10.523400000000001</v>
      </c>
    </row>
    <row r="586" spans="1:15" ht="15">
      <c r="A586" s="13">
        <v>58988</v>
      </c>
      <c r="B586" s="65">
        <f>9.0365 * CHOOSE(CONTROL!$C$23, $C$12, 100%, $E$12)</f>
        <v>9.0365000000000002</v>
      </c>
      <c r="C586" s="65">
        <f>9.0365 * CHOOSE(CONTROL!$C$23, $C$12, 100%, $E$12)</f>
        <v>9.0365000000000002</v>
      </c>
      <c r="D586" s="65">
        <f>9.0421 * CHOOSE(CONTROL!$C$23, $C$12, 100%, $E$12)</f>
        <v>9.0420999999999996</v>
      </c>
      <c r="E586" s="66">
        <f>10.6879 * CHOOSE(CONTROL!$C$23, $C$12, 100%, $E$12)</f>
        <v>10.687900000000001</v>
      </c>
      <c r="F586" s="66">
        <f>10.6879 * CHOOSE(CONTROL!$C$23, $C$12, 100%, $E$12)</f>
        <v>10.687900000000001</v>
      </c>
      <c r="G586" s="66">
        <f>10.6948 * CHOOSE(CONTROL!$C$23, $C$12, 100%, $E$12)</f>
        <v>10.694800000000001</v>
      </c>
      <c r="H586" s="66">
        <f>19.3215* CHOOSE(CONTROL!$C$23, $C$12, 100%, $E$12)</f>
        <v>19.3215</v>
      </c>
      <c r="I586" s="66">
        <f>19.3284 * CHOOSE(CONTROL!$C$23, $C$12, 100%, $E$12)</f>
        <v>19.328399999999998</v>
      </c>
      <c r="J586" s="66">
        <f>19.3215 * CHOOSE(CONTROL!$C$23, $C$12, 100%, $E$12)</f>
        <v>19.3215</v>
      </c>
      <c r="K586" s="66">
        <f>19.3284 * CHOOSE(CONTROL!$C$23, $C$12, 100%, $E$12)</f>
        <v>19.328399999999998</v>
      </c>
      <c r="L586" s="66">
        <f>10.6879 * CHOOSE(CONTROL!$C$23, $C$12, 100%, $E$12)</f>
        <v>10.687900000000001</v>
      </c>
      <c r="M586" s="66">
        <f>10.6948 * CHOOSE(CONTROL!$C$23, $C$12, 100%, $E$12)</f>
        <v>10.694800000000001</v>
      </c>
      <c r="N586" s="66">
        <f>10.6879 * CHOOSE(CONTROL!$C$23, $C$12, 100%, $E$12)</f>
        <v>10.687900000000001</v>
      </c>
      <c r="O586" s="66">
        <f>10.6948 * CHOOSE(CONTROL!$C$23, $C$12, 100%, $E$12)</f>
        <v>10.694800000000001</v>
      </c>
    </row>
    <row r="587" spans="1:15" ht="15">
      <c r="A587" s="13">
        <v>59019</v>
      </c>
      <c r="B587" s="65">
        <f>9.0432 * CHOOSE(CONTROL!$C$23, $C$12, 100%, $E$12)</f>
        <v>9.0432000000000006</v>
      </c>
      <c r="C587" s="65">
        <f>9.0432 * CHOOSE(CONTROL!$C$23, $C$12, 100%, $E$12)</f>
        <v>9.0432000000000006</v>
      </c>
      <c r="D587" s="65">
        <f>9.0488 * CHOOSE(CONTROL!$C$23, $C$12, 100%, $E$12)</f>
        <v>9.0488</v>
      </c>
      <c r="E587" s="66">
        <f>10.5249 * CHOOSE(CONTROL!$C$23, $C$12, 100%, $E$12)</f>
        <v>10.524900000000001</v>
      </c>
      <c r="F587" s="66">
        <f>10.5249 * CHOOSE(CONTROL!$C$23, $C$12, 100%, $E$12)</f>
        <v>10.524900000000001</v>
      </c>
      <c r="G587" s="66">
        <f>10.5318 * CHOOSE(CONTROL!$C$23, $C$12, 100%, $E$12)</f>
        <v>10.5318</v>
      </c>
      <c r="H587" s="66">
        <f>19.3617* CHOOSE(CONTROL!$C$23, $C$12, 100%, $E$12)</f>
        <v>19.361699999999999</v>
      </c>
      <c r="I587" s="66">
        <f>19.3686 * CHOOSE(CONTROL!$C$23, $C$12, 100%, $E$12)</f>
        <v>19.368600000000001</v>
      </c>
      <c r="J587" s="66">
        <f>19.3617 * CHOOSE(CONTROL!$C$23, $C$12, 100%, $E$12)</f>
        <v>19.361699999999999</v>
      </c>
      <c r="K587" s="66">
        <f>19.3686 * CHOOSE(CONTROL!$C$23, $C$12, 100%, $E$12)</f>
        <v>19.368600000000001</v>
      </c>
      <c r="L587" s="66">
        <f>10.5249 * CHOOSE(CONTROL!$C$23, $C$12, 100%, $E$12)</f>
        <v>10.524900000000001</v>
      </c>
      <c r="M587" s="66">
        <f>10.5318 * CHOOSE(CONTROL!$C$23, $C$12, 100%, $E$12)</f>
        <v>10.5318</v>
      </c>
      <c r="N587" s="66">
        <f>10.5249 * CHOOSE(CONTROL!$C$23, $C$12, 100%, $E$12)</f>
        <v>10.524900000000001</v>
      </c>
      <c r="O587" s="66">
        <f>10.5318 * CHOOSE(CONTROL!$C$23, $C$12, 100%, $E$12)</f>
        <v>10.5318</v>
      </c>
    </row>
    <row r="588" spans="1:15" ht="15">
      <c r="A588" s="13">
        <v>59050</v>
      </c>
      <c r="B588" s="65">
        <f>9.0401 * CHOOSE(CONTROL!$C$23, $C$12, 100%, $E$12)</f>
        <v>9.0401000000000007</v>
      </c>
      <c r="C588" s="65">
        <f>9.0401 * CHOOSE(CONTROL!$C$23, $C$12, 100%, $E$12)</f>
        <v>9.0401000000000007</v>
      </c>
      <c r="D588" s="65">
        <f>9.0458 * CHOOSE(CONTROL!$C$23, $C$12, 100%, $E$12)</f>
        <v>9.0457999999999998</v>
      </c>
      <c r="E588" s="66">
        <f>10.5042 * CHOOSE(CONTROL!$C$23, $C$12, 100%, $E$12)</f>
        <v>10.504200000000001</v>
      </c>
      <c r="F588" s="66">
        <f>10.5042 * CHOOSE(CONTROL!$C$23, $C$12, 100%, $E$12)</f>
        <v>10.504200000000001</v>
      </c>
      <c r="G588" s="66">
        <f>10.5111 * CHOOSE(CONTROL!$C$23, $C$12, 100%, $E$12)</f>
        <v>10.511100000000001</v>
      </c>
      <c r="H588" s="66">
        <f>19.4021* CHOOSE(CONTROL!$C$23, $C$12, 100%, $E$12)</f>
        <v>19.402100000000001</v>
      </c>
      <c r="I588" s="66">
        <f>19.409 * CHOOSE(CONTROL!$C$23, $C$12, 100%, $E$12)</f>
        <v>19.408999999999999</v>
      </c>
      <c r="J588" s="66">
        <f>19.4021 * CHOOSE(CONTROL!$C$23, $C$12, 100%, $E$12)</f>
        <v>19.402100000000001</v>
      </c>
      <c r="K588" s="66">
        <f>19.409 * CHOOSE(CONTROL!$C$23, $C$12, 100%, $E$12)</f>
        <v>19.408999999999999</v>
      </c>
      <c r="L588" s="66">
        <f>10.5042 * CHOOSE(CONTROL!$C$23, $C$12, 100%, $E$12)</f>
        <v>10.504200000000001</v>
      </c>
      <c r="M588" s="66">
        <f>10.5111 * CHOOSE(CONTROL!$C$23, $C$12, 100%, $E$12)</f>
        <v>10.511100000000001</v>
      </c>
      <c r="N588" s="66">
        <f>10.5042 * CHOOSE(CONTROL!$C$23, $C$12, 100%, $E$12)</f>
        <v>10.504200000000001</v>
      </c>
      <c r="O588" s="66">
        <f>10.5111 * CHOOSE(CONTROL!$C$23, $C$12, 100%, $E$12)</f>
        <v>10.511100000000001</v>
      </c>
    </row>
    <row r="589" spans="1:15" ht="15">
      <c r="A589" s="13">
        <v>59080</v>
      </c>
      <c r="B589" s="65">
        <f>9.0516 * CHOOSE(CONTROL!$C$23, $C$12, 100%, $E$12)</f>
        <v>9.0516000000000005</v>
      </c>
      <c r="C589" s="65">
        <f>9.0516 * CHOOSE(CONTROL!$C$23, $C$12, 100%, $E$12)</f>
        <v>9.0516000000000005</v>
      </c>
      <c r="D589" s="65">
        <f>9.0556 * CHOOSE(CONTROL!$C$23, $C$12, 100%, $E$12)</f>
        <v>9.0556000000000001</v>
      </c>
      <c r="E589" s="66">
        <f>10.5653 * CHOOSE(CONTROL!$C$23, $C$12, 100%, $E$12)</f>
        <v>10.565300000000001</v>
      </c>
      <c r="F589" s="66">
        <f>10.5653 * CHOOSE(CONTROL!$C$23, $C$12, 100%, $E$12)</f>
        <v>10.565300000000001</v>
      </c>
      <c r="G589" s="66">
        <f>10.5702 * CHOOSE(CONTROL!$C$23, $C$12, 100%, $E$12)</f>
        <v>10.5702</v>
      </c>
      <c r="H589" s="66">
        <f>19.4425* CHOOSE(CONTROL!$C$23, $C$12, 100%, $E$12)</f>
        <v>19.442499999999999</v>
      </c>
      <c r="I589" s="66">
        <f>19.4474 * CHOOSE(CONTROL!$C$23, $C$12, 100%, $E$12)</f>
        <v>19.447399999999998</v>
      </c>
      <c r="J589" s="66">
        <f>19.4425 * CHOOSE(CONTROL!$C$23, $C$12, 100%, $E$12)</f>
        <v>19.442499999999999</v>
      </c>
      <c r="K589" s="66">
        <f>19.4474 * CHOOSE(CONTROL!$C$23, $C$12, 100%, $E$12)</f>
        <v>19.447399999999998</v>
      </c>
      <c r="L589" s="66">
        <f>10.5653 * CHOOSE(CONTROL!$C$23, $C$12, 100%, $E$12)</f>
        <v>10.565300000000001</v>
      </c>
      <c r="M589" s="66">
        <f>10.5702 * CHOOSE(CONTROL!$C$23, $C$12, 100%, $E$12)</f>
        <v>10.5702</v>
      </c>
      <c r="N589" s="66">
        <f>10.5653 * CHOOSE(CONTROL!$C$23, $C$12, 100%, $E$12)</f>
        <v>10.565300000000001</v>
      </c>
      <c r="O589" s="66">
        <f>10.5702 * CHOOSE(CONTROL!$C$23, $C$12, 100%, $E$12)</f>
        <v>10.5702</v>
      </c>
    </row>
    <row r="590" spans="1:15" ht="15">
      <c r="A590" s="13">
        <v>59111</v>
      </c>
      <c r="B590" s="65">
        <f>9.0547 * CHOOSE(CONTROL!$C$23, $C$12, 100%, $E$12)</f>
        <v>9.0547000000000004</v>
      </c>
      <c r="C590" s="65">
        <f>9.0547 * CHOOSE(CONTROL!$C$23, $C$12, 100%, $E$12)</f>
        <v>9.0547000000000004</v>
      </c>
      <c r="D590" s="65">
        <f>9.0587 * CHOOSE(CONTROL!$C$23, $C$12, 100%, $E$12)</f>
        <v>9.0587</v>
      </c>
      <c r="E590" s="66">
        <f>10.6046 * CHOOSE(CONTROL!$C$23, $C$12, 100%, $E$12)</f>
        <v>10.6046</v>
      </c>
      <c r="F590" s="66">
        <f>10.6046 * CHOOSE(CONTROL!$C$23, $C$12, 100%, $E$12)</f>
        <v>10.6046</v>
      </c>
      <c r="G590" s="66">
        <f>10.6096 * CHOOSE(CONTROL!$C$23, $C$12, 100%, $E$12)</f>
        <v>10.6096</v>
      </c>
      <c r="H590" s="66">
        <f>19.483* CHOOSE(CONTROL!$C$23, $C$12, 100%, $E$12)</f>
        <v>19.483000000000001</v>
      </c>
      <c r="I590" s="66">
        <f>19.4879 * CHOOSE(CONTROL!$C$23, $C$12, 100%, $E$12)</f>
        <v>19.4879</v>
      </c>
      <c r="J590" s="66">
        <f>19.483 * CHOOSE(CONTROL!$C$23, $C$12, 100%, $E$12)</f>
        <v>19.483000000000001</v>
      </c>
      <c r="K590" s="66">
        <f>19.4879 * CHOOSE(CONTROL!$C$23, $C$12, 100%, $E$12)</f>
        <v>19.4879</v>
      </c>
      <c r="L590" s="66">
        <f>10.6046 * CHOOSE(CONTROL!$C$23, $C$12, 100%, $E$12)</f>
        <v>10.6046</v>
      </c>
      <c r="M590" s="66">
        <f>10.6096 * CHOOSE(CONTROL!$C$23, $C$12, 100%, $E$12)</f>
        <v>10.6096</v>
      </c>
      <c r="N590" s="66">
        <f>10.6046 * CHOOSE(CONTROL!$C$23, $C$12, 100%, $E$12)</f>
        <v>10.6046</v>
      </c>
      <c r="O590" s="66">
        <f>10.6096 * CHOOSE(CONTROL!$C$23, $C$12, 100%, $E$12)</f>
        <v>10.6096</v>
      </c>
    </row>
    <row r="591" spans="1:15" ht="15">
      <c r="A591" s="13">
        <v>59141</v>
      </c>
      <c r="B591" s="65">
        <f>9.0547 * CHOOSE(CONTROL!$C$23, $C$12, 100%, $E$12)</f>
        <v>9.0547000000000004</v>
      </c>
      <c r="C591" s="65">
        <f>9.0547 * CHOOSE(CONTROL!$C$23, $C$12, 100%, $E$12)</f>
        <v>9.0547000000000004</v>
      </c>
      <c r="D591" s="65">
        <f>9.0587 * CHOOSE(CONTROL!$C$23, $C$12, 100%, $E$12)</f>
        <v>9.0587</v>
      </c>
      <c r="E591" s="66">
        <f>10.5115 * CHOOSE(CONTROL!$C$23, $C$12, 100%, $E$12)</f>
        <v>10.5115</v>
      </c>
      <c r="F591" s="66">
        <f>10.5115 * CHOOSE(CONTROL!$C$23, $C$12, 100%, $E$12)</f>
        <v>10.5115</v>
      </c>
      <c r="G591" s="66">
        <f>10.5164 * CHOOSE(CONTROL!$C$23, $C$12, 100%, $E$12)</f>
        <v>10.516400000000001</v>
      </c>
      <c r="H591" s="66">
        <f>19.5236* CHOOSE(CONTROL!$C$23, $C$12, 100%, $E$12)</f>
        <v>19.523599999999998</v>
      </c>
      <c r="I591" s="66">
        <f>19.5285 * CHOOSE(CONTROL!$C$23, $C$12, 100%, $E$12)</f>
        <v>19.528500000000001</v>
      </c>
      <c r="J591" s="66">
        <f>19.5236 * CHOOSE(CONTROL!$C$23, $C$12, 100%, $E$12)</f>
        <v>19.523599999999998</v>
      </c>
      <c r="K591" s="66">
        <f>19.5285 * CHOOSE(CONTROL!$C$23, $C$12, 100%, $E$12)</f>
        <v>19.528500000000001</v>
      </c>
      <c r="L591" s="66">
        <f>10.5115 * CHOOSE(CONTROL!$C$23, $C$12, 100%, $E$12)</f>
        <v>10.5115</v>
      </c>
      <c r="M591" s="66">
        <f>10.5164 * CHOOSE(CONTROL!$C$23, $C$12, 100%, $E$12)</f>
        <v>10.516400000000001</v>
      </c>
      <c r="N591" s="66">
        <f>10.5115 * CHOOSE(CONTROL!$C$23, $C$12, 100%, $E$12)</f>
        <v>10.5115</v>
      </c>
      <c r="O591" s="66">
        <f>10.5164 * CHOOSE(CONTROL!$C$23, $C$12, 100%, $E$12)</f>
        <v>10.516400000000001</v>
      </c>
    </row>
    <row r="592" spans="1:15" ht="15">
      <c r="A592" s="13">
        <v>59172</v>
      </c>
      <c r="B592" s="65">
        <f>9.1318 * CHOOSE(CONTROL!$C$23, $C$12, 100%, $E$12)</f>
        <v>9.1318000000000001</v>
      </c>
      <c r="C592" s="65">
        <f>9.1318 * CHOOSE(CONTROL!$C$23, $C$12, 100%, $E$12)</f>
        <v>9.1318000000000001</v>
      </c>
      <c r="D592" s="65">
        <f>9.1357 * CHOOSE(CONTROL!$C$23, $C$12, 100%, $E$12)</f>
        <v>9.1356999999999999</v>
      </c>
      <c r="E592" s="66">
        <f>10.6637 * CHOOSE(CONTROL!$C$23, $C$12, 100%, $E$12)</f>
        <v>10.6637</v>
      </c>
      <c r="F592" s="66">
        <f>10.6637 * CHOOSE(CONTROL!$C$23, $C$12, 100%, $E$12)</f>
        <v>10.6637</v>
      </c>
      <c r="G592" s="66">
        <f>10.6687 * CHOOSE(CONTROL!$C$23, $C$12, 100%, $E$12)</f>
        <v>10.668699999999999</v>
      </c>
      <c r="H592" s="66">
        <f>19.5643* CHOOSE(CONTROL!$C$23, $C$12, 100%, $E$12)</f>
        <v>19.564299999999999</v>
      </c>
      <c r="I592" s="66">
        <f>19.5692 * CHOOSE(CONTROL!$C$23, $C$12, 100%, $E$12)</f>
        <v>19.569199999999999</v>
      </c>
      <c r="J592" s="66">
        <f>19.5643 * CHOOSE(CONTROL!$C$23, $C$12, 100%, $E$12)</f>
        <v>19.564299999999999</v>
      </c>
      <c r="K592" s="66">
        <f>19.5692 * CHOOSE(CONTROL!$C$23, $C$12, 100%, $E$12)</f>
        <v>19.569199999999999</v>
      </c>
      <c r="L592" s="66">
        <f>10.6637 * CHOOSE(CONTROL!$C$23, $C$12, 100%, $E$12)</f>
        <v>10.6637</v>
      </c>
      <c r="M592" s="66">
        <f>10.6687 * CHOOSE(CONTROL!$C$23, $C$12, 100%, $E$12)</f>
        <v>10.668699999999999</v>
      </c>
      <c r="N592" s="66">
        <f>10.6637 * CHOOSE(CONTROL!$C$23, $C$12, 100%, $E$12)</f>
        <v>10.6637</v>
      </c>
      <c r="O592" s="66">
        <f>10.6687 * CHOOSE(CONTROL!$C$23, $C$12, 100%, $E$12)</f>
        <v>10.668699999999999</v>
      </c>
    </row>
    <row r="593" spans="1:15" ht="15">
      <c r="A593" s="13">
        <v>59203</v>
      </c>
      <c r="B593" s="65">
        <f>9.1287 * CHOOSE(CONTROL!$C$23, $C$12, 100%, $E$12)</f>
        <v>9.1287000000000003</v>
      </c>
      <c r="C593" s="65">
        <f>9.1287 * CHOOSE(CONTROL!$C$23, $C$12, 100%, $E$12)</f>
        <v>9.1287000000000003</v>
      </c>
      <c r="D593" s="65">
        <f>9.1327 * CHOOSE(CONTROL!$C$23, $C$12, 100%, $E$12)</f>
        <v>9.1326999999999998</v>
      </c>
      <c r="E593" s="66">
        <f>10.4807 * CHOOSE(CONTROL!$C$23, $C$12, 100%, $E$12)</f>
        <v>10.480700000000001</v>
      </c>
      <c r="F593" s="66">
        <f>10.4807 * CHOOSE(CONTROL!$C$23, $C$12, 100%, $E$12)</f>
        <v>10.480700000000001</v>
      </c>
      <c r="G593" s="66">
        <f>10.4857 * CHOOSE(CONTROL!$C$23, $C$12, 100%, $E$12)</f>
        <v>10.4857</v>
      </c>
      <c r="H593" s="66">
        <f>19.605* CHOOSE(CONTROL!$C$23, $C$12, 100%, $E$12)</f>
        <v>19.605</v>
      </c>
      <c r="I593" s="66">
        <f>19.6099 * CHOOSE(CONTROL!$C$23, $C$12, 100%, $E$12)</f>
        <v>19.6099</v>
      </c>
      <c r="J593" s="66">
        <f>19.605 * CHOOSE(CONTROL!$C$23, $C$12, 100%, $E$12)</f>
        <v>19.605</v>
      </c>
      <c r="K593" s="66">
        <f>19.6099 * CHOOSE(CONTROL!$C$23, $C$12, 100%, $E$12)</f>
        <v>19.6099</v>
      </c>
      <c r="L593" s="66">
        <f>10.4807 * CHOOSE(CONTROL!$C$23, $C$12, 100%, $E$12)</f>
        <v>10.480700000000001</v>
      </c>
      <c r="M593" s="66">
        <f>10.4857 * CHOOSE(CONTROL!$C$23, $C$12, 100%, $E$12)</f>
        <v>10.4857</v>
      </c>
      <c r="N593" s="66">
        <f>10.4807 * CHOOSE(CONTROL!$C$23, $C$12, 100%, $E$12)</f>
        <v>10.480700000000001</v>
      </c>
      <c r="O593" s="66">
        <f>10.4857 * CHOOSE(CONTROL!$C$23, $C$12, 100%, $E$12)</f>
        <v>10.4857</v>
      </c>
    </row>
    <row r="594" spans="1:15" ht="15">
      <c r="A594" s="13">
        <v>59231</v>
      </c>
      <c r="B594" s="65">
        <f>9.1257 * CHOOSE(CONTROL!$C$23, $C$12, 100%, $E$12)</f>
        <v>9.1257000000000001</v>
      </c>
      <c r="C594" s="65">
        <f>9.1257 * CHOOSE(CONTROL!$C$23, $C$12, 100%, $E$12)</f>
        <v>9.1257000000000001</v>
      </c>
      <c r="D594" s="65">
        <f>9.1297 * CHOOSE(CONTROL!$C$23, $C$12, 100%, $E$12)</f>
        <v>9.1296999999999997</v>
      </c>
      <c r="E594" s="66">
        <f>10.6212 * CHOOSE(CONTROL!$C$23, $C$12, 100%, $E$12)</f>
        <v>10.6212</v>
      </c>
      <c r="F594" s="66">
        <f>10.6212 * CHOOSE(CONTROL!$C$23, $C$12, 100%, $E$12)</f>
        <v>10.6212</v>
      </c>
      <c r="G594" s="66">
        <f>10.6261 * CHOOSE(CONTROL!$C$23, $C$12, 100%, $E$12)</f>
        <v>10.626099999999999</v>
      </c>
      <c r="H594" s="66">
        <f>19.6459* CHOOSE(CONTROL!$C$23, $C$12, 100%, $E$12)</f>
        <v>19.645900000000001</v>
      </c>
      <c r="I594" s="66">
        <f>19.6508 * CHOOSE(CONTROL!$C$23, $C$12, 100%, $E$12)</f>
        <v>19.6508</v>
      </c>
      <c r="J594" s="66">
        <f>19.6459 * CHOOSE(CONTROL!$C$23, $C$12, 100%, $E$12)</f>
        <v>19.645900000000001</v>
      </c>
      <c r="K594" s="66">
        <f>19.6508 * CHOOSE(CONTROL!$C$23, $C$12, 100%, $E$12)</f>
        <v>19.6508</v>
      </c>
      <c r="L594" s="66">
        <f>10.6212 * CHOOSE(CONTROL!$C$23, $C$12, 100%, $E$12)</f>
        <v>10.6212</v>
      </c>
      <c r="M594" s="66">
        <f>10.6261 * CHOOSE(CONTROL!$C$23, $C$12, 100%, $E$12)</f>
        <v>10.626099999999999</v>
      </c>
      <c r="N594" s="66">
        <f>10.6212 * CHOOSE(CONTROL!$C$23, $C$12, 100%, $E$12)</f>
        <v>10.6212</v>
      </c>
      <c r="O594" s="66">
        <f>10.6261 * CHOOSE(CONTROL!$C$23, $C$12, 100%, $E$12)</f>
        <v>10.626099999999999</v>
      </c>
    </row>
    <row r="595" spans="1:15" ht="15">
      <c r="A595" s="13">
        <v>59262</v>
      </c>
      <c r="B595" s="65">
        <f>9.1277 * CHOOSE(CONTROL!$C$23, $C$12, 100%, $E$12)</f>
        <v>9.1277000000000008</v>
      </c>
      <c r="C595" s="65">
        <f>9.1277 * CHOOSE(CONTROL!$C$23, $C$12, 100%, $E$12)</f>
        <v>9.1277000000000008</v>
      </c>
      <c r="D595" s="65">
        <f>9.1317 * CHOOSE(CONTROL!$C$23, $C$12, 100%, $E$12)</f>
        <v>9.1317000000000004</v>
      </c>
      <c r="E595" s="66">
        <f>10.7701 * CHOOSE(CONTROL!$C$23, $C$12, 100%, $E$12)</f>
        <v>10.770099999999999</v>
      </c>
      <c r="F595" s="66">
        <f>10.7701 * CHOOSE(CONTROL!$C$23, $C$12, 100%, $E$12)</f>
        <v>10.770099999999999</v>
      </c>
      <c r="G595" s="66">
        <f>10.7751 * CHOOSE(CONTROL!$C$23, $C$12, 100%, $E$12)</f>
        <v>10.7751</v>
      </c>
      <c r="H595" s="66">
        <f>19.6868* CHOOSE(CONTROL!$C$23, $C$12, 100%, $E$12)</f>
        <v>19.686800000000002</v>
      </c>
      <c r="I595" s="66">
        <f>19.6917 * CHOOSE(CONTROL!$C$23, $C$12, 100%, $E$12)</f>
        <v>19.691700000000001</v>
      </c>
      <c r="J595" s="66">
        <f>19.6868 * CHOOSE(CONTROL!$C$23, $C$12, 100%, $E$12)</f>
        <v>19.686800000000002</v>
      </c>
      <c r="K595" s="66">
        <f>19.6917 * CHOOSE(CONTROL!$C$23, $C$12, 100%, $E$12)</f>
        <v>19.691700000000001</v>
      </c>
      <c r="L595" s="66">
        <f>10.7701 * CHOOSE(CONTROL!$C$23, $C$12, 100%, $E$12)</f>
        <v>10.770099999999999</v>
      </c>
      <c r="M595" s="66">
        <f>10.7751 * CHOOSE(CONTROL!$C$23, $C$12, 100%, $E$12)</f>
        <v>10.7751</v>
      </c>
      <c r="N595" s="66">
        <f>10.7701 * CHOOSE(CONTROL!$C$23, $C$12, 100%, $E$12)</f>
        <v>10.770099999999999</v>
      </c>
      <c r="O595" s="66">
        <f>10.7751 * CHOOSE(CONTROL!$C$23, $C$12, 100%, $E$12)</f>
        <v>10.7751</v>
      </c>
    </row>
    <row r="596" spans="1:15" ht="15">
      <c r="A596" s="13">
        <v>59292</v>
      </c>
      <c r="B596" s="65">
        <f>9.1277 * CHOOSE(CONTROL!$C$23, $C$12, 100%, $E$12)</f>
        <v>9.1277000000000008</v>
      </c>
      <c r="C596" s="65">
        <f>9.1277 * CHOOSE(CONTROL!$C$23, $C$12, 100%, $E$12)</f>
        <v>9.1277000000000008</v>
      </c>
      <c r="D596" s="65">
        <f>9.1333 * CHOOSE(CONTROL!$C$23, $C$12, 100%, $E$12)</f>
        <v>9.1333000000000002</v>
      </c>
      <c r="E596" s="66">
        <f>10.8276 * CHOOSE(CONTROL!$C$23, $C$12, 100%, $E$12)</f>
        <v>10.8276</v>
      </c>
      <c r="F596" s="66">
        <f>10.8276 * CHOOSE(CONTROL!$C$23, $C$12, 100%, $E$12)</f>
        <v>10.8276</v>
      </c>
      <c r="G596" s="66">
        <f>10.8345 * CHOOSE(CONTROL!$C$23, $C$12, 100%, $E$12)</f>
        <v>10.8345</v>
      </c>
      <c r="H596" s="66">
        <f>19.7278* CHOOSE(CONTROL!$C$23, $C$12, 100%, $E$12)</f>
        <v>19.727799999999998</v>
      </c>
      <c r="I596" s="66">
        <f>19.7347 * CHOOSE(CONTROL!$C$23, $C$12, 100%, $E$12)</f>
        <v>19.7347</v>
      </c>
      <c r="J596" s="66">
        <f>19.7278 * CHOOSE(CONTROL!$C$23, $C$12, 100%, $E$12)</f>
        <v>19.727799999999998</v>
      </c>
      <c r="K596" s="66">
        <f>19.7347 * CHOOSE(CONTROL!$C$23, $C$12, 100%, $E$12)</f>
        <v>19.7347</v>
      </c>
      <c r="L596" s="66">
        <f>10.8276 * CHOOSE(CONTROL!$C$23, $C$12, 100%, $E$12)</f>
        <v>10.8276</v>
      </c>
      <c r="M596" s="66">
        <f>10.8345 * CHOOSE(CONTROL!$C$23, $C$12, 100%, $E$12)</f>
        <v>10.8345</v>
      </c>
      <c r="N596" s="66">
        <f>10.8276 * CHOOSE(CONTROL!$C$23, $C$12, 100%, $E$12)</f>
        <v>10.8276</v>
      </c>
      <c r="O596" s="66">
        <f>10.8345 * CHOOSE(CONTROL!$C$23, $C$12, 100%, $E$12)</f>
        <v>10.8345</v>
      </c>
    </row>
    <row r="597" spans="1:15" ht="15">
      <c r="A597" s="13">
        <v>59323</v>
      </c>
      <c r="B597" s="65">
        <f>9.1337 * CHOOSE(CONTROL!$C$23, $C$12, 100%, $E$12)</f>
        <v>9.1336999999999993</v>
      </c>
      <c r="C597" s="65">
        <f>9.1337 * CHOOSE(CONTROL!$C$23, $C$12, 100%, $E$12)</f>
        <v>9.1336999999999993</v>
      </c>
      <c r="D597" s="65">
        <f>9.1394 * CHOOSE(CONTROL!$C$23, $C$12, 100%, $E$12)</f>
        <v>9.1394000000000002</v>
      </c>
      <c r="E597" s="66">
        <f>10.7744 * CHOOSE(CONTROL!$C$23, $C$12, 100%, $E$12)</f>
        <v>10.7744</v>
      </c>
      <c r="F597" s="66">
        <f>10.7744 * CHOOSE(CONTROL!$C$23, $C$12, 100%, $E$12)</f>
        <v>10.7744</v>
      </c>
      <c r="G597" s="66">
        <f>10.7813 * CHOOSE(CONTROL!$C$23, $C$12, 100%, $E$12)</f>
        <v>10.7813</v>
      </c>
      <c r="H597" s="66">
        <f>19.7689* CHOOSE(CONTROL!$C$23, $C$12, 100%, $E$12)</f>
        <v>19.768899999999999</v>
      </c>
      <c r="I597" s="66">
        <f>19.7758 * CHOOSE(CONTROL!$C$23, $C$12, 100%, $E$12)</f>
        <v>19.7758</v>
      </c>
      <c r="J597" s="66">
        <f>19.7689 * CHOOSE(CONTROL!$C$23, $C$12, 100%, $E$12)</f>
        <v>19.768899999999999</v>
      </c>
      <c r="K597" s="66">
        <f>19.7758 * CHOOSE(CONTROL!$C$23, $C$12, 100%, $E$12)</f>
        <v>19.7758</v>
      </c>
      <c r="L597" s="66">
        <f>10.7744 * CHOOSE(CONTROL!$C$23, $C$12, 100%, $E$12)</f>
        <v>10.7744</v>
      </c>
      <c r="M597" s="66">
        <f>10.7813 * CHOOSE(CONTROL!$C$23, $C$12, 100%, $E$12)</f>
        <v>10.7813</v>
      </c>
      <c r="N597" s="66">
        <f>10.7744 * CHOOSE(CONTROL!$C$23, $C$12, 100%, $E$12)</f>
        <v>10.7744</v>
      </c>
      <c r="O597" s="66">
        <f>10.7813 * CHOOSE(CONTROL!$C$23, $C$12, 100%, $E$12)</f>
        <v>10.7813</v>
      </c>
    </row>
    <row r="598" spans="1:15" ht="15">
      <c r="A598" s="13">
        <v>59353</v>
      </c>
      <c r="B598" s="65">
        <f>9.2757 * CHOOSE(CONTROL!$C$23, $C$12, 100%, $E$12)</f>
        <v>9.2757000000000005</v>
      </c>
      <c r="C598" s="65">
        <f>9.2757 * CHOOSE(CONTROL!$C$23, $C$12, 100%, $E$12)</f>
        <v>9.2757000000000005</v>
      </c>
      <c r="D598" s="65">
        <f>9.2813 * CHOOSE(CONTROL!$C$23, $C$12, 100%, $E$12)</f>
        <v>9.2812999999999999</v>
      </c>
      <c r="E598" s="66">
        <f>10.9496 * CHOOSE(CONTROL!$C$23, $C$12, 100%, $E$12)</f>
        <v>10.9496</v>
      </c>
      <c r="F598" s="66">
        <f>10.9496 * CHOOSE(CONTROL!$C$23, $C$12, 100%, $E$12)</f>
        <v>10.9496</v>
      </c>
      <c r="G598" s="66">
        <f>10.9565 * CHOOSE(CONTROL!$C$23, $C$12, 100%, $E$12)</f>
        <v>10.9565</v>
      </c>
      <c r="H598" s="66">
        <f>19.8101* CHOOSE(CONTROL!$C$23, $C$12, 100%, $E$12)</f>
        <v>19.810099999999998</v>
      </c>
      <c r="I598" s="66">
        <f>19.817 * CHOOSE(CONTROL!$C$23, $C$12, 100%, $E$12)</f>
        <v>19.817</v>
      </c>
      <c r="J598" s="66">
        <f>19.8101 * CHOOSE(CONTROL!$C$23, $C$12, 100%, $E$12)</f>
        <v>19.810099999999998</v>
      </c>
      <c r="K598" s="66">
        <f>19.817 * CHOOSE(CONTROL!$C$23, $C$12, 100%, $E$12)</f>
        <v>19.817</v>
      </c>
      <c r="L598" s="66">
        <f>10.9496 * CHOOSE(CONTROL!$C$23, $C$12, 100%, $E$12)</f>
        <v>10.9496</v>
      </c>
      <c r="M598" s="66">
        <f>10.9565 * CHOOSE(CONTROL!$C$23, $C$12, 100%, $E$12)</f>
        <v>10.9565</v>
      </c>
      <c r="N598" s="66">
        <f>10.9496 * CHOOSE(CONTROL!$C$23, $C$12, 100%, $E$12)</f>
        <v>10.9496</v>
      </c>
      <c r="O598" s="66">
        <f>10.9565 * CHOOSE(CONTROL!$C$23, $C$12, 100%, $E$12)</f>
        <v>10.9565</v>
      </c>
    </row>
    <row r="599" spans="1:15" ht="15">
      <c r="A599" s="13">
        <v>59384</v>
      </c>
      <c r="B599" s="65">
        <f>9.2823 * CHOOSE(CONTROL!$C$23, $C$12, 100%, $E$12)</f>
        <v>9.2822999999999993</v>
      </c>
      <c r="C599" s="65">
        <f>9.2823 * CHOOSE(CONTROL!$C$23, $C$12, 100%, $E$12)</f>
        <v>9.2822999999999993</v>
      </c>
      <c r="D599" s="65">
        <f>9.288 * CHOOSE(CONTROL!$C$23, $C$12, 100%, $E$12)</f>
        <v>9.2880000000000003</v>
      </c>
      <c r="E599" s="66">
        <f>10.782 * CHOOSE(CONTROL!$C$23, $C$12, 100%, $E$12)</f>
        <v>10.782</v>
      </c>
      <c r="F599" s="66">
        <f>10.782 * CHOOSE(CONTROL!$C$23, $C$12, 100%, $E$12)</f>
        <v>10.782</v>
      </c>
      <c r="G599" s="66">
        <f>10.7889 * CHOOSE(CONTROL!$C$23, $C$12, 100%, $E$12)</f>
        <v>10.7889</v>
      </c>
      <c r="H599" s="66">
        <f>19.8514* CHOOSE(CONTROL!$C$23, $C$12, 100%, $E$12)</f>
        <v>19.851400000000002</v>
      </c>
      <c r="I599" s="66">
        <f>19.8582 * CHOOSE(CONTROL!$C$23, $C$12, 100%, $E$12)</f>
        <v>19.8582</v>
      </c>
      <c r="J599" s="66">
        <f>19.8514 * CHOOSE(CONTROL!$C$23, $C$12, 100%, $E$12)</f>
        <v>19.851400000000002</v>
      </c>
      <c r="K599" s="66">
        <f>19.8582 * CHOOSE(CONTROL!$C$23, $C$12, 100%, $E$12)</f>
        <v>19.8582</v>
      </c>
      <c r="L599" s="66">
        <f>10.782 * CHOOSE(CONTROL!$C$23, $C$12, 100%, $E$12)</f>
        <v>10.782</v>
      </c>
      <c r="M599" s="66">
        <f>10.7889 * CHOOSE(CONTROL!$C$23, $C$12, 100%, $E$12)</f>
        <v>10.7889</v>
      </c>
      <c r="N599" s="66">
        <f>10.782 * CHOOSE(CONTROL!$C$23, $C$12, 100%, $E$12)</f>
        <v>10.782</v>
      </c>
      <c r="O599" s="66">
        <f>10.7889 * CHOOSE(CONTROL!$C$23, $C$12, 100%, $E$12)</f>
        <v>10.7889</v>
      </c>
    </row>
    <row r="600" spans="1:15" ht="15">
      <c r="A600" s="13">
        <v>59415</v>
      </c>
      <c r="B600" s="65">
        <f>9.2793 * CHOOSE(CONTROL!$C$23, $C$12, 100%, $E$12)</f>
        <v>9.2792999999999992</v>
      </c>
      <c r="C600" s="65">
        <f>9.2793 * CHOOSE(CONTROL!$C$23, $C$12, 100%, $E$12)</f>
        <v>9.2792999999999992</v>
      </c>
      <c r="D600" s="65">
        <f>9.2849 * CHOOSE(CONTROL!$C$23, $C$12, 100%, $E$12)</f>
        <v>9.2849000000000004</v>
      </c>
      <c r="E600" s="66">
        <f>10.7607 * CHOOSE(CONTROL!$C$23, $C$12, 100%, $E$12)</f>
        <v>10.7607</v>
      </c>
      <c r="F600" s="66">
        <f>10.7607 * CHOOSE(CONTROL!$C$23, $C$12, 100%, $E$12)</f>
        <v>10.7607</v>
      </c>
      <c r="G600" s="66">
        <f>10.7676 * CHOOSE(CONTROL!$C$23, $C$12, 100%, $E$12)</f>
        <v>10.7676</v>
      </c>
      <c r="H600" s="66">
        <f>19.8927* CHOOSE(CONTROL!$C$23, $C$12, 100%, $E$12)</f>
        <v>19.892700000000001</v>
      </c>
      <c r="I600" s="66">
        <f>19.8996 * CHOOSE(CONTROL!$C$23, $C$12, 100%, $E$12)</f>
        <v>19.8996</v>
      </c>
      <c r="J600" s="66">
        <f>19.8927 * CHOOSE(CONTROL!$C$23, $C$12, 100%, $E$12)</f>
        <v>19.892700000000001</v>
      </c>
      <c r="K600" s="66">
        <f>19.8996 * CHOOSE(CONTROL!$C$23, $C$12, 100%, $E$12)</f>
        <v>19.8996</v>
      </c>
      <c r="L600" s="66">
        <f>10.7607 * CHOOSE(CONTROL!$C$23, $C$12, 100%, $E$12)</f>
        <v>10.7607</v>
      </c>
      <c r="M600" s="66">
        <f>10.7676 * CHOOSE(CONTROL!$C$23, $C$12, 100%, $E$12)</f>
        <v>10.7676</v>
      </c>
      <c r="N600" s="66">
        <f>10.7607 * CHOOSE(CONTROL!$C$23, $C$12, 100%, $E$12)</f>
        <v>10.7607</v>
      </c>
      <c r="O600" s="66">
        <f>10.7676 * CHOOSE(CONTROL!$C$23, $C$12, 100%, $E$12)</f>
        <v>10.7676</v>
      </c>
    </row>
    <row r="601" spans="1:15" ht="15">
      <c r="A601" s="13">
        <v>59445</v>
      </c>
      <c r="B601" s="65">
        <f>9.2916 * CHOOSE(CONTROL!$C$23, $C$12, 100%, $E$12)</f>
        <v>9.2916000000000007</v>
      </c>
      <c r="C601" s="65">
        <f>9.2916 * CHOOSE(CONTROL!$C$23, $C$12, 100%, $E$12)</f>
        <v>9.2916000000000007</v>
      </c>
      <c r="D601" s="65">
        <f>9.2956 * CHOOSE(CONTROL!$C$23, $C$12, 100%, $E$12)</f>
        <v>9.2956000000000003</v>
      </c>
      <c r="E601" s="66">
        <f>10.8239 * CHOOSE(CONTROL!$C$23, $C$12, 100%, $E$12)</f>
        <v>10.8239</v>
      </c>
      <c r="F601" s="66">
        <f>10.8239 * CHOOSE(CONTROL!$C$23, $C$12, 100%, $E$12)</f>
        <v>10.8239</v>
      </c>
      <c r="G601" s="66">
        <f>10.8288 * CHOOSE(CONTROL!$C$23, $C$12, 100%, $E$12)</f>
        <v>10.828799999999999</v>
      </c>
      <c r="H601" s="66">
        <f>19.9342* CHOOSE(CONTROL!$C$23, $C$12, 100%, $E$12)</f>
        <v>19.934200000000001</v>
      </c>
      <c r="I601" s="66">
        <f>19.9391 * CHOOSE(CONTROL!$C$23, $C$12, 100%, $E$12)</f>
        <v>19.9391</v>
      </c>
      <c r="J601" s="66">
        <f>19.9342 * CHOOSE(CONTROL!$C$23, $C$12, 100%, $E$12)</f>
        <v>19.934200000000001</v>
      </c>
      <c r="K601" s="66">
        <f>19.9391 * CHOOSE(CONTROL!$C$23, $C$12, 100%, $E$12)</f>
        <v>19.9391</v>
      </c>
      <c r="L601" s="66">
        <f>10.8239 * CHOOSE(CONTROL!$C$23, $C$12, 100%, $E$12)</f>
        <v>10.8239</v>
      </c>
      <c r="M601" s="66">
        <f>10.8288 * CHOOSE(CONTROL!$C$23, $C$12, 100%, $E$12)</f>
        <v>10.828799999999999</v>
      </c>
      <c r="N601" s="66">
        <f>10.8239 * CHOOSE(CONTROL!$C$23, $C$12, 100%, $E$12)</f>
        <v>10.8239</v>
      </c>
      <c r="O601" s="66">
        <f>10.8288 * CHOOSE(CONTROL!$C$23, $C$12, 100%, $E$12)</f>
        <v>10.828799999999999</v>
      </c>
    </row>
    <row r="602" spans="1:15" ht="15">
      <c r="A602" s="13">
        <v>59476</v>
      </c>
      <c r="B602" s="65">
        <f>9.2946 * CHOOSE(CONTROL!$C$23, $C$12, 100%, $E$12)</f>
        <v>9.2946000000000009</v>
      </c>
      <c r="C602" s="65">
        <f>9.2946 * CHOOSE(CONTROL!$C$23, $C$12, 100%, $E$12)</f>
        <v>9.2946000000000009</v>
      </c>
      <c r="D602" s="65">
        <f>9.2986 * CHOOSE(CONTROL!$C$23, $C$12, 100%, $E$12)</f>
        <v>9.2986000000000004</v>
      </c>
      <c r="E602" s="66">
        <f>10.8643 * CHOOSE(CONTROL!$C$23, $C$12, 100%, $E$12)</f>
        <v>10.8643</v>
      </c>
      <c r="F602" s="66">
        <f>10.8643 * CHOOSE(CONTROL!$C$23, $C$12, 100%, $E$12)</f>
        <v>10.8643</v>
      </c>
      <c r="G602" s="66">
        <f>10.8692 * CHOOSE(CONTROL!$C$23, $C$12, 100%, $E$12)</f>
        <v>10.869199999999999</v>
      </c>
      <c r="H602" s="66">
        <f>19.9757* CHOOSE(CONTROL!$C$23, $C$12, 100%, $E$12)</f>
        <v>19.9757</v>
      </c>
      <c r="I602" s="66">
        <f>19.9806 * CHOOSE(CONTROL!$C$23, $C$12, 100%, $E$12)</f>
        <v>19.980599999999999</v>
      </c>
      <c r="J602" s="66">
        <f>19.9757 * CHOOSE(CONTROL!$C$23, $C$12, 100%, $E$12)</f>
        <v>19.9757</v>
      </c>
      <c r="K602" s="66">
        <f>19.9806 * CHOOSE(CONTROL!$C$23, $C$12, 100%, $E$12)</f>
        <v>19.980599999999999</v>
      </c>
      <c r="L602" s="66">
        <f>10.8643 * CHOOSE(CONTROL!$C$23, $C$12, 100%, $E$12)</f>
        <v>10.8643</v>
      </c>
      <c r="M602" s="66">
        <f>10.8692 * CHOOSE(CONTROL!$C$23, $C$12, 100%, $E$12)</f>
        <v>10.869199999999999</v>
      </c>
      <c r="N602" s="66">
        <f>10.8643 * CHOOSE(CONTROL!$C$23, $C$12, 100%, $E$12)</f>
        <v>10.8643</v>
      </c>
      <c r="O602" s="66">
        <f>10.8692 * CHOOSE(CONTROL!$C$23, $C$12, 100%, $E$12)</f>
        <v>10.869199999999999</v>
      </c>
    </row>
    <row r="603" spans="1:15" ht="15">
      <c r="A603" s="13">
        <v>59506</v>
      </c>
      <c r="B603" s="65">
        <f>9.2946 * CHOOSE(CONTROL!$C$23, $C$12, 100%, $E$12)</f>
        <v>9.2946000000000009</v>
      </c>
      <c r="C603" s="65">
        <f>9.2946 * CHOOSE(CONTROL!$C$23, $C$12, 100%, $E$12)</f>
        <v>9.2946000000000009</v>
      </c>
      <c r="D603" s="65">
        <f>9.2986 * CHOOSE(CONTROL!$C$23, $C$12, 100%, $E$12)</f>
        <v>9.2986000000000004</v>
      </c>
      <c r="E603" s="66">
        <f>10.7686 * CHOOSE(CONTROL!$C$23, $C$12, 100%, $E$12)</f>
        <v>10.768599999999999</v>
      </c>
      <c r="F603" s="66">
        <f>10.7686 * CHOOSE(CONTROL!$C$23, $C$12, 100%, $E$12)</f>
        <v>10.768599999999999</v>
      </c>
      <c r="G603" s="66">
        <f>10.7735 * CHOOSE(CONTROL!$C$23, $C$12, 100%, $E$12)</f>
        <v>10.7735</v>
      </c>
      <c r="H603" s="66">
        <f>20.0173* CHOOSE(CONTROL!$C$23, $C$12, 100%, $E$12)</f>
        <v>20.017299999999999</v>
      </c>
      <c r="I603" s="66">
        <f>20.0222 * CHOOSE(CONTROL!$C$23, $C$12, 100%, $E$12)</f>
        <v>20.022200000000002</v>
      </c>
      <c r="J603" s="66">
        <f>20.0173 * CHOOSE(CONTROL!$C$23, $C$12, 100%, $E$12)</f>
        <v>20.017299999999999</v>
      </c>
      <c r="K603" s="66">
        <f>20.0222 * CHOOSE(CONTROL!$C$23, $C$12, 100%, $E$12)</f>
        <v>20.022200000000002</v>
      </c>
      <c r="L603" s="66">
        <f>10.7686 * CHOOSE(CONTROL!$C$23, $C$12, 100%, $E$12)</f>
        <v>10.768599999999999</v>
      </c>
      <c r="M603" s="66">
        <f>10.7735 * CHOOSE(CONTROL!$C$23, $C$12, 100%, $E$12)</f>
        <v>10.7735</v>
      </c>
      <c r="N603" s="66">
        <f>10.7686 * CHOOSE(CONTROL!$C$23, $C$12, 100%, $E$12)</f>
        <v>10.768599999999999</v>
      </c>
      <c r="O603" s="66">
        <f>10.7735 * CHOOSE(CONTROL!$C$23, $C$12, 100%, $E$12)</f>
        <v>10.7735</v>
      </c>
    </row>
    <row r="604" spans="1:15" ht="15">
      <c r="A604" s="13">
        <v>59537</v>
      </c>
      <c r="B604" s="65">
        <f>9.3673 * CHOOSE(CONTROL!$C$23, $C$12, 100%, $E$12)</f>
        <v>9.3673000000000002</v>
      </c>
      <c r="C604" s="65">
        <f>9.3673 * CHOOSE(CONTROL!$C$23, $C$12, 100%, $E$12)</f>
        <v>9.3673000000000002</v>
      </c>
      <c r="D604" s="65">
        <f>9.3713 * CHOOSE(CONTROL!$C$23, $C$12, 100%, $E$12)</f>
        <v>9.3712999999999997</v>
      </c>
      <c r="E604" s="66">
        <f>10.9185 * CHOOSE(CONTROL!$C$23, $C$12, 100%, $E$12)</f>
        <v>10.9185</v>
      </c>
      <c r="F604" s="66">
        <f>10.9185 * CHOOSE(CONTROL!$C$23, $C$12, 100%, $E$12)</f>
        <v>10.9185</v>
      </c>
      <c r="G604" s="66">
        <f>10.9234 * CHOOSE(CONTROL!$C$23, $C$12, 100%, $E$12)</f>
        <v>10.923400000000001</v>
      </c>
      <c r="H604" s="66">
        <f>20.0468* CHOOSE(CONTROL!$C$23, $C$12, 100%, $E$12)</f>
        <v>20.046800000000001</v>
      </c>
      <c r="I604" s="66">
        <f>20.0517 * CHOOSE(CONTROL!$C$23, $C$12, 100%, $E$12)</f>
        <v>20.0517</v>
      </c>
      <c r="J604" s="66">
        <f>20.0468 * CHOOSE(CONTROL!$C$23, $C$12, 100%, $E$12)</f>
        <v>20.046800000000001</v>
      </c>
      <c r="K604" s="66">
        <f>20.0517 * CHOOSE(CONTROL!$C$23, $C$12, 100%, $E$12)</f>
        <v>20.0517</v>
      </c>
      <c r="L604" s="66">
        <f>10.9185 * CHOOSE(CONTROL!$C$23, $C$12, 100%, $E$12)</f>
        <v>10.9185</v>
      </c>
      <c r="M604" s="66">
        <f>10.9234 * CHOOSE(CONTROL!$C$23, $C$12, 100%, $E$12)</f>
        <v>10.923400000000001</v>
      </c>
      <c r="N604" s="66">
        <f>10.9185 * CHOOSE(CONTROL!$C$23, $C$12, 100%, $E$12)</f>
        <v>10.9185</v>
      </c>
      <c r="O604" s="66">
        <f>10.9234 * CHOOSE(CONTROL!$C$23, $C$12, 100%, $E$12)</f>
        <v>10.923400000000001</v>
      </c>
    </row>
    <row r="605" spans="1:15" ht="15">
      <c r="A605" s="13">
        <v>59568</v>
      </c>
      <c r="B605" s="65">
        <f>9.3643 * CHOOSE(CONTROL!$C$23, $C$12, 100%, $E$12)</f>
        <v>9.3643000000000001</v>
      </c>
      <c r="C605" s="65">
        <f>9.3643 * CHOOSE(CONTROL!$C$23, $C$12, 100%, $E$12)</f>
        <v>9.3643000000000001</v>
      </c>
      <c r="D605" s="65">
        <f>9.3683 * CHOOSE(CONTROL!$C$23, $C$12, 100%, $E$12)</f>
        <v>9.3682999999999996</v>
      </c>
      <c r="E605" s="66">
        <f>10.7305 * CHOOSE(CONTROL!$C$23, $C$12, 100%, $E$12)</f>
        <v>10.730499999999999</v>
      </c>
      <c r="F605" s="66">
        <f>10.7305 * CHOOSE(CONTROL!$C$23, $C$12, 100%, $E$12)</f>
        <v>10.730499999999999</v>
      </c>
      <c r="G605" s="66">
        <f>10.7354 * CHOOSE(CONTROL!$C$23, $C$12, 100%, $E$12)</f>
        <v>10.7354</v>
      </c>
      <c r="H605" s="66">
        <f>20.0886* CHOOSE(CONTROL!$C$23, $C$12, 100%, $E$12)</f>
        <v>20.0886</v>
      </c>
      <c r="I605" s="66">
        <f>20.0935 * CHOOSE(CONTROL!$C$23, $C$12, 100%, $E$12)</f>
        <v>20.093499999999999</v>
      </c>
      <c r="J605" s="66">
        <f>20.0886 * CHOOSE(CONTROL!$C$23, $C$12, 100%, $E$12)</f>
        <v>20.0886</v>
      </c>
      <c r="K605" s="66">
        <f>20.0935 * CHOOSE(CONTROL!$C$23, $C$12, 100%, $E$12)</f>
        <v>20.093499999999999</v>
      </c>
      <c r="L605" s="66">
        <f>10.7305 * CHOOSE(CONTROL!$C$23, $C$12, 100%, $E$12)</f>
        <v>10.730499999999999</v>
      </c>
      <c r="M605" s="66">
        <f>10.7354 * CHOOSE(CONTROL!$C$23, $C$12, 100%, $E$12)</f>
        <v>10.7354</v>
      </c>
      <c r="N605" s="66">
        <f>10.7305 * CHOOSE(CONTROL!$C$23, $C$12, 100%, $E$12)</f>
        <v>10.730499999999999</v>
      </c>
      <c r="O605" s="66">
        <f>10.7354 * CHOOSE(CONTROL!$C$23, $C$12, 100%, $E$12)</f>
        <v>10.7354</v>
      </c>
    </row>
    <row r="606" spans="1:15" ht="15">
      <c r="A606" s="13">
        <v>59596</v>
      </c>
      <c r="B606" s="65">
        <f>9.3612 * CHOOSE(CONTROL!$C$23, $C$12, 100%, $E$12)</f>
        <v>9.3612000000000002</v>
      </c>
      <c r="C606" s="65">
        <f>9.3612 * CHOOSE(CONTROL!$C$23, $C$12, 100%, $E$12)</f>
        <v>9.3612000000000002</v>
      </c>
      <c r="D606" s="65">
        <f>9.3652 * CHOOSE(CONTROL!$C$23, $C$12, 100%, $E$12)</f>
        <v>9.3651999999999997</v>
      </c>
      <c r="E606" s="66">
        <f>10.8749 * CHOOSE(CONTROL!$C$23, $C$12, 100%, $E$12)</f>
        <v>10.8749</v>
      </c>
      <c r="F606" s="66">
        <f>10.8749 * CHOOSE(CONTROL!$C$23, $C$12, 100%, $E$12)</f>
        <v>10.8749</v>
      </c>
      <c r="G606" s="66">
        <f>10.8798 * CHOOSE(CONTROL!$C$23, $C$12, 100%, $E$12)</f>
        <v>10.879799999999999</v>
      </c>
      <c r="H606" s="66">
        <f>20.1304* CHOOSE(CONTROL!$C$23, $C$12, 100%, $E$12)</f>
        <v>20.130400000000002</v>
      </c>
      <c r="I606" s="66">
        <f>20.1353 * CHOOSE(CONTROL!$C$23, $C$12, 100%, $E$12)</f>
        <v>20.135300000000001</v>
      </c>
      <c r="J606" s="66">
        <f>20.1304 * CHOOSE(CONTROL!$C$23, $C$12, 100%, $E$12)</f>
        <v>20.130400000000002</v>
      </c>
      <c r="K606" s="66">
        <f>20.1353 * CHOOSE(CONTROL!$C$23, $C$12, 100%, $E$12)</f>
        <v>20.135300000000001</v>
      </c>
      <c r="L606" s="66">
        <f>10.8749 * CHOOSE(CONTROL!$C$23, $C$12, 100%, $E$12)</f>
        <v>10.8749</v>
      </c>
      <c r="M606" s="66">
        <f>10.8798 * CHOOSE(CONTROL!$C$23, $C$12, 100%, $E$12)</f>
        <v>10.879799999999999</v>
      </c>
      <c r="N606" s="66">
        <f>10.8749 * CHOOSE(CONTROL!$C$23, $C$12, 100%, $E$12)</f>
        <v>10.8749</v>
      </c>
      <c r="O606" s="66">
        <f>10.8798 * CHOOSE(CONTROL!$C$23, $C$12, 100%, $E$12)</f>
        <v>10.879799999999999</v>
      </c>
    </row>
    <row r="607" spans="1:15" ht="15">
      <c r="A607" s="13">
        <v>59627</v>
      </c>
      <c r="B607" s="65">
        <f>9.3634 * CHOOSE(CONTROL!$C$23, $C$12, 100%, $E$12)</f>
        <v>9.3634000000000004</v>
      </c>
      <c r="C607" s="65">
        <f>9.3634 * CHOOSE(CONTROL!$C$23, $C$12, 100%, $E$12)</f>
        <v>9.3634000000000004</v>
      </c>
      <c r="D607" s="65">
        <f>9.3674 * CHOOSE(CONTROL!$C$23, $C$12, 100%, $E$12)</f>
        <v>9.3673999999999999</v>
      </c>
      <c r="E607" s="66">
        <f>11.028 * CHOOSE(CONTROL!$C$23, $C$12, 100%, $E$12)</f>
        <v>11.028</v>
      </c>
      <c r="F607" s="66">
        <f>11.028 * CHOOSE(CONTROL!$C$23, $C$12, 100%, $E$12)</f>
        <v>11.028</v>
      </c>
      <c r="G607" s="66">
        <f>11.0329 * CHOOSE(CONTROL!$C$23, $C$12, 100%, $E$12)</f>
        <v>11.0329</v>
      </c>
      <c r="H607" s="66">
        <f>20.1724* CHOOSE(CONTROL!$C$23, $C$12, 100%, $E$12)</f>
        <v>20.1724</v>
      </c>
      <c r="I607" s="66">
        <f>20.1773 * CHOOSE(CONTROL!$C$23, $C$12, 100%, $E$12)</f>
        <v>20.177299999999999</v>
      </c>
      <c r="J607" s="66">
        <f>20.1724 * CHOOSE(CONTROL!$C$23, $C$12, 100%, $E$12)</f>
        <v>20.1724</v>
      </c>
      <c r="K607" s="66">
        <f>20.1773 * CHOOSE(CONTROL!$C$23, $C$12, 100%, $E$12)</f>
        <v>20.177299999999999</v>
      </c>
      <c r="L607" s="66">
        <f>11.028 * CHOOSE(CONTROL!$C$23, $C$12, 100%, $E$12)</f>
        <v>11.028</v>
      </c>
      <c r="M607" s="66">
        <f>11.0329 * CHOOSE(CONTROL!$C$23, $C$12, 100%, $E$12)</f>
        <v>11.0329</v>
      </c>
      <c r="N607" s="66">
        <f>11.028 * CHOOSE(CONTROL!$C$23, $C$12, 100%, $E$12)</f>
        <v>11.028</v>
      </c>
      <c r="O607" s="66">
        <f>11.0329 * CHOOSE(CONTROL!$C$23, $C$12, 100%, $E$12)</f>
        <v>11.0329</v>
      </c>
    </row>
    <row r="608" spans="1:15" ht="15">
      <c r="A608" s="13">
        <v>59657</v>
      </c>
      <c r="B608" s="65">
        <f>9.3634 * CHOOSE(CONTROL!$C$23, $C$12, 100%, $E$12)</f>
        <v>9.3634000000000004</v>
      </c>
      <c r="C608" s="65">
        <f>9.3634 * CHOOSE(CONTROL!$C$23, $C$12, 100%, $E$12)</f>
        <v>9.3634000000000004</v>
      </c>
      <c r="D608" s="65">
        <f>9.3691 * CHOOSE(CONTROL!$C$23, $C$12, 100%, $E$12)</f>
        <v>9.3690999999999995</v>
      </c>
      <c r="E608" s="66">
        <f>11.087 * CHOOSE(CONTROL!$C$23, $C$12, 100%, $E$12)</f>
        <v>11.087</v>
      </c>
      <c r="F608" s="66">
        <f>11.087 * CHOOSE(CONTROL!$C$23, $C$12, 100%, $E$12)</f>
        <v>11.087</v>
      </c>
      <c r="G608" s="66">
        <f>11.0939 * CHOOSE(CONTROL!$C$23, $C$12, 100%, $E$12)</f>
        <v>11.0939</v>
      </c>
      <c r="H608" s="66">
        <f>20.2144* CHOOSE(CONTROL!$C$23, $C$12, 100%, $E$12)</f>
        <v>20.214400000000001</v>
      </c>
      <c r="I608" s="66">
        <f>20.2213 * CHOOSE(CONTROL!$C$23, $C$12, 100%, $E$12)</f>
        <v>20.221299999999999</v>
      </c>
      <c r="J608" s="66">
        <f>20.2144 * CHOOSE(CONTROL!$C$23, $C$12, 100%, $E$12)</f>
        <v>20.214400000000001</v>
      </c>
      <c r="K608" s="66">
        <f>20.2213 * CHOOSE(CONTROL!$C$23, $C$12, 100%, $E$12)</f>
        <v>20.221299999999999</v>
      </c>
      <c r="L608" s="66">
        <f>11.087 * CHOOSE(CONTROL!$C$23, $C$12, 100%, $E$12)</f>
        <v>11.087</v>
      </c>
      <c r="M608" s="66">
        <f>11.0939 * CHOOSE(CONTROL!$C$23, $C$12, 100%, $E$12)</f>
        <v>11.0939</v>
      </c>
      <c r="N608" s="66">
        <f>11.087 * CHOOSE(CONTROL!$C$23, $C$12, 100%, $E$12)</f>
        <v>11.087</v>
      </c>
      <c r="O608" s="66">
        <f>11.0939 * CHOOSE(CONTROL!$C$23, $C$12, 100%, $E$12)</f>
        <v>11.0939</v>
      </c>
    </row>
    <row r="609" spans="1:15" ht="15">
      <c r="A609" s="13">
        <v>59688</v>
      </c>
      <c r="B609" s="65">
        <f>9.3695 * CHOOSE(CONTROL!$C$23, $C$12, 100%, $E$12)</f>
        <v>9.3695000000000004</v>
      </c>
      <c r="C609" s="65">
        <f>9.3695 * CHOOSE(CONTROL!$C$23, $C$12, 100%, $E$12)</f>
        <v>9.3695000000000004</v>
      </c>
      <c r="D609" s="65">
        <f>9.3751 * CHOOSE(CONTROL!$C$23, $C$12, 100%, $E$12)</f>
        <v>9.3750999999999998</v>
      </c>
      <c r="E609" s="66">
        <f>11.0322 * CHOOSE(CONTROL!$C$23, $C$12, 100%, $E$12)</f>
        <v>11.0322</v>
      </c>
      <c r="F609" s="66">
        <f>11.0322 * CHOOSE(CONTROL!$C$23, $C$12, 100%, $E$12)</f>
        <v>11.0322</v>
      </c>
      <c r="G609" s="66">
        <f>11.0391 * CHOOSE(CONTROL!$C$23, $C$12, 100%, $E$12)</f>
        <v>11.039099999999999</v>
      </c>
      <c r="H609" s="66">
        <f>20.2565* CHOOSE(CONTROL!$C$23, $C$12, 100%, $E$12)</f>
        <v>20.256499999999999</v>
      </c>
      <c r="I609" s="66">
        <f>20.2634 * CHOOSE(CONTROL!$C$23, $C$12, 100%, $E$12)</f>
        <v>20.263400000000001</v>
      </c>
      <c r="J609" s="66">
        <f>20.2565 * CHOOSE(CONTROL!$C$23, $C$12, 100%, $E$12)</f>
        <v>20.256499999999999</v>
      </c>
      <c r="K609" s="66">
        <f>20.2634 * CHOOSE(CONTROL!$C$23, $C$12, 100%, $E$12)</f>
        <v>20.263400000000001</v>
      </c>
      <c r="L609" s="66">
        <f>11.0322 * CHOOSE(CONTROL!$C$23, $C$12, 100%, $E$12)</f>
        <v>11.0322</v>
      </c>
      <c r="M609" s="66">
        <f>11.0391 * CHOOSE(CONTROL!$C$23, $C$12, 100%, $E$12)</f>
        <v>11.039099999999999</v>
      </c>
      <c r="N609" s="66">
        <f>11.0322 * CHOOSE(CONTROL!$C$23, $C$12, 100%, $E$12)</f>
        <v>11.0322</v>
      </c>
      <c r="O609" s="66">
        <f>11.0391 * CHOOSE(CONTROL!$C$23, $C$12, 100%, $E$12)</f>
        <v>11.039099999999999</v>
      </c>
    </row>
    <row r="610" spans="1:15" ht="15">
      <c r="A610" s="13">
        <v>59718</v>
      </c>
      <c r="B610" s="65">
        <f>9.5148 * CHOOSE(CONTROL!$C$23, $C$12, 100%, $E$12)</f>
        <v>9.5147999999999993</v>
      </c>
      <c r="C610" s="65">
        <f>9.5148 * CHOOSE(CONTROL!$C$23, $C$12, 100%, $E$12)</f>
        <v>9.5147999999999993</v>
      </c>
      <c r="D610" s="65">
        <f>9.5205 * CHOOSE(CONTROL!$C$23, $C$12, 100%, $E$12)</f>
        <v>9.5205000000000002</v>
      </c>
      <c r="E610" s="66">
        <f>11.2114 * CHOOSE(CONTROL!$C$23, $C$12, 100%, $E$12)</f>
        <v>11.211399999999999</v>
      </c>
      <c r="F610" s="66">
        <f>11.2114 * CHOOSE(CONTROL!$C$23, $C$12, 100%, $E$12)</f>
        <v>11.211399999999999</v>
      </c>
      <c r="G610" s="66">
        <f>11.2183 * CHOOSE(CONTROL!$C$23, $C$12, 100%, $E$12)</f>
        <v>11.218299999999999</v>
      </c>
      <c r="H610" s="66">
        <f>20.2987* CHOOSE(CONTROL!$C$23, $C$12, 100%, $E$12)</f>
        <v>20.2987</v>
      </c>
      <c r="I610" s="66">
        <f>20.3056 * CHOOSE(CONTROL!$C$23, $C$12, 100%, $E$12)</f>
        <v>20.305599999999998</v>
      </c>
      <c r="J610" s="66">
        <f>20.2987 * CHOOSE(CONTROL!$C$23, $C$12, 100%, $E$12)</f>
        <v>20.2987</v>
      </c>
      <c r="K610" s="66">
        <f>20.3056 * CHOOSE(CONTROL!$C$23, $C$12, 100%, $E$12)</f>
        <v>20.305599999999998</v>
      </c>
      <c r="L610" s="66">
        <f>11.2114 * CHOOSE(CONTROL!$C$23, $C$12, 100%, $E$12)</f>
        <v>11.211399999999999</v>
      </c>
      <c r="M610" s="66">
        <f>11.2183 * CHOOSE(CONTROL!$C$23, $C$12, 100%, $E$12)</f>
        <v>11.218299999999999</v>
      </c>
      <c r="N610" s="66">
        <f>11.2114 * CHOOSE(CONTROL!$C$23, $C$12, 100%, $E$12)</f>
        <v>11.211399999999999</v>
      </c>
      <c r="O610" s="66">
        <f>11.2183 * CHOOSE(CONTROL!$C$23, $C$12, 100%, $E$12)</f>
        <v>11.218299999999999</v>
      </c>
    </row>
    <row r="611" spans="1:15" ht="15">
      <c r="A611" s="13">
        <v>59749</v>
      </c>
      <c r="B611" s="65">
        <f>9.5215 * CHOOSE(CONTROL!$C$23, $C$12, 100%, $E$12)</f>
        <v>9.5214999999999996</v>
      </c>
      <c r="C611" s="65">
        <f>9.5215 * CHOOSE(CONTROL!$C$23, $C$12, 100%, $E$12)</f>
        <v>9.5214999999999996</v>
      </c>
      <c r="D611" s="65">
        <f>9.5272 * CHOOSE(CONTROL!$C$23, $C$12, 100%, $E$12)</f>
        <v>9.5272000000000006</v>
      </c>
      <c r="E611" s="66">
        <f>11.0391 * CHOOSE(CONTROL!$C$23, $C$12, 100%, $E$12)</f>
        <v>11.039099999999999</v>
      </c>
      <c r="F611" s="66">
        <f>11.0391 * CHOOSE(CONTROL!$C$23, $C$12, 100%, $E$12)</f>
        <v>11.039099999999999</v>
      </c>
      <c r="G611" s="66">
        <f>11.046 * CHOOSE(CONTROL!$C$23, $C$12, 100%, $E$12)</f>
        <v>11.045999999999999</v>
      </c>
      <c r="H611" s="66">
        <f>20.341* CHOOSE(CONTROL!$C$23, $C$12, 100%, $E$12)</f>
        <v>20.341000000000001</v>
      </c>
      <c r="I611" s="66">
        <f>20.3479 * CHOOSE(CONTROL!$C$23, $C$12, 100%, $E$12)</f>
        <v>20.347899999999999</v>
      </c>
      <c r="J611" s="66">
        <f>20.341 * CHOOSE(CONTROL!$C$23, $C$12, 100%, $E$12)</f>
        <v>20.341000000000001</v>
      </c>
      <c r="K611" s="66">
        <f>20.3479 * CHOOSE(CONTROL!$C$23, $C$12, 100%, $E$12)</f>
        <v>20.347899999999999</v>
      </c>
      <c r="L611" s="66">
        <f>11.0391 * CHOOSE(CONTROL!$C$23, $C$12, 100%, $E$12)</f>
        <v>11.039099999999999</v>
      </c>
      <c r="M611" s="66">
        <f>11.046 * CHOOSE(CONTROL!$C$23, $C$12, 100%, $E$12)</f>
        <v>11.045999999999999</v>
      </c>
      <c r="N611" s="66">
        <f>11.0391 * CHOOSE(CONTROL!$C$23, $C$12, 100%, $E$12)</f>
        <v>11.039099999999999</v>
      </c>
      <c r="O611" s="66">
        <f>11.046 * CHOOSE(CONTROL!$C$23, $C$12, 100%, $E$12)</f>
        <v>11.045999999999999</v>
      </c>
    </row>
    <row r="612" spans="1:15" ht="15">
      <c r="A612" s="13">
        <v>59780</v>
      </c>
      <c r="B612" s="65">
        <f>9.5185 * CHOOSE(CONTROL!$C$23, $C$12, 100%, $E$12)</f>
        <v>9.5184999999999995</v>
      </c>
      <c r="C612" s="65">
        <f>9.5185 * CHOOSE(CONTROL!$C$23, $C$12, 100%, $E$12)</f>
        <v>9.5184999999999995</v>
      </c>
      <c r="D612" s="65">
        <f>9.5241 * CHOOSE(CONTROL!$C$23, $C$12, 100%, $E$12)</f>
        <v>9.5241000000000007</v>
      </c>
      <c r="E612" s="66">
        <f>11.0173 * CHOOSE(CONTROL!$C$23, $C$12, 100%, $E$12)</f>
        <v>11.017300000000001</v>
      </c>
      <c r="F612" s="66">
        <f>11.0173 * CHOOSE(CONTROL!$C$23, $C$12, 100%, $E$12)</f>
        <v>11.017300000000001</v>
      </c>
      <c r="G612" s="66">
        <f>11.0242 * CHOOSE(CONTROL!$C$23, $C$12, 100%, $E$12)</f>
        <v>11.0242</v>
      </c>
      <c r="H612" s="66">
        <f>20.3834* CHOOSE(CONTROL!$C$23, $C$12, 100%, $E$12)</f>
        <v>20.383400000000002</v>
      </c>
      <c r="I612" s="66">
        <f>20.3903 * CHOOSE(CONTROL!$C$23, $C$12, 100%, $E$12)</f>
        <v>20.3903</v>
      </c>
      <c r="J612" s="66">
        <f>20.3834 * CHOOSE(CONTROL!$C$23, $C$12, 100%, $E$12)</f>
        <v>20.383400000000002</v>
      </c>
      <c r="K612" s="66">
        <f>20.3903 * CHOOSE(CONTROL!$C$23, $C$12, 100%, $E$12)</f>
        <v>20.3903</v>
      </c>
      <c r="L612" s="66">
        <f>11.0173 * CHOOSE(CONTROL!$C$23, $C$12, 100%, $E$12)</f>
        <v>11.017300000000001</v>
      </c>
      <c r="M612" s="66">
        <f>11.0242 * CHOOSE(CONTROL!$C$23, $C$12, 100%, $E$12)</f>
        <v>11.0242</v>
      </c>
      <c r="N612" s="66">
        <f>11.0173 * CHOOSE(CONTROL!$C$23, $C$12, 100%, $E$12)</f>
        <v>11.017300000000001</v>
      </c>
      <c r="O612" s="66">
        <f>11.0242 * CHOOSE(CONTROL!$C$23, $C$12, 100%, $E$12)</f>
        <v>11.0242</v>
      </c>
    </row>
    <row r="613" spans="1:15" ht="15">
      <c r="A613" s="13">
        <v>59810</v>
      </c>
      <c r="B613" s="65">
        <f>9.5315 * CHOOSE(CONTROL!$C$23, $C$12, 100%, $E$12)</f>
        <v>9.5314999999999994</v>
      </c>
      <c r="C613" s="65">
        <f>9.5315 * CHOOSE(CONTROL!$C$23, $C$12, 100%, $E$12)</f>
        <v>9.5314999999999994</v>
      </c>
      <c r="D613" s="65">
        <f>9.5355 * CHOOSE(CONTROL!$C$23, $C$12, 100%, $E$12)</f>
        <v>9.5355000000000008</v>
      </c>
      <c r="E613" s="66">
        <f>11.0825 * CHOOSE(CONTROL!$C$23, $C$12, 100%, $E$12)</f>
        <v>11.0825</v>
      </c>
      <c r="F613" s="66">
        <f>11.0825 * CHOOSE(CONTROL!$C$23, $C$12, 100%, $E$12)</f>
        <v>11.0825</v>
      </c>
      <c r="G613" s="66">
        <f>11.0875 * CHOOSE(CONTROL!$C$23, $C$12, 100%, $E$12)</f>
        <v>11.0875</v>
      </c>
      <c r="H613" s="66">
        <f>20.4258* CHOOSE(CONTROL!$C$23, $C$12, 100%, $E$12)</f>
        <v>20.425799999999999</v>
      </c>
      <c r="I613" s="66">
        <f>20.4307 * CHOOSE(CONTROL!$C$23, $C$12, 100%, $E$12)</f>
        <v>20.430700000000002</v>
      </c>
      <c r="J613" s="66">
        <f>20.4258 * CHOOSE(CONTROL!$C$23, $C$12, 100%, $E$12)</f>
        <v>20.425799999999999</v>
      </c>
      <c r="K613" s="66">
        <f>20.4307 * CHOOSE(CONTROL!$C$23, $C$12, 100%, $E$12)</f>
        <v>20.430700000000002</v>
      </c>
      <c r="L613" s="66">
        <f>11.0825 * CHOOSE(CONTROL!$C$23, $C$12, 100%, $E$12)</f>
        <v>11.0825</v>
      </c>
      <c r="M613" s="66">
        <f>11.0875 * CHOOSE(CONTROL!$C$23, $C$12, 100%, $E$12)</f>
        <v>11.0875</v>
      </c>
      <c r="N613" s="66">
        <f>11.0825 * CHOOSE(CONTROL!$C$23, $C$12, 100%, $E$12)</f>
        <v>11.0825</v>
      </c>
      <c r="O613" s="66">
        <f>11.0875 * CHOOSE(CONTROL!$C$23, $C$12, 100%, $E$12)</f>
        <v>11.0875</v>
      </c>
    </row>
    <row r="614" spans="1:15" ht="15">
      <c r="A614" s="13">
        <v>59841</v>
      </c>
      <c r="B614" s="65">
        <f>9.5345 * CHOOSE(CONTROL!$C$23, $C$12, 100%, $E$12)</f>
        <v>9.5344999999999995</v>
      </c>
      <c r="C614" s="65">
        <f>9.5345 * CHOOSE(CONTROL!$C$23, $C$12, 100%, $E$12)</f>
        <v>9.5344999999999995</v>
      </c>
      <c r="D614" s="65">
        <f>9.5385 * CHOOSE(CONTROL!$C$23, $C$12, 100%, $E$12)</f>
        <v>9.5385000000000009</v>
      </c>
      <c r="E614" s="66">
        <f>11.124 * CHOOSE(CONTROL!$C$23, $C$12, 100%, $E$12)</f>
        <v>11.124000000000001</v>
      </c>
      <c r="F614" s="66">
        <f>11.124 * CHOOSE(CONTROL!$C$23, $C$12, 100%, $E$12)</f>
        <v>11.124000000000001</v>
      </c>
      <c r="G614" s="66">
        <f>11.1289 * CHOOSE(CONTROL!$C$23, $C$12, 100%, $E$12)</f>
        <v>11.1289</v>
      </c>
      <c r="H614" s="66">
        <f>20.4684* CHOOSE(CONTROL!$C$23, $C$12, 100%, $E$12)</f>
        <v>20.468399999999999</v>
      </c>
      <c r="I614" s="66">
        <f>20.4733 * CHOOSE(CONTROL!$C$23, $C$12, 100%, $E$12)</f>
        <v>20.473299999999998</v>
      </c>
      <c r="J614" s="66">
        <f>20.4684 * CHOOSE(CONTROL!$C$23, $C$12, 100%, $E$12)</f>
        <v>20.468399999999999</v>
      </c>
      <c r="K614" s="66">
        <f>20.4733 * CHOOSE(CONTROL!$C$23, $C$12, 100%, $E$12)</f>
        <v>20.473299999999998</v>
      </c>
      <c r="L614" s="66">
        <f>11.124 * CHOOSE(CONTROL!$C$23, $C$12, 100%, $E$12)</f>
        <v>11.124000000000001</v>
      </c>
      <c r="M614" s="66">
        <f>11.1289 * CHOOSE(CONTROL!$C$23, $C$12, 100%, $E$12)</f>
        <v>11.1289</v>
      </c>
      <c r="N614" s="66">
        <f>11.124 * CHOOSE(CONTROL!$C$23, $C$12, 100%, $E$12)</f>
        <v>11.124000000000001</v>
      </c>
      <c r="O614" s="66">
        <f>11.1289 * CHOOSE(CONTROL!$C$23, $C$12, 100%, $E$12)</f>
        <v>11.1289</v>
      </c>
    </row>
    <row r="615" spans="1:15" ht="15">
      <c r="A615" s="13">
        <v>59871</v>
      </c>
      <c r="B615" s="65">
        <f>9.5345 * CHOOSE(CONTROL!$C$23, $C$12, 100%, $E$12)</f>
        <v>9.5344999999999995</v>
      </c>
      <c r="C615" s="65">
        <f>9.5345 * CHOOSE(CONTROL!$C$23, $C$12, 100%, $E$12)</f>
        <v>9.5344999999999995</v>
      </c>
      <c r="D615" s="65">
        <f>9.5385 * CHOOSE(CONTROL!$C$23, $C$12, 100%, $E$12)</f>
        <v>9.5385000000000009</v>
      </c>
      <c r="E615" s="66">
        <f>11.0257 * CHOOSE(CONTROL!$C$23, $C$12, 100%, $E$12)</f>
        <v>11.025700000000001</v>
      </c>
      <c r="F615" s="66">
        <f>11.0257 * CHOOSE(CONTROL!$C$23, $C$12, 100%, $E$12)</f>
        <v>11.025700000000001</v>
      </c>
      <c r="G615" s="66">
        <f>11.0306 * CHOOSE(CONTROL!$C$23, $C$12, 100%, $E$12)</f>
        <v>11.0306</v>
      </c>
      <c r="H615" s="66">
        <f>20.511* CHOOSE(CONTROL!$C$23, $C$12, 100%, $E$12)</f>
        <v>20.510999999999999</v>
      </c>
      <c r="I615" s="66">
        <f>20.5159 * CHOOSE(CONTROL!$C$23, $C$12, 100%, $E$12)</f>
        <v>20.515899999999998</v>
      </c>
      <c r="J615" s="66">
        <f>20.511 * CHOOSE(CONTROL!$C$23, $C$12, 100%, $E$12)</f>
        <v>20.510999999999999</v>
      </c>
      <c r="K615" s="66">
        <f>20.5159 * CHOOSE(CONTROL!$C$23, $C$12, 100%, $E$12)</f>
        <v>20.515899999999998</v>
      </c>
      <c r="L615" s="66">
        <f>11.0257 * CHOOSE(CONTROL!$C$23, $C$12, 100%, $E$12)</f>
        <v>11.025700000000001</v>
      </c>
      <c r="M615" s="66">
        <f>11.0306 * CHOOSE(CONTROL!$C$23, $C$12, 100%, $E$12)</f>
        <v>11.0306</v>
      </c>
      <c r="N615" s="66">
        <f>11.0257 * CHOOSE(CONTROL!$C$23, $C$12, 100%, $E$12)</f>
        <v>11.025700000000001</v>
      </c>
      <c r="O615" s="66">
        <f>11.0306 * CHOOSE(CONTROL!$C$23, $C$12, 100%, $E$12)</f>
        <v>11.0306</v>
      </c>
    </row>
    <row r="616" spans="1:15" ht="15">
      <c r="A616" s="13">
        <v>59902</v>
      </c>
      <c r="B616" s="65">
        <f>9.6029 * CHOOSE(CONTROL!$C$23, $C$12, 100%, $E$12)</f>
        <v>9.6029</v>
      </c>
      <c r="C616" s="65">
        <f>9.6029 * CHOOSE(CONTROL!$C$23, $C$12, 100%, $E$12)</f>
        <v>9.6029</v>
      </c>
      <c r="D616" s="65">
        <f>9.6069 * CHOOSE(CONTROL!$C$23, $C$12, 100%, $E$12)</f>
        <v>9.6068999999999996</v>
      </c>
      <c r="E616" s="66">
        <f>11.1732 * CHOOSE(CONTROL!$C$23, $C$12, 100%, $E$12)</f>
        <v>11.1732</v>
      </c>
      <c r="F616" s="66">
        <f>11.1732 * CHOOSE(CONTROL!$C$23, $C$12, 100%, $E$12)</f>
        <v>11.1732</v>
      </c>
      <c r="G616" s="66">
        <f>11.1781 * CHOOSE(CONTROL!$C$23, $C$12, 100%, $E$12)</f>
        <v>11.178100000000001</v>
      </c>
      <c r="H616" s="66">
        <f>20.5293* CHOOSE(CONTROL!$C$23, $C$12, 100%, $E$12)</f>
        <v>20.529299999999999</v>
      </c>
      <c r="I616" s="66">
        <f>20.5343 * CHOOSE(CONTROL!$C$23, $C$12, 100%, $E$12)</f>
        <v>20.534300000000002</v>
      </c>
      <c r="J616" s="66">
        <f>20.5293 * CHOOSE(CONTROL!$C$23, $C$12, 100%, $E$12)</f>
        <v>20.529299999999999</v>
      </c>
      <c r="K616" s="66">
        <f>20.5343 * CHOOSE(CONTROL!$C$23, $C$12, 100%, $E$12)</f>
        <v>20.534300000000002</v>
      </c>
      <c r="L616" s="66">
        <f>11.1732 * CHOOSE(CONTROL!$C$23, $C$12, 100%, $E$12)</f>
        <v>11.1732</v>
      </c>
      <c r="M616" s="66">
        <f>11.1781 * CHOOSE(CONTROL!$C$23, $C$12, 100%, $E$12)</f>
        <v>11.178100000000001</v>
      </c>
      <c r="N616" s="66">
        <f>11.1732 * CHOOSE(CONTROL!$C$23, $C$12, 100%, $E$12)</f>
        <v>11.1732</v>
      </c>
      <c r="O616" s="66">
        <f>11.1781 * CHOOSE(CONTROL!$C$23, $C$12, 100%, $E$12)</f>
        <v>11.178100000000001</v>
      </c>
    </row>
    <row r="617" spans="1:15" ht="15">
      <c r="A617" s="13">
        <v>59933</v>
      </c>
      <c r="B617" s="65">
        <f>9.5999 * CHOOSE(CONTROL!$C$23, $C$12, 100%, $E$12)</f>
        <v>9.5998999999999999</v>
      </c>
      <c r="C617" s="65">
        <f>9.5999 * CHOOSE(CONTROL!$C$23, $C$12, 100%, $E$12)</f>
        <v>9.5998999999999999</v>
      </c>
      <c r="D617" s="65">
        <f>9.6039 * CHOOSE(CONTROL!$C$23, $C$12, 100%, $E$12)</f>
        <v>9.6038999999999994</v>
      </c>
      <c r="E617" s="66">
        <f>10.9803 * CHOOSE(CONTROL!$C$23, $C$12, 100%, $E$12)</f>
        <v>10.9803</v>
      </c>
      <c r="F617" s="66">
        <f>10.9803 * CHOOSE(CONTROL!$C$23, $C$12, 100%, $E$12)</f>
        <v>10.9803</v>
      </c>
      <c r="G617" s="66">
        <f>10.9852 * CHOOSE(CONTROL!$C$23, $C$12, 100%, $E$12)</f>
        <v>10.985200000000001</v>
      </c>
      <c r="H617" s="66">
        <f>20.5721* CHOOSE(CONTROL!$C$23, $C$12, 100%, $E$12)</f>
        <v>20.572099999999999</v>
      </c>
      <c r="I617" s="66">
        <f>20.577 * CHOOSE(CONTROL!$C$23, $C$12, 100%, $E$12)</f>
        <v>20.577000000000002</v>
      </c>
      <c r="J617" s="66">
        <f>20.5721 * CHOOSE(CONTROL!$C$23, $C$12, 100%, $E$12)</f>
        <v>20.572099999999999</v>
      </c>
      <c r="K617" s="66">
        <f>20.577 * CHOOSE(CONTROL!$C$23, $C$12, 100%, $E$12)</f>
        <v>20.577000000000002</v>
      </c>
      <c r="L617" s="66">
        <f>10.9803 * CHOOSE(CONTROL!$C$23, $C$12, 100%, $E$12)</f>
        <v>10.9803</v>
      </c>
      <c r="M617" s="66">
        <f>10.9852 * CHOOSE(CONTROL!$C$23, $C$12, 100%, $E$12)</f>
        <v>10.985200000000001</v>
      </c>
      <c r="N617" s="66">
        <f>10.9803 * CHOOSE(CONTROL!$C$23, $C$12, 100%, $E$12)</f>
        <v>10.9803</v>
      </c>
      <c r="O617" s="66">
        <f>10.9852 * CHOOSE(CONTROL!$C$23, $C$12, 100%, $E$12)</f>
        <v>10.985200000000001</v>
      </c>
    </row>
    <row r="618" spans="1:15" ht="15">
      <c r="A618" s="13">
        <v>59962</v>
      </c>
      <c r="B618" s="65">
        <f>9.5968 * CHOOSE(CONTROL!$C$23, $C$12, 100%, $E$12)</f>
        <v>9.5968</v>
      </c>
      <c r="C618" s="65">
        <f>9.5968 * CHOOSE(CONTROL!$C$23, $C$12, 100%, $E$12)</f>
        <v>9.5968</v>
      </c>
      <c r="D618" s="65">
        <f>9.6008 * CHOOSE(CONTROL!$C$23, $C$12, 100%, $E$12)</f>
        <v>9.6007999999999996</v>
      </c>
      <c r="E618" s="66">
        <f>11.1286 * CHOOSE(CONTROL!$C$23, $C$12, 100%, $E$12)</f>
        <v>11.1286</v>
      </c>
      <c r="F618" s="66">
        <f>11.1286 * CHOOSE(CONTROL!$C$23, $C$12, 100%, $E$12)</f>
        <v>11.1286</v>
      </c>
      <c r="G618" s="66">
        <f>11.1335 * CHOOSE(CONTROL!$C$23, $C$12, 100%, $E$12)</f>
        <v>11.1335</v>
      </c>
      <c r="H618" s="66">
        <f>20.615* CHOOSE(CONTROL!$C$23, $C$12, 100%, $E$12)</f>
        <v>20.614999999999998</v>
      </c>
      <c r="I618" s="66">
        <f>20.6199 * CHOOSE(CONTROL!$C$23, $C$12, 100%, $E$12)</f>
        <v>20.619900000000001</v>
      </c>
      <c r="J618" s="66">
        <f>20.615 * CHOOSE(CONTROL!$C$23, $C$12, 100%, $E$12)</f>
        <v>20.614999999999998</v>
      </c>
      <c r="K618" s="66">
        <f>20.6199 * CHOOSE(CONTROL!$C$23, $C$12, 100%, $E$12)</f>
        <v>20.619900000000001</v>
      </c>
      <c r="L618" s="66">
        <f>11.1286 * CHOOSE(CONTROL!$C$23, $C$12, 100%, $E$12)</f>
        <v>11.1286</v>
      </c>
      <c r="M618" s="66">
        <f>11.1335 * CHOOSE(CONTROL!$C$23, $C$12, 100%, $E$12)</f>
        <v>11.1335</v>
      </c>
      <c r="N618" s="66">
        <f>11.1286 * CHOOSE(CONTROL!$C$23, $C$12, 100%, $E$12)</f>
        <v>11.1286</v>
      </c>
      <c r="O618" s="66">
        <f>11.1335 * CHOOSE(CONTROL!$C$23, $C$12, 100%, $E$12)</f>
        <v>11.1335</v>
      </c>
    </row>
    <row r="619" spans="1:15" ht="15">
      <c r="A619" s="13">
        <v>59993</v>
      </c>
      <c r="B619" s="65">
        <f>9.5992 * CHOOSE(CONTROL!$C$23, $C$12, 100%, $E$12)</f>
        <v>9.5991999999999997</v>
      </c>
      <c r="C619" s="65">
        <f>9.5992 * CHOOSE(CONTROL!$C$23, $C$12, 100%, $E$12)</f>
        <v>9.5991999999999997</v>
      </c>
      <c r="D619" s="65">
        <f>9.6032 * CHOOSE(CONTROL!$C$23, $C$12, 100%, $E$12)</f>
        <v>9.6031999999999993</v>
      </c>
      <c r="E619" s="66">
        <f>11.2859 * CHOOSE(CONTROL!$C$23, $C$12, 100%, $E$12)</f>
        <v>11.2859</v>
      </c>
      <c r="F619" s="66">
        <f>11.2859 * CHOOSE(CONTROL!$C$23, $C$12, 100%, $E$12)</f>
        <v>11.2859</v>
      </c>
      <c r="G619" s="66">
        <f>11.2908 * CHOOSE(CONTROL!$C$23, $C$12, 100%, $E$12)</f>
        <v>11.290800000000001</v>
      </c>
      <c r="H619" s="66">
        <f>20.6579* CHOOSE(CONTROL!$C$23, $C$12, 100%, $E$12)</f>
        <v>20.657900000000001</v>
      </c>
      <c r="I619" s="66">
        <f>20.6628 * CHOOSE(CONTROL!$C$23, $C$12, 100%, $E$12)</f>
        <v>20.662800000000001</v>
      </c>
      <c r="J619" s="66">
        <f>20.6579 * CHOOSE(CONTROL!$C$23, $C$12, 100%, $E$12)</f>
        <v>20.657900000000001</v>
      </c>
      <c r="K619" s="66">
        <f>20.6628 * CHOOSE(CONTROL!$C$23, $C$12, 100%, $E$12)</f>
        <v>20.662800000000001</v>
      </c>
      <c r="L619" s="66">
        <f>11.2859 * CHOOSE(CONTROL!$C$23, $C$12, 100%, $E$12)</f>
        <v>11.2859</v>
      </c>
      <c r="M619" s="66">
        <f>11.2908 * CHOOSE(CONTROL!$C$23, $C$12, 100%, $E$12)</f>
        <v>11.290800000000001</v>
      </c>
      <c r="N619" s="66">
        <f>11.2859 * CHOOSE(CONTROL!$C$23, $C$12, 100%, $E$12)</f>
        <v>11.2859</v>
      </c>
      <c r="O619" s="66">
        <f>11.2908 * CHOOSE(CONTROL!$C$23, $C$12, 100%, $E$12)</f>
        <v>11.290800000000001</v>
      </c>
    </row>
    <row r="620" spans="1:15" ht="15">
      <c r="A620" s="13">
        <v>60023</v>
      </c>
      <c r="B620" s="65">
        <f>9.5992 * CHOOSE(CONTROL!$C$23, $C$12, 100%, $E$12)</f>
        <v>9.5991999999999997</v>
      </c>
      <c r="C620" s="65">
        <f>9.5992 * CHOOSE(CONTROL!$C$23, $C$12, 100%, $E$12)</f>
        <v>9.5991999999999997</v>
      </c>
      <c r="D620" s="65">
        <f>9.6048 * CHOOSE(CONTROL!$C$23, $C$12, 100%, $E$12)</f>
        <v>9.6047999999999991</v>
      </c>
      <c r="E620" s="66">
        <f>11.3464 * CHOOSE(CONTROL!$C$23, $C$12, 100%, $E$12)</f>
        <v>11.346399999999999</v>
      </c>
      <c r="F620" s="66">
        <f>11.3464 * CHOOSE(CONTROL!$C$23, $C$12, 100%, $E$12)</f>
        <v>11.346399999999999</v>
      </c>
      <c r="G620" s="66">
        <f>11.3533 * CHOOSE(CONTROL!$C$23, $C$12, 100%, $E$12)</f>
        <v>11.353300000000001</v>
      </c>
      <c r="H620" s="66">
        <f>20.701* CHOOSE(CONTROL!$C$23, $C$12, 100%, $E$12)</f>
        <v>20.701000000000001</v>
      </c>
      <c r="I620" s="66">
        <f>20.7079 * CHOOSE(CONTROL!$C$23, $C$12, 100%, $E$12)</f>
        <v>20.707899999999999</v>
      </c>
      <c r="J620" s="66">
        <f>20.701 * CHOOSE(CONTROL!$C$23, $C$12, 100%, $E$12)</f>
        <v>20.701000000000001</v>
      </c>
      <c r="K620" s="66">
        <f>20.7079 * CHOOSE(CONTROL!$C$23, $C$12, 100%, $E$12)</f>
        <v>20.707899999999999</v>
      </c>
      <c r="L620" s="66">
        <f>11.3464 * CHOOSE(CONTROL!$C$23, $C$12, 100%, $E$12)</f>
        <v>11.346399999999999</v>
      </c>
      <c r="M620" s="66">
        <f>11.3533 * CHOOSE(CONTROL!$C$23, $C$12, 100%, $E$12)</f>
        <v>11.353300000000001</v>
      </c>
      <c r="N620" s="66">
        <f>11.3464 * CHOOSE(CONTROL!$C$23, $C$12, 100%, $E$12)</f>
        <v>11.346399999999999</v>
      </c>
      <c r="O620" s="66">
        <f>11.3533 * CHOOSE(CONTROL!$C$23, $C$12, 100%, $E$12)</f>
        <v>11.353300000000001</v>
      </c>
    </row>
    <row r="621" spans="1:15" ht="15">
      <c r="A621" s="13">
        <v>60054</v>
      </c>
      <c r="B621" s="65">
        <f>9.6053 * CHOOSE(CONTROL!$C$23, $C$12, 100%, $E$12)</f>
        <v>9.6052999999999997</v>
      </c>
      <c r="C621" s="65">
        <f>9.6053 * CHOOSE(CONTROL!$C$23, $C$12, 100%, $E$12)</f>
        <v>9.6052999999999997</v>
      </c>
      <c r="D621" s="65">
        <f>9.6109 * CHOOSE(CONTROL!$C$23, $C$12, 100%, $E$12)</f>
        <v>9.6109000000000009</v>
      </c>
      <c r="E621" s="66">
        <f>11.2901 * CHOOSE(CONTROL!$C$23, $C$12, 100%, $E$12)</f>
        <v>11.290100000000001</v>
      </c>
      <c r="F621" s="66">
        <f>11.2901 * CHOOSE(CONTROL!$C$23, $C$12, 100%, $E$12)</f>
        <v>11.290100000000001</v>
      </c>
      <c r="G621" s="66">
        <f>11.297 * CHOOSE(CONTROL!$C$23, $C$12, 100%, $E$12)</f>
        <v>11.297000000000001</v>
      </c>
      <c r="H621" s="66">
        <f>20.7441* CHOOSE(CONTROL!$C$23, $C$12, 100%, $E$12)</f>
        <v>20.7441</v>
      </c>
      <c r="I621" s="66">
        <f>20.751 * CHOOSE(CONTROL!$C$23, $C$12, 100%, $E$12)</f>
        <v>20.751000000000001</v>
      </c>
      <c r="J621" s="66">
        <f>20.7441 * CHOOSE(CONTROL!$C$23, $C$12, 100%, $E$12)</f>
        <v>20.7441</v>
      </c>
      <c r="K621" s="66">
        <f>20.751 * CHOOSE(CONTROL!$C$23, $C$12, 100%, $E$12)</f>
        <v>20.751000000000001</v>
      </c>
      <c r="L621" s="66">
        <f>11.2901 * CHOOSE(CONTROL!$C$23, $C$12, 100%, $E$12)</f>
        <v>11.290100000000001</v>
      </c>
      <c r="M621" s="66">
        <f>11.297 * CHOOSE(CONTROL!$C$23, $C$12, 100%, $E$12)</f>
        <v>11.297000000000001</v>
      </c>
      <c r="N621" s="66">
        <f>11.2901 * CHOOSE(CONTROL!$C$23, $C$12, 100%, $E$12)</f>
        <v>11.290100000000001</v>
      </c>
      <c r="O621" s="66">
        <f>11.297 * CHOOSE(CONTROL!$C$23, $C$12, 100%, $E$12)</f>
        <v>11.297000000000001</v>
      </c>
    </row>
    <row r="622" spans="1:15" ht="15">
      <c r="A622" s="13">
        <v>60084</v>
      </c>
      <c r="B622" s="65">
        <f>9.754 * CHOOSE(CONTROL!$C$23, $C$12, 100%, $E$12)</f>
        <v>9.7539999999999996</v>
      </c>
      <c r="C622" s="65">
        <f>9.754 * CHOOSE(CONTROL!$C$23, $C$12, 100%, $E$12)</f>
        <v>9.7539999999999996</v>
      </c>
      <c r="D622" s="65">
        <f>9.7596 * CHOOSE(CONTROL!$C$23, $C$12, 100%, $E$12)</f>
        <v>9.7596000000000007</v>
      </c>
      <c r="E622" s="66">
        <f>11.4732 * CHOOSE(CONTROL!$C$23, $C$12, 100%, $E$12)</f>
        <v>11.4732</v>
      </c>
      <c r="F622" s="66">
        <f>11.4732 * CHOOSE(CONTROL!$C$23, $C$12, 100%, $E$12)</f>
        <v>11.4732</v>
      </c>
      <c r="G622" s="66">
        <f>11.4801 * CHOOSE(CONTROL!$C$23, $C$12, 100%, $E$12)</f>
        <v>11.4801</v>
      </c>
      <c r="H622" s="66">
        <f>20.7873* CHOOSE(CONTROL!$C$23, $C$12, 100%, $E$12)</f>
        <v>20.787299999999998</v>
      </c>
      <c r="I622" s="66">
        <f>20.7942 * CHOOSE(CONTROL!$C$23, $C$12, 100%, $E$12)</f>
        <v>20.7942</v>
      </c>
      <c r="J622" s="66">
        <f>20.7873 * CHOOSE(CONTROL!$C$23, $C$12, 100%, $E$12)</f>
        <v>20.787299999999998</v>
      </c>
      <c r="K622" s="66">
        <f>20.7942 * CHOOSE(CONTROL!$C$23, $C$12, 100%, $E$12)</f>
        <v>20.7942</v>
      </c>
      <c r="L622" s="66">
        <f>11.4732 * CHOOSE(CONTROL!$C$23, $C$12, 100%, $E$12)</f>
        <v>11.4732</v>
      </c>
      <c r="M622" s="66">
        <f>11.4801 * CHOOSE(CONTROL!$C$23, $C$12, 100%, $E$12)</f>
        <v>11.4801</v>
      </c>
      <c r="N622" s="66">
        <f>11.4732 * CHOOSE(CONTROL!$C$23, $C$12, 100%, $E$12)</f>
        <v>11.4732</v>
      </c>
      <c r="O622" s="66">
        <f>11.4801 * CHOOSE(CONTROL!$C$23, $C$12, 100%, $E$12)</f>
        <v>11.4801</v>
      </c>
    </row>
    <row r="623" spans="1:15" ht="15">
      <c r="A623" s="13">
        <v>60115</v>
      </c>
      <c r="B623" s="65">
        <f>9.7607 * CHOOSE(CONTROL!$C$23, $C$12, 100%, $E$12)</f>
        <v>9.7606999999999999</v>
      </c>
      <c r="C623" s="65">
        <f>9.7607 * CHOOSE(CONTROL!$C$23, $C$12, 100%, $E$12)</f>
        <v>9.7606999999999999</v>
      </c>
      <c r="D623" s="65">
        <f>9.7663 * CHOOSE(CONTROL!$C$23, $C$12, 100%, $E$12)</f>
        <v>9.7662999999999993</v>
      </c>
      <c r="E623" s="66">
        <f>11.2961 * CHOOSE(CONTROL!$C$23, $C$12, 100%, $E$12)</f>
        <v>11.296099999999999</v>
      </c>
      <c r="F623" s="66">
        <f>11.2961 * CHOOSE(CONTROL!$C$23, $C$12, 100%, $E$12)</f>
        <v>11.296099999999999</v>
      </c>
      <c r="G623" s="66">
        <f>11.303 * CHOOSE(CONTROL!$C$23, $C$12, 100%, $E$12)</f>
        <v>11.303000000000001</v>
      </c>
      <c r="H623" s="66">
        <f>20.8306* CHOOSE(CONTROL!$C$23, $C$12, 100%, $E$12)</f>
        <v>20.8306</v>
      </c>
      <c r="I623" s="66">
        <f>20.8375 * CHOOSE(CONTROL!$C$23, $C$12, 100%, $E$12)</f>
        <v>20.837499999999999</v>
      </c>
      <c r="J623" s="66">
        <f>20.8306 * CHOOSE(CONTROL!$C$23, $C$12, 100%, $E$12)</f>
        <v>20.8306</v>
      </c>
      <c r="K623" s="66">
        <f>20.8375 * CHOOSE(CONTROL!$C$23, $C$12, 100%, $E$12)</f>
        <v>20.837499999999999</v>
      </c>
      <c r="L623" s="66">
        <f>11.2961 * CHOOSE(CONTROL!$C$23, $C$12, 100%, $E$12)</f>
        <v>11.296099999999999</v>
      </c>
      <c r="M623" s="66">
        <f>11.303 * CHOOSE(CONTROL!$C$23, $C$12, 100%, $E$12)</f>
        <v>11.303000000000001</v>
      </c>
      <c r="N623" s="66">
        <f>11.2961 * CHOOSE(CONTROL!$C$23, $C$12, 100%, $E$12)</f>
        <v>11.296099999999999</v>
      </c>
      <c r="O623" s="66">
        <f>11.303 * CHOOSE(CONTROL!$C$23, $C$12, 100%, $E$12)</f>
        <v>11.303000000000001</v>
      </c>
    </row>
    <row r="624" spans="1:15" ht="15">
      <c r="A624" s="13">
        <v>60146</v>
      </c>
      <c r="B624" s="65">
        <f>9.7577 * CHOOSE(CONTROL!$C$23, $C$12, 100%, $E$12)</f>
        <v>9.7576999999999998</v>
      </c>
      <c r="C624" s="65">
        <f>9.7577 * CHOOSE(CONTROL!$C$23, $C$12, 100%, $E$12)</f>
        <v>9.7576999999999998</v>
      </c>
      <c r="D624" s="65">
        <f>9.7633 * CHOOSE(CONTROL!$C$23, $C$12, 100%, $E$12)</f>
        <v>9.7632999999999992</v>
      </c>
      <c r="E624" s="66">
        <f>11.2738 * CHOOSE(CONTROL!$C$23, $C$12, 100%, $E$12)</f>
        <v>11.2738</v>
      </c>
      <c r="F624" s="66">
        <f>11.2738 * CHOOSE(CONTROL!$C$23, $C$12, 100%, $E$12)</f>
        <v>11.2738</v>
      </c>
      <c r="G624" s="66">
        <f>11.2807 * CHOOSE(CONTROL!$C$23, $C$12, 100%, $E$12)</f>
        <v>11.2807</v>
      </c>
      <c r="H624" s="66">
        <f>20.874* CHOOSE(CONTROL!$C$23, $C$12, 100%, $E$12)</f>
        <v>20.873999999999999</v>
      </c>
      <c r="I624" s="66">
        <f>20.8809 * CHOOSE(CONTROL!$C$23, $C$12, 100%, $E$12)</f>
        <v>20.8809</v>
      </c>
      <c r="J624" s="66">
        <f>20.874 * CHOOSE(CONTROL!$C$23, $C$12, 100%, $E$12)</f>
        <v>20.873999999999999</v>
      </c>
      <c r="K624" s="66">
        <f>20.8809 * CHOOSE(CONTROL!$C$23, $C$12, 100%, $E$12)</f>
        <v>20.8809</v>
      </c>
      <c r="L624" s="66">
        <f>11.2738 * CHOOSE(CONTROL!$C$23, $C$12, 100%, $E$12)</f>
        <v>11.2738</v>
      </c>
      <c r="M624" s="66">
        <f>11.2807 * CHOOSE(CONTROL!$C$23, $C$12, 100%, $E$12)</f>
        <v>11.2807</v>
      </c>
      <c r="N624" s="66">
        <f>11.2738 * CHOOSE(CONTROL!$C$23, $C$12, 100%, $E$12)</f>
        <v>11.2738</v>
      </c>
      <c r="O624" s="66">
        <f>11.2807 * CHOOSE(CONTROL!$C$23, $C$12, 100%, $E$12)</f>
        <v>11.2807</v>
      </c>
    </row>
    <row r="625" spans="1:15" ht="15">
      <c r="A625" s="13">
        <v>60176</v>
      </c>
      <c r="B625" s="65">
        <f>9.7714 * CHOOSE(CONTROL!$C$23, $C$12, 100%, $E$12)</f>
        <v>9.7713999999999999</v>
      </c>
      <c r="C625" s="65">
        <f>9.7714 * CHOOSE(CONTROL!$C$23, $C$12, 100%, $E$12)</f>
        <v>9.7713999999999999</v>
      </c>
      <c r="D625" s="65">
        <f>9.7754 * CHOOSE(CONTROL!$C$23, $C$12, 100%, $E$12)</f>
        <v>9.7753999999999994</v>
      </c>
      <c r="E625" s="66">
        <f>11.3412 * CHOOSE(CONTROL!$C$23, $C$12, 100%, $E$12)</f>
        <v>11.341200000000001</v>
      </c>
      <c r="F625" s="66">
        <f>11.3412 * CHOOSE(CONTROL!$C$23, $C$12, 100%, $E$12)</f>
        <v>11.341200000000001</v>
      </c>
      <c r="G625" s="66">
        <f>11.3461 * CHOOSE(CONTROL!$C$23, $C$12, 100%, $E$12)</f>
        <v>11.3461</v>
      </c>
      <c r="H625" s="66">
        <f>20.9175* CHOOSE(CONTROL!$C$23, $C$12, 100%, $E$12)</f>
        <v>20.9175</v>
      </c>
      <c r="I625" s="66">
        <f>20.9224 * CHOOSE(CONTROL!$C$23, $C$12, 100%, $E$12)</f>
        <v>20.9224</v>
      </c>
      <c r="J625" s="66">
        <f>20.9175 * CHOOSE(CONTROL!$C$23, $C$12, 100%, $E$12)</f>
        <v>20.9175</v>
      </c>
      <c r="K625" s="66">
        <f>20.9224 * CHOOSE(CONTROL!$C$23, $C$12, 100%, $E$12)</f>
        <v>20.9224</v>
      </c>
      <c r="L625" s="66">
        <f>11.3412 * CHOOSE(CONTROL!$C$23, $C$12, 100%, $E$12)</f>
        <v>11.341200000000001</v>
      </c>
      <c r="M625" s="66">
        <f>11.3461 * CHOOSE(CONTROL!$C$23, $C$12, 100%, $E$12)</f>
        <v>11.3461</v>
      </c>
      <c r="N625" s="66">
        <f>11.3412 * CHOOSE(CONTROL!$C$23, $C$12, 100%, $E$12)</f>
        <v>11.341200000000001</v>
      </c>
      <c r="O625" s="66">
        <f>11.3461 * CHOOSE(CONTROL!$C$23, $C$12, 100%, $E$12)</f>
        <v>11.3461</v>
      </c>
    </row>
    <row r="626" spans="1:15" ht="15">
      <c r="A626" s="13">
        <v>60207</v>
      </c>
      <c r="B626" s="65">
        <f>9.7745 * CHOOSE(CONTROL!$C$23, $C$12, 100%, $E$12)</f>
        <v>9.7744999999999997</v>
      </c>
      <c r="C626" s="65">
        <f>9.7745 * CHOOSE(CONTROL!$C$23, $C$12, 100%, $E$12)</f>
        <v>9.7744999999999997</v>
      </c>
      <c r="D626" s="65">
        <f>9.7785 * CHOOSE(CONTROL!$C$23, $C$12, 100%, $E$12)</f>
        <v>9.7784999999999993</v>
      </c>
      <c r="E626" s="66">
        <f>11.3837 * CHOOSE(CONTROL!$C$23, $C$12, 100%, $E$12)</f>
        <v>11.383699999999999</v>
      </c>
      <c r="F626" s="66">
        <f>11.3837 * CHOOSE(CONTROL!$C$23, $C$12, 100%, $E$12)</f>
        <v>11.383699999999999</v>
      </c>
      <c r="G626" s="66">
        <f>11.3886 * CHOOSE(CONTROL!$C$23, $C$12, 100%, $E$12)</f>
        <v>11.3886</v>
      </c>
      <c r="H626" s="66">
        <f>20.9611* CHOOSE(CONTROL!$C$23, $C$12, 100%, $E$12)</f>
        <v>20.961099999999998</v>
      </c>
      <c r="I626" s="66">
        <f>20.966 * CHOOSE(CONTROL!$C$23, $C$12, 100%, $E$12)</f>
        <v>20.966000000000001</v>
      </c>
      <c r="J626" s="66">
        <f>20.9611 * CHOOSE(CONTROL!$C$23, $C$12, 100%, $E$12)</f>
        <v>20.961099999999998</v>
      </c>
      <c r="K626" s="66">
        <f>20.966 * CHOOSE(CONTROL!$C$23, $C$12, 100%, $E$12)</f>
        <v>20.966000000000001</v>
      </c>
      <c r="L626" s="66">
        <f>11.3837 * CHOOSE(CONTROL!$C$23, $C$12, 100%, $E$12)</f>
        <v>11.383699999999999</v>
      </c>
      <c r="M626" s="66">
        <f>11.3886 * CHOOSE(CONTROL!$C$23, $C$12, 100%, $E$12)</f>
        <v>11.3886</v>
      </c>
      <c r="N626" s="66">
        <f>11.3837 * CHOOSE(CONTROL!$C$23, $C$12, 100%, $E$12)</f>
        <v>11.383699999999999</v>
      </c>
      <c r="O626" s="66">
        <f>11.3886 * CHOOSE(CONTROL!$C$23, $C$12, 100%, $E$12)</f>
        <v>11.3886</v>
      </c>
    </row>
    <row r="627" spans="1:15" ht="15">
      <c r="A627" s="13">
        <v>60237</v>
      </c>
      <c r="B627" s="65">
        <f>9.7745 * CHOOSE(CONTROL!$C$23, $C$12, 100%, $E$12)</f>
        <v>9.7744999999999997</v>
      </c>
      <c r="C627" s="65">
        <f>9.7745 * CHOOSE(CONTROL!$C$23, $C$12, 100%, $E$12)</f>
        <v>9.7744999999999997</v>
      </c>
      <c r="D627" s="65">
        <f>9.7785 * CHOOSE(CONTROL!$C$23, $C$12, 100%, $E$12)</f>
        <v>9.7784999999999993</v>
      </c>
      <c r="E627" s="66">
        <f>11.2827 * CHOOSE(CONTROL!$C$23, $C$12, 100%, $E$12)</f>
        <v>11.2827</v>
      </c>
      <c r="F627" s="66">
        <f>11.2827 * CHOOSE(CONTROL!$C$23, $C$12, 100%, $E$12)</f>
        <v>11.2827</v>
      </c>
      <c r="G627" s="66">
        <f>11.2877 * CHOOSE(CONTROL!$C$23, $C$12, 100%, $E$12)</f>
        <v>11.287699999999999</v>
      </c>
      <c r="H627" s="66">
        <f>21.0047* CHOOSE(CONTROL!$C$23, $C$12, 100%, $E$12)</f>
        <v>21.0047</v>
      </c>
      <c r="I627" s="66">
        <f>21.0097 * CHOOSE(CONTROL!$C$23, $C$12, 100%, $E$12)</f>
        <v>21.009699999999999</v>
      </c>
      <c r="J627" s="66">
        <f>21.0047 * CHOOSE(CONTROL!$C$23, $C$12, 100%, $E$12)</f>
        <v>21.0047</v>
      </c>
      <c r="K627" s="66">
        <f>21.0097 * CHOOSE(CONTROL!$C$23, $C$12, 100%, $E$12)</f>
        <v>21.009699999999999</v>
      </c>
      <c r="L627" s="66">
        <f>11.2827 * CHOOSE(CONTROL!$C$23, $C$12, 100%, $E$12)</f>
        <v>11.2827</v>
      </c>
      <c r="M627" s="66">
        <f>11.2877 * CHOOSE(CONTROL!$C$23, $C$12, 100%, $E$12)</f>
        <v>11.287699999999999</v>
      </c>
      <c r="N627" s="66">
        <f>11.2827 * CHOOSE(CONTROL!$C$23, $C$12, 100%, $E$12)</f>
        <v>11.2827</v>
      </c>
      <c r="O627" s="66">
        <f>11.2877 * CHOOSE(CONTROL!$C$23, $C$12, 100%, $E$12)</f>
        <v>11.287699999999999</v>
      </c>
    </row>
    <row r="628" spans="1:15" ht="15">
      <c r="A628" s="13">
        <v>60268</v>
      </c>
      <c r="B628" s="65">
        <f>9.8385 * CHOOSE(CONTROL!$C$23, $C$12, 100%, $E$12)</f>
        <v>9.8384999999999998</v>
      </c>
      <c r="C628" s="65">
        <f>9.8385 * CHOOSE(CONTROL!$C$23, $C$12, 100%, $E$12)</f>
        <v>9.8384999999999998</v>
      </c>
      <c r="D628" s="65">
        <f>9.8425 * CHOOSE(CONTROL!$C$23, $C$12, 100%, $E$12)</f>
        <v>9.8424999999999994</v>
      </c>
      <c r="E628" s="66">
        <f>11.4279 * CHOOSE(CONTROL!$C$23, $C$12, 100%, $E$12)</f>
        <v>11.427899999999999</v>
      </c>
      <c r="F628" s="66">
        <f>11.4279 * CHOOSE(CONTROL!$C$23, $C$12, 100%, $E$12)</f>
        <v>11.427899999999999</v>
      </c>
      <c r="G628" s="66">
        <f>11.4328 * CHOOSE(CONTROL!$C$23, $C$12, 100%, $E$12)</f>
        <v>11.4328</v>
      </c>
      <c r="H628" s="66">
        <f>21.0119* CHOOSE(CONTROL!$C$23, $C$12, 100%, $E$12)</f>
        <v>21.011900000000001</v>
      </c>
      <c r="I628" s="66">
        <f>21.0168 * CHOOSE(CONTROL!$C$23, $C$12, 100%, $E$12)</f>
        <v>21.0168</v>
      </c>
      <c r="J628" s="66">
        <f>21.0119 * CHOOSE(CONTROL!$C$23, $C$12, 100%, $E$12)</f>
        <v>21.011900000000001</v>
      </c>
      <c r="K628" s="66">
        <f>21.0168 * CHOOSE(CONTROL!$C$23, $C$12, 100%, $E$12)</f>
        <v>21.0168</v>
      </c>
      <c r="L628" s="66">
        <f>11.4279 * CHOOSE(CONTROL!$C$23, $C$12, 100%, $E$12)</f>
        <v>11.427899999999999</v>
      </c>
      <c r="M628" s="66">
        <f>11.4328 * CHOOSE(CONTROL!$C$23, $C$12, 100%, $E$12)</f>
        <v>11.4328</v>
      </c>
      <c r="N628" s="66">
        <f>11.4279 * CHOOSE(CONTROL!$C$23, $C$12, 100%, $E$12)</f>
        <v>11.427899999999999</v>
      </c>
      <c r="O628" s="66">
        <f>11.4328 * CHOOSE(CONTROL!$C$23, $C$12, 100%, $E$12)</f>
        <v>11.4328</v>
      </c>
    </row>
    <row r="629" spans="1:15" ht="15">
      <c r="A629" s="13">
        <v>60299</v>
      </c>
      <c r="B629" s="65">
        <f>9.8354 * CHOOSE(CONTROL!$C$23, $C$12, 100%, $E$12)</f>
        <v>9.8353999999999999</v>
      </c>
      <c r="C629" s="65">
        <f>9.8354 * CHOOSE(CONTROL!$C$23, $C$12, 100%, $E$12)</f>
        <v>9.8353999999999999</v>
      </c>
      <c r="D629" s="65">
        <f>9.8394 * CHOOSE(CONTROL!$C$23, $C$12, 100%, $E$12)</f>
        <v>9.8393999999999995</v>
      </c>
      <c r="E629" s="66">
        <f>11.2301 * CHOOSE(CONTROL!$C$23, $C$12, 100%, $E$12)</f>
        <v>11.2301</v>
      </c>
      <c r="F629" s="66">
        <f>11.2301 * CHOOSE(CONTROL!$C$23, $C$12, 100%, $E$12)</f>
        <v>11.2301</v>
      </c>
      <c r="G629" s="66">
        <f>11.235 * CHOOSE(CONTROL!$C$23, $C$12, 100%, $E$12)</f>
        <v>11.234999999999999</v>
      </c>
      <c r="H629" s="66">
        <f>21.0557* CHOOSE(CONTROL!$C$23, $C$12, 100%, $E$12)</f>
        <v>21.055700000000002</v>
      </c>
      <c r="I629" s="66">
        <f>21.0606 * CHOOSE(CONTROL!$C$23, $C$12, 100%, $E$12)</f>
        <v>21.060600000000001</v>
      </c>
      <c r="J629" s="66">
        <f>21.0557 * CHOOSE(CONTROL!$C$23, $C$12, 100%, $E$12)</f>
        <v>21.055700000000002</v>
      </c>
      <c r="K629" s="66">
        <f>21.0606 * CHOOSE(CONTROL!$C$23, $C$12, 100%, $E$12)</f>
        <v>21.060600000000001</v>
      </c>
      <c r="L629" s="66">
        <f>11.2301 * CHOOSE(CONTROL!$C$23, $C$12, 100%, $E$12)</f>
        <v>11.2301</v>
      </c>
      <c r="M629" s="66">
        <f>11.235 * CHOOSE(CONTROL!$C$23, $C$12, 100%, $E$12)</f>
        <v>11.234999999999999</v>
      </c>
      <c r="N629" s="66">
        <f>11.2301 * CHOOSE(CONTROL!$C$23, $C$12, 100%, $E$12)</f>
        <v>11.2301</v>
      </c>
      <c r="O629" s="66">
        <f>11.235 * CHOOSE(CONTROL!$C$23, $C$12, 100%, $E$12)</f>
        <v>11.234999999999999</v>
      </c>
    </row>
    <row r="630" spans="1:15" ht="15">
      <c r="A630" s="13">
        <v>60327</v>
      </c>
      <c r="B630" s="65">
        <f>9.8324 * CHOOSE(CONTROL!$C$23, $C$12, 100%, $E$12)</f>
        <v>9.8323999999999998</v>
      </c>
      <c r="C630" s="65">
        <f>9.8324 * CHOOSE(CONTROL!$C$23, $C$12, 100%, $E$12)</f>
        <v>9.8323999999999998</v>
      </c>
      <c r="D630" s="65">
        <f>9.8364 * CHOOSE(CONTROL!$C$23, $C$12, 100%, $E$12)</f>
        <v>9.8363999999999994</v>
      </c>
      <c r="E630" s="66">
        <f>11.3823 * CHOOSE(CONTROL!$C$23, $C$12, 100%, $E$12)</f>
        <v>11.382300000000001</v>
      </c>
      <c r="F630" s="66">
        <f>11.3823 * CHOOSE(CONTROL!$C$23, $C$12, 100%, $E$12)</f>
        <v>11.382300000000001</v>
      </c>
      <c r="G630" s="66">
        <f>11.3872 * CHOOSE(CONTROL!$C$23, $C$12, 100%, $E$12)</f>
        <v>11.3872</v>
      </c>
      <c r="H630" s="66">
        <f>21.0995* CHOOSE(CONTROL!$C$23, $C$12, 100%, $E$12)</f>
        <v>21.099499999999999</v>
      </c>
      <c r="I630" s="66">
        <f>21.1045 * CHOOSE(CONTROL!$C$23, $C$12, 100%, $E$12)</f>
        <v>21.104500000000002</v>
      </c>
      <c r="J630" s="66">
        <f>21.0995 * CHOOSE(CONTROL!$C$23, $C$12, 100%, $E$12)</f>
        <v>21.099499999999999</v>
      </c>
      <c r="K630" s="66">
        <f>21.1045 * CHOOSE(CONTROL!$C$23, $C$12, 100%, $E$12)</f>
        <v>21.104500000000002</v>
      </c>
      <c r="L630" s="66">
        <f>11.3823 * CHOOSE(CONTROL!$C$23, $C$12, 100%, $E$12)</f>
        <v>11.382300000000001</v>
      </c>
      <c r="M630" s="66">
        <f>11.3872 * CHOOSE(CONTROL!$C$23, $C$12, 100%, $E$12)</f>
        <v>11.3872</v>
      </c>
      <c r="N630" s="66">
        <f>11.3823 * CHOOSE(CONTROL!$C$23, $C$12, 100%, $E$12)</f>
        <v>11.382300000000001</v>
      </c>
      <c r="O630" s="66">
        <f>11.3872 * CHOOSE(CONTROL!$C$23, $C$12, 100%, $E$12)</f>
        <v>11.3872</v>
      </c>
    </row>
    <row r="631" spans="1:15" ht="15">
      <c r="A631" s="13">
        <v>60358</v>
      </c>
      <c r="B631" s="65">
        <f>9.835 * CHOOSE(CONTROL!$C$23, $C$12, 100%, $E$12)</f>
        <v>9.8350000000000009</v>
      </c>
      <c r="C631" s="65">
        <f>9.835 * CHOOSE(CONTROL!$C$23, $C$12, 100%, $E$12)</f>
        <v>9.8350000000000009</v>
      </c>
      <c r="D631" s="65">
        <f>9.839 * CHOOSE(CONTROL!$C$23, $C$12, 100%, $E$12)</f>
        <v>9.8390000000000004</v>
      </c>
      <c r="E631" s="66">
        <f>11.5437 * CHOOSE(CONTROL!$C$23, $C$12, 100%, $E$12)</f>
        <v>11.543699999999999</v>
      </c>
      <c r="F631" s="66">
        <f>11.5437 * CHOOSE(CONTROL!$C$23, $C$12, 100%, $E$12)</f>
        <v>11.543699999999999</v>
      </c>
      <c r="G631" s="66">
        <f>11.5486 * CHOOSE(CONTROL!$C$23, $C$12, 100%, $E$12)</f>
        <v>11.5486</v>
      </c>
      <c r="H631" s="66">
        <f>21.1435* CHOOSE(CONTROL!$C$23, $C$12, 100%, $E$12)</f>
        <v>21.1435</v>
      </c>
      <c r="I631" s="66">
        <f>21.1484 * CHOOSE(CONTROL!$C$23, $C$12, 100%, $E$12)</f>
        <v>21.148399999999999</v>
      </c>
      <c r="J631" s="66">
        <f>21.1435 * CHOOSE(CONTROL!$C$23, $C$12, 100%, $E$12)</f>
        <v>21.1435</v>
      </c>
      <c r="K631" s="66">
        <f>21.1484 * CHOOSE(CONTROL!$C$23, $C$12, 100%, $E$12)</f>
        <v>21.148399999999999</v>
      </c>
      <c r="L631" s="66">
        <f>11.5437 * CHOOSE(CONTROL!$C$23, $C$12, 100%, $E$12)</f>
        <v>11.543699999999999</v>
      </c>
      <c r="M631" s="66">
        <f>11.5486 * CHOOSE(CONTROL!$C$23, $C$12, 100%, $E$12)</f>
        <v>11.5486</v>
      </c>
      <c r="N631" s="66">
        <f>11.5437 * CHOOSE(CONTROL!$C$23, $C$12, 100%, $E$12)</f>
        <v>11.543699999999999</v>
      </c>
      <c r="O631" s="66">
        <f>11.5486 * CHOOSE(CONTROL!$C$23, $C$12, 100%, $E$12)</f>
        <v>11.5486</v>
      </c>
    </row>
    <row r="632" spans="1:15" ht="15">
      <c r="A632" s="13">
        <v>60388</v>
      </c>
      <c r="B632" s="65">
        <f>9.835 * CHOOSE(CONTROL!$C$23, $C$12, 100%, $E$12)</f>
        <v>9.8350000000000009</v>
      </c>
      <c r="C632" s="65">
        <f>9.835 * CHOOSE(CONTROL!$C$23, $C$12, 100%, $E$12)</f>
        <v>9.8350000000000009</v>
      </c>
      <c r="D632" s="65">
        <f>9.8406 * CHOOSE(CONTROL!$C$23, $C$12, 100%, $E$12)</f>
        <v>9.8406000000000002</v>
      </c>
      <c r="E632" s="66">
        <f>11.6059 * CHOOSE(CONTROL!$C$23, $C$12, 100%, $E$12)</f>
        <v>11.6059</v>
      </c>
      <c r="F632" s="66">
        <f>11.6059 * CHOOSE(CONTROL!$C$23, $C$12, 100%, $E$12)</f>
        <v>11.6059</v>
      </c>
      <c r="G632" s="66">
        <f>11.6127 * CHOOSE(CONTROL!$C$23, $C$12, 100%, $E$12)</f>
        <v>11.6127</v>
      </c>
      <c r="H632" s="66">
        <f>21.1875* CHOOSE(CONTROL!$C$23, $C$12, 100%, $E$12)</f>
        <v>21.1875</v>
      </c>
      <c r="I632" s="66">
        <f>21.1944 * CHOOSE(CONTROL!$C$23, $C$12, 100%, $E$12)</f>
        <v>21.194400000000002</v>
      </c>
      <c r="J632" s="66">
        <f>21.1875 * CHOOSE(CONTROL!$C$23, $C$12, 100%, $E$12)</f>
        <v>21.1875</v>
      </c>
      <c r="K632" s="66">
        <f>21.1944 * CHOOSE(CONTROL!$C$23, $C$12, 100%, $E$12)</f>
        <v>21.194400000000002</v>
      </c>
      <c r="L632" s="66">
        <f>11.6059 * CHOOSE(CONTROL!$C$23, $C$12, 100%, $E$12)</f>
        <v>11.6059</v>
      </c>
      <c r="M632" s="66">
        <f>11.6127 * CHOOSE(CONTROL!$C$23, $C$12, 100%, $E$12)</f>
        <v>11.6127</v>
      </c>
      <c r="N632" s="66">
        <f>11.6059 * CHOOSE(CONTROL!$C$23, $C$12, 100%, $E$12)</f>
        <v>11.6059</v>
      </c>
      <c r="O632" s="66">
        <f>11.6127 * CHOOSE(CONTROL!$C$23, $C$12, 100%, $E$12)</f>
        <v>11.6127</v>
      </c>
    </row>
    <row r="633" spans="1:15" ht="15">
      <c r="A633" s="13">
        <v>60419</v>
      </c>
      <c r="B633" s="65">
        <f>9.841 * CHOOSE(CONTROL!$C$23, $C$12, 100%, $E$12)</f>
        <v>9.8409999999999993</v>
      </c>
      <c r="C633" s="65">
        <f>9.841 * CHOOSE(CONTROL!$C$23, $C$12, 100%, $E$12)</f>
        <v>9.8409999999999993</v>
      </c>
      <c r="D633" s="65">
        <f>9.8467 * CHOOSE(CONTROL!$C$23, $C$12, 100%, $E$12)</f>
        <v>9.8467000000000002</v>
      </c>
      <c r="E633" s="66">
        <f>11.548 * CHOOSE(CONTROL!$C$23, $C$12, 100%, $E$12)</f>
        <v>11.548</v>
      </c>
      <c r="F633" s="66">
        <f>11.548 * CHOOSE(CONTROL!$C$23, $C$12, 100%, $E$12)</f>
        <v>11.548</v>
      </c>
      <c r="G633" s="66">
        <f>11.5548 * CHOOSE(CONTROL!$C$23, $C$12, 100%, $E$12)</f>
        <v>11.5548</v>
      </c>
      <c r="H633" s="66">
        <f>21.2317* CHOOSE(CONTROL!$C$23, $C$12, 100%, $E$12)</f>
        <v>21.2317</v>
      </c>
      <c r="I633" s="66">
        <f>21.2386 * CHOOSE(CONTROL!$C$23, $C$12, 100%, $E$12)</f>
        <v>21.238600000000002</v>
      </c>
      <c r="J633" s="66">
        <f>21.2317 * CHOOSE(CONTROL!$C$23, $C$12, 100%, $E$12)</f>
        <v>21.2317</v>
      </c>
      <c r="K633" s="66">
        <f>21.2386 * CHOOSE(CONTROL!$C$23, $C$12, 100%, $E$12)</f>
        <v>21.238600000000002</v>
      </c>
      <c r="L633" s="66">
        <f>11.548 * CHOOSE(CONTROL!$C$23, $C$12, 100%, $E$12)</f>
        <v>11.548</v>
      </c>
      <c r="M633" s="66">
        <f>11.5548 * CHOOSE(CONTROL!$C$23, $C$12, 100%, $E$12)</f>
        <v>11.5548</v>
      </c>
      <c r="N633" s="66">
        <f>11.548 * CHOOSE(CONTROL!$C$23, $C$12, 100%, $E$12)</f>
        <v>11.548</v>
      </c>
      <c r="O633" s="66">
        <f>11.5548 * CHOOSE(CONTROL!$C$23, $C$12, 100%, $E$12)</f>
        <v>11.5548</v>
      </c>
    </row>
    <row r="634" spans="1:15" ht="15">
      <c r="A634" s="13">
        <v>60449</v>
      </c>
      <c r="B634" s="65">
        <f>9.9932 * CHOOSE(CONTROL!$C$23, $C$12, 100%, $E$12)</f>
        <v>9.9931999999999999</v>
      </c>
      <c r="C634" s="65">
        <f>9.9932 * CHOOSE(CONTROL!$C$23, $C$12, 100%, $E$12)</f>
        <v>9.9931999999999999</v>
      </c>
      <c r="D634" s="65">
        <f>9.9988 * CHOOSE(CONTROL!$C$23, $C$12, 100%, $E$12)</f>
        <v>9.9987999999999992</v>
      </c>
      <c r="E634" s="66">
        <f>11.735 * CHOOSE(CONTROL!$C$23, $C$12, 100%, $E$12)</f>
        <v>11.734999999999999</v>
      </c>
      <c r="F634" s="66">
        <f>11.735 * CHOOSE(CONTROL!$C$23, $C$12, 100%, $E$12)</f>
        <v>11.734999999999999</v>
      </c>
      <c r="G634" s="66">
        <f>11.7419 * CHOOSE(CONTROL!$C$23, $C$12, 100%, $E$12)</f>
        <v>11.741899999999999</v>
      </c>
      <c r="H634" s="66">
        <f>21.2759* CHOOSE(CONTROL!$C$23, $C$12, 100%, $E$12)</f>
        <v>21.2759</v>
      </c>
      <c r="I634" s="66">
        <f>21.2828 * CHOOSE(CONTROL!$C$23, $C$12, 100%, $E$12)</f>
        <v>21.282800000000002</v>
      </c>
      <c r="J634" s="66">
        <f>21.2759 * CHOOSE(CONTROL!$C$23, $C$12, 100%, $E$12)</f>
        <v>21.2759</v>
      </c>
      <c r="K634" s="66">
        <f>21.2828 * CHOOSE(CONTROL!$C$23, $C$12, 100%, $E$12)</f>
        <v>21.282800000000002</v>
      </c>
      <c r="L634" s="66">
        <f>11.735 * CHOOSE(CONTROL!$C$23, $C$12, 100%, $E$12)</f>
        <v>11.734999999999999</v>
      </c>
      <c r="M634" s="66">
        <f>11.7419 * CHOOSE(CONTROL!$C$23, $C$12, 100%, $E$12)</f>
        <v>11.741899999999999</v>
      </c>
      <c r="N634" s="66">
        <f>11.735 * CHOOSE(CONTROL!$C$23, $C$12, 100%, $E$12)</f>
        <v>11.734999999999999</v>
      </c>
      <c r="O634" s="66">
        <f>11.7419 * CHOOSE(CONTROL!$C$23, $C$12, 100%, $E$12)</f>
        <v>11.741899999999999</v>
      </c>
    </row>
    <row r="635" spans="1:15" ht="15">
      <c r="A635" s="13">
        <v>60480</v>
      </c>
      <c r="B635" s="65">
        <f>9.9999 * CHOOSE(CONTROL!$C$23, $C$12, 100%, $E$12)</f>
        <v>9.9999000000000002</v>
      </c>
      <c r="C635" s="65">
        <f>9.9999 * CHOOSE(CONTROL!$C$23, $C$12, 100%, $E$12)</f>
        <v>9.9999000000000002</v>
      </c>
      <c r="D635" s="65">
        <f>10.0055 * CHOOSE(CONTROL!$C$23, $C$12, 100%, $E$12)</f>
        <v>10.0055</v>
      </c>
      <c r="E635" s="66">
        <f>11.5532 * CHOOSE(CONTROL!$C$23, $C$12, 100%, $E$12)</f>
        <v>11.5532</v>
      </c>
      <c r="F635" s="66">
        <f>11.5532 * CHOOSE(CONTROL!$C$23, $C$12, 100%, $E$12)</f>
        <v>11.5532</v>
      </c>
      <c r="G635" s="66">
        <f>11.5601 * CHOOSE(CONTROL!$C$23, $C$12, 100%, $E$12)</f>
        <v>11.5601</v>
      </c>
      <c r="H635" s="66">
        <f>21.3202* CHOOSE(CONTROL!$C$23, $C$12, 100%, $E$12)</f>
        <v>21.3202</v>
      </c>
      <c r="I635" s="66">
        <f>21.3271 * CHOOSE(CONTROL!$C$23, $C$12, 100%, $E$12)</f>
        <v>21.327100000000002</v>
      </c>
      <c r="J635" s="66">
        <f>21.3202 * CHOOSE(CONTROL!$C$23, $C$12, 100%, $E$12)</f>
        <v>21.3202</v>
      </c>
      <c r="K635" s="66">
        <f>21.3271 * CHOOSE(CONTROL!$C$23, $C$12, 100%, $E$12)</f>
        <v>21.327100000000002</v>
      </c>
      <c r="L635" s="66">
        <f>11.5532 * CHOOSE(CONTROL!$C$23, $C$12, 100%, $E$12)</f>
        <v>11.5532</v>
      </c>
      <c r="M635" s="66">
        <f>11.5601 * CHOOSE(CONTROL!$C$23, $C$12, 100%, $E$12)</f>
        <v>11.5601</v>
      </c>
      <c r="N635" s="66">
        <f>11.5532 * CHOOSE(CONTROL!$C$23, $C$12, 100%, $E$12)</f>
        <v>11.5532</v>
      </c>
      <c r="O635" s="66">
        <f>11.5601 * CHOOSE(CONTROL!$C$23, $C$12, 100%, $E$12)</f>
        <v>11.5601</v>
      </c>
    </row>
    <row r="636" spans="1:15" ht="15">
      <c r="A636" s="13">
        <v>60511</v>
      </c>
      <c r="B636" s="65">
        <f>9.9968 * CHOOSE(CONTROL!$C$23, $C$12, 100%, $E$12)</f>
        <v>9.9968000000000004</v>
      </c>
      <c r="C636" s="65">
        <f>9.9968 * CHOOSE(CONTROL!$C$23, $C$12, 100%, $E$12)</f>
        <v>9.9968000000000004</v>
      </c>
      <c r="D636" s="65">
        <f>10.0025 * CHOOSE(CONTROL!$C$23, $C$12, 100%, $E$12)</f>
        <v>10.0025</v>
      </c>
      <c r="E636" s="66">
        <f>11.5304 * CHOOSE(CONTROL!$C$23, $C$12, 100%, $E$12)</f>
        <v>11.5304</v>
      </c>
      <c r="F636" s="66">
        <f>11.5304 * CHOOSE(CONTROL!$C$23, $C$12, 100%, $E$12)</f>
        <v>11.5304</v>
      </c>
      <c r="G636" s="66">
        <f>11.5373 * CHOOSE(CONTROL!$C$23, $C$12, 100%, $E$12)</f>
        <v>11.5373</v>
      </c>
      <c r="H636" s="66">
        <f>21.3647* CHOOSE(CONTROL!$C$23, $C$12, 100%, $E$12)</f>
        <v>21.364699999999999</v>
      </c>
      <c r="I636" s="66">
        <f>21.3715 * CHOOSE(CONTROL!$C$23, $C$12, 100%, $E$12)</f>
        <v>21.371500000000001</v>
      </c>
      <c r="J636" s="66">
        <f>21.3647 * CHOOSE(CONTROL!$C$23, $C$12, 100%, $E$12)</f>
        <v>21.364699999999999</v>
      </c>
      <c r="K636" s="66">
        <f>21.3715 * CHOOSE(CONTROL!$C$23, $C$12, 100%, $E$12)</f>
        <v>21.371500000000001</v>
      </c>
      <c r="L636" s="66">
        <f>11.5304 * CHOOSE(CONTROL!$C$23, $C$12, 100%, $E$12)</f>
        <v>11.5304</v>
      </c>
      <c r="M636" s="66">
        <f>11.5373 * CHOOSE(CONTROL!$C$23, $C$12, 100%, $E$12)</f>
        <v>11.5373</v>
      </c>
      <c r="N636" s="66">
        <f>11.5304 * CHOOSE(CONTROL!$C$23, $C$12, 100%, $E$12)</f>
        <v>11.5304</v>
      </c>
      <c r="O636" s="66">
        <f>11.5373 * CHOOSE(CONTROL!$C$23, $C$12, 100%, $E$12)</f>
        <v>11.5373</v>
      </c>
    </row>
    <row r="637" spans="1:15" ht="15">
      <c r="A637" s="13">
        <v>60541</v>
      </c>
      <c r="B637" s="65">
        <f>10.0114 * CHOOSE(CONTROL!$C$23, $C$12, 100%, $E$12)</f>
        <v>10.0114</v>
      </c>
      <c r="C637" s="65">
        <f>10.0114 * CHOOSE(CONTROL!$C$23, $C$12, 100%, $E$12)</f>
        <v>10.0114</v>
      </c>
      <c r="D637" s="65">
        <f>10.0154 * CHOOSE(CONTROL!$C$23, $C$12, 100%, $E$12)</f>
        <v>10.0154</v>
      </c>
      <c r="E637" s="66">
        <f>11.5998 * CHOOSE(CONTROL!$C$23, $C$12, 100%, $E$12)</f>
        <v>11.5998</v>
      </c>
      <c r="F637" s="66">
        <f>11.5998 * CHOOSE(CONTROL!$C$23, $C$12, 100%, $E$12)</f>
        <v>11.5998</v>
      </c>
      <c r="G637" s="66">
        <f>11.6047 * CHOOSE(CONTROL!$C$23, $C$12, 100%, $E$12)</f>
        <v>11.604699999999999</v>
      </c>
      <c r="H637" s="66">
        <f>21.4092* CHOOSE(CONTROL!$C$23, $C$12, 100%, $E$12)</f>
        <v>21.409199999999998</v>
      </c>
      <c r="I637" s="66">
        <f>21.4141 * CHOOSE(CONTROL!$C$23, $C$12, 100%, $E$12)</f>
        <v>21.414100000000001</v>
      </c>
      <c r="J637" s="66">
        <f>21.4092 * CHOOSE(CONTROL!$C$23, $C$12, 100%, $E$12)</f>
        <v>21.409199999999998</v>
      </c>
      <c r="K637" s="66">
        <f>21.4141 * CHOOSE(CONTROL!$C$23, $C$12, 100%, $E$12)</f>
        <v>21.414100000000001</v>
      </c>
      <c r="L637" s="66">
        <f>11.5998 * CHOOSE(CONTROL!$C$23, $C$12, 100%, $E$12)</f>
        <v>11.5998</v>
      </c>
      <c r="M637" s="66">
        <f>11.6047 * CHOOSE(CONTROL!$C$23, $C$12, 100%, $E$12)</f>
        <v>11.604699999999999</v>
      </c>
      <c r="N637" s="66">
        <f>11.5998 * CHOOSE(CONTROL!$C$23, $C$12, 100%, $E$12)</f>
        <v>11.5998</v>
      </c>
      <c r="O637" s="66">
        <f>11.6047 * CHOOSE(CONTROL!$C$23, $C$12, 100%, $E$12)</f>
        <v>11.604699999999999</v>
      </c>
    </row>
    <row r="638" spans="1:15" ht="15">
      <c r="A638" s="13">
        <v>60572</v>
      </c>
      <c r="B638" s="65">
        <f>10.0144 * CHOOSE(CONTROL!$C$23, $C$12, 100%, $E$12)</f>
        <v>10.0144</v>
      </c>
      <c r="C638" s="65">
        <f>10.0144 * CHOOSE(CONTROL!$C$23, $C$12, 100%, $E$12)</f>
        <v>10.0144</v>
      </c>
      <c r="D638" s="65">
        <f>10.0184 * CHOOSE(CONTROL!$C$23, $C$12, 100%, $E$12)</f>
        <v>10.0184</v>
      </c>
      <c r="E638" s="66">
        <f>11.6434 * CHOOSE(CONTROL!$C$23, $C$12, 100%, $E$12)</f>
        <v>11.6434</v>
      </c>
      <c r="F638" s="66">
        <f>11.6434 * CHOOSE(CONTROL!$C$23, $C$12, 100%, $E$12)</f>
        <v>11.6434</v>
      </c>
      <c r="G638" s="66">
        <f>11.6483 * CHOOSE(CONTROL!$C$23, $C$12, 100%, $E$12)</f>
        <v>11.648300000000001</v>
      </c>
      <c r="H638" s="66">
        <f>21.4538* CHOOSE(CONTROL!$C$23, $C$12, 100%, $E$12)</f>
        <v>21.453800000000001</v>
      </c>
      <c r="I638" s="66">
        <f>21.4587 * CHOOSE(CONTROL!$C$23, $C$12, 100%, $E$12)</f>
        <v>21.4587</v>
      </c>
      <c r="J638" s="66">
        <f>21.4538 * CHOOSE(CONTROL!$C$23, $C$12, 100%, $E$12)</f>
        <v>21.453800000000001</v>
      </c>
      <c r="K638" s="66">
        <f>21.4587 * CHOOSE(CONTROL!$C$23, $C$12, 100%, $E$12)</f>
        <v>21.4587</v>
      </c>
      <c r="L638" s="66">
        <f>11.6434 * CHOOSE(CONTROL!$C$23, $C$12, 100%, $E$12)</f>
        <v>11.6434</v>
      </c>
      <c r="M638" s="66">
        <f>11.6483 * CHOOSE(CONTROL!$C$23, $C$12, 100%, $E$12)</f>
        <v>11.648300000000001</v>
      </c>
      <c r="N638" s="66">
        <f>11.6434 * CHOOSE(CONTROL!$C$23, $C$12, 100%, $E$12)</f>
        <v>11.6434</v>
      </c>
      <c r="O638" s="66">
        <f>11.6483 * CHOOSE(CONTROL!$C$23, $C$12, 100%, $E$12)</f>
        <v>11.648300000000001</v>
      </c>
    </row>
    <row r="639" spans="1:15" ht="15">
      <c r="A639" s="13">
        <v>60602</v>
      </c>
      <c r="B639" s="65">
        <f>10.0144 * CHOOSE(CONTROL!$C$23, $C$12, 100%, $E$12)</f>
        <v>10.0144</v>
      </c>
      <c r="C639" s="65">
        <f>10.0144 * CHOOSE(CONTROL!$C$23, $C$12, 100%, $E$12)</f>
        <v>10.0144</v>
      </c>
      <c r="D639" s="65">
        <f>10.0184 * CHOOSE(CONTROL!$C$23, $C$12, 100%, $E$12)</f>
        <v>10.0184</v>
      </c>
      <c r="E639" s="66">
        <f>11.5398 * CHOOSE(CONTROL!$C$23, $C$12, 100%, $E$12)</f>
        <v>11.5398</v>
      </c>
      <c r="F639" s="66">
        <f>11.5398 * CHOOSE(CONTROL!$C$23, $C$12, 100%, $E$12)</f>
        <v>11.5398</v>
      </c>
      <c r="G639" s="66">
        <f>11.5447 * CHOOSE(CONTROL!$C$23, $C$12, 100%, $E$12)</f>
        <v>11.544700000000001</v>
      </c>
      <c r="H639" s="66">
        <f>21.4985* CHOOSE(CONTROL!$C$23, $C$12, 100%, $E$12)</f>
        <v>21.4985</v>
      </c>
      <c r="I639" s="66">
        <f>21.5034 * CHOOSE(CONTROL!$C$23, $C$12, 100%, $E$12)</f>
        <v>21.503399999999999</v>
      </c>
      <c r="J639" s="66">
        <f>21.4985 * CHOOSE(CONTROL!$C$23, $C$12, 100%, $E$12)</f>
        <v>21.4985</v>
      </c>
      <c r="K639" s="66">
        <f>21.5034 * CHOOSE(CONTROL!$C$23, $C$12, 100%, $E$12)</f>
        <v>21.503399999999999</v>
      </c>
      <c r="L639" s="66">
        <f>11.5398 * CHOOSE(CONTROL!$C$23, $C$12, 100%, $E$12)</f>
        <v>11.5398</v>
      </c>
      <c r="M639" s="66">
        <f>11.5447 * CHOOSE(CONTROL!$C$23, $C$12, 100%, $E$12)</f>
        <v>11.544700000000001</v>
      </c>
      <c r="N639" s="66">
        <f>11.5398 * CHOOSE(CONTROL!$C$23, $C$12, 100%, $E$12)</f>
        <v>11.5398</v>
      </c>
      <c r="O639" s="66">
        <f>11.5447 * CHOOSE(CONTROL!$C$23, $C$12, 100%, $E$12)</f>
        <v>11.544700000000001</v>
      </c>
    </row>
    <row r="640" spans="1:15" ht="15">
      <c r="A640" s="13">
        <v>60633</v>
      </c>
      <c r="B640" s="65">
        <f>10.074 * CHOOSE(CONTROL!$C$23, $C$12, 100%, $E$12)</f>
        <v>10.074</v>
      </c>
      <c r="C640" s="65">
        <f>10.074 * CHOOSE(CONTROL!$C$23, $C$12, 100%, $E$12)</f>
        <v>10.074</v>
      </c>
      <c r="D640" s="65">
        <f>10.078 * CHOOSE(CONTROL!$C$23, $C$12, 100%, $E$12)</f>
        <v>10.077999999999999</v>
      </c>
      <c r="E640" s="66">
        <f>11.6826 * CHOOSE(CONTROL!$C$23, $C$12, 100%, $E$12)</f>
        <v>11.682600000000001</v>
      </c>
      <c r="F640" s="66">
        <f>11.6826 * CHOOSE(CONTROL!$C$23, $C$12, 100%, $E$12)</f>
        <v>11.682600000000001</v>
      </c>
      <c r="G640" s="66">
        <f>11.6876 * CHOOSE(CONTROL!$C$23, $C$12, 100%, $E$12)</f>
        <v>11.6876</v>
      </c>
      <c r="H640" s="66">
        <f>21.4944* CHOOSE(CONTROL!$C$23, $C$12, 100%, $E$12)</f>
        <v>21.494399999999999</v>
      </c>
      <c r="I640" s="66">
        <f>21.4994 * CHOOSE(CONTROL!$C$23, $C$12, 100%, $E$12)</f>
        <v>21.499400000000001</v>
      </c>
      <c r="J640" s="66">
        <f>21.4944 * CHOOSE(CONTROL!$C$23, $C$12, 100%, $E$12)</f>
        <v>21.494399999999999</v>
      </c>
      <c r="K640" s="66">
        <f>21.4994 * CHOOSE(CONTROL!$C$23, $C$12, 100%, $E$12)</f>
        <v>21.499400000000001</v>
      </c>
      <c r="L640" s="66">
        <f>11.6826 * CHOOSE(CONTROL!$C$23, $C$12, 100%, $E$12)</f>
        <v>11.682600000000001</v>
      </c>
      <c r="M640" s="66">
        <f>11.6876 * CHOOSE(CONTROL!$C$23, $C$12, 100%, $E$12)</f>
        <v>11.6876</v>
      </c>
      <c r="N640" s="66">
        <f>11.6826 * CHOOSE(CONTROL!$C$23, $C$12, 100%, $E$12)</f>
        <v>11.682600000000001</v>
      </c>
      <c r="O640" s="66">
        <f>11.6876 * CHOOSE(CONTROL!$C$23, $C$12, 100%, $E$12)</f>
        <v>11.6876</v>
      </c>
    </row>
    <row r="641" spans="1:15" ht="15">
      <c r="A641" s="13">
        <v>60664</v>
      </c>
      <c r="B641" s="65">
        <f>10.071 * CHOOSE(CONTROL!$C$23, $C$12, 100%, $E$12)</f>
        <v>10.071</v>
      </c>
      <c r="C641" s="65">
        <f>10.071 * CHOOSE(CONTROL!$C$23, $C$12, 100%, $E$12)</f>
        <v>10.071</v>
      </c>
      <c r="D641" s="65">
        <f>10.075 * CHOOSE(CONTROL!$C$23, $C$12, 100%, $E$12)</f>
        <v>10.074999999999999</v>
      </c>
      <c r="E641" s="66">
        <f>11.4799 * CHOOSE(CONTROL!$C$23, $C$12, 100%, $E$12)</f>
        <v>11.479900000000001</v>
      </c>
      <c r="F641" s="66">
        <f>11.4799 * CHOOSE(CONTROL!$C$23, $C$12, 100%, $E$12)</f>
        <v>11.479900000000001</v>
      </c>
      <c r="G641" s="66">
        <f>11.4848 * CHOOSE(CONTROL!$C$23, $C$12, 100%, $E$12)</f>
        <v>11.4848</v>
      </c>
      <c r="H641" s="66">
        <f>21.5392* CHOOSE(CONTROL!$C$23, $C$12, 100%, $E$12)</f>
        <v>21.539200000000001</v>
      </c>
      <c r="I641" s="66">
        <f>21.5441 * CHOOSE(CONTROL!$C$23, $C$12, 100%, $E$12)</f>
        <v>21.5441</v>
      </c>
      <c r="J641" s="66">
        <f>21.5392 * CHOOSE(CONTROL!$C$23, $C$12, 100%, $E$12)</f>
        <v>21.539200000000001</v>
      </c>
      <c r="K641" s="66">
        <f>21.5441 * CHOOSE(CONTROL!$C$23, $C$12, 100%, $E$12)</f>
        <v>21.5441</v>
      </c>
      <c r="L641" s="66">
        <f>11.4799 * CHOOSE(CONTROL!$C$23, $C$12, 100%, $E$12)</f>
        <v>11.479900000000001</v>
      </c>
      <c r="M641" s="66">
        <f>11.4848 * CHOOSE(CONTROL!$C$23, $C$12, 100%, $E$12)</f>
        <v>11.4848</v>
      </c>
      <c r="N641" s="66">
        <f>11.4799 * CHOOSE(CONTROL!$C$23, $C$12, 100%, $E$12)</f>
        <v>11.479900000000001</v>
      </c>
      <c r="O641" s="66">
        <f>11.4848 * CHOOSE(CONTROL!$C$23, $C$12, 100%, $E$12)</f>
        <v>11.4848</v>
      </c>
    </row>
    <row r="642" spans="1:15" ht="15">
      <c r="A642" s="13">
        <v>60692</v>
      </c>
      <c r="B642" s="65">
        <f>10.068 * CHOOSE(CONTROL!$C$23, $C$12, 100%, $E$12)</f>
        <v>10.068</v>
      </c>
      <c r="C642" s="65">
        <f>10.068 * CHOOSE(CONTROL!$C$23, $C$12, 100%, $E$12)</f>
        <v>10.068</v>
      </c>
      <c r="D642" s="65">
        <f>10.072 * CHOOSE(CONTROL!$C$23, $C$12, 100%, $E$12)</f>
        <v>10.071999999999999</v>
      </c>
      <c r="E642" s="66">
        <f>11.6359 * CHOOSE(CONTROL!$C$23, $C$12, 100%, $E$12)</f>
        <v>11.635899999999999</v>
      </c>
      <c r="F642" s="66">
        <f>11.6359 * CHOOSE(CONTROL!$C$23, $C$12, 100%, $E$12)</f>
        <v>11.635899999999999</v>
      </c>
      <c r="G642" s="66">
        <f>11.6409 * CHOOSE(CONTROL!$C$23, $C$12, 100%, $E$12)</f>
        <v>11.6409</v>
      </c>
      <c r="H642" s="66">
        <f>21.5841* CHOOSE(CONTROL!$C$23, $C$12, 100%, $E$12)</f>
        <v>21.584099999999999</v>
      </c>
      <c r="I642" s="66">
        <f>21.589 * CHOOSE(CONTROL!$C$23, $C$12, 100%, $E$12)</f>
        <v>21.588999999999999</v>
      </c>
      <c r="J642" s="66">
        <f>21.5841 * CHOOSE(CONTROL!$C$23, $C$12, 100%, $E$12)</f>
        <v>21.584099999999999</v>
      </c>
      <c r="K642" s="66">
        <f>21.589 * CHOOSE(CONTROL!$C$23, $C$12, 100%, $E$12)</f>
        <v>21.588999999999999</v>
      </c>
      <c r="L642" s="66">
        <f>11.6359 * CHOOSE(CONTROL!$C$23, $C$12, 100%, $E$12)</f>
        <v>11.635899999999999</v>
      </c>
      <c r="M642" s="66">
        <f>11.6409 * CHOOSE(CONTROL!$C$23, $C$12, 100%, $E$12)</f>
        <v>11.6409</v>
      </c>
      <c r="N642" s="66">
        <f>11.6359 * CHOOSE(CONTROL!$C$23, $C$12, 100%, $E$12)</f>
        <v>11.635899999999999</v>
      </c>
      <c r="O642" s="66">
        <f>11.6409 * CHOOSE(CONTROL!$C$23, $C$12, 100%, $E$12)</f>
        <v>11.6409</v>
      </c>
    </row>
    <row r="643" spans="1:15" ht="15">
      <c r="A643" s="13">
        <v>60723</v>
      </c>
      <c r="B643" s="65">
        <f>10.0707 * CHOOSE(CONTROL!$C$23, $C$12, 100%, $E$12)</f>
        <v>10.0707</v>
      </c>
      <c r="C643" s="65">
        <f>10.0707 * CHOOSE(CONTROL!$C$23, $C$12, 100%, $E$12)</f>
        <v>10.0707</v>
      </c>
      <c r="D643" s="65">
        <f>10.0747 * CHOOSE(CONTROL!$C$23, $C$12, 100%, $E$12)</f>
        <v>10.0747</v>
      </c>
      <c r="E643" s="66">
        <f>11.8016 * CHOOSE(CONTROL!$C$23, $C$12, 100%, $E$12)</f>
        <v>11.801600000000001</v>
      </c>
      <c r="F643" s="66">
        <f>11.8016 * CHOOSE(CONTROL!$C$23, $C$12, 100%, $E$12)</f>
        <v>11.801600000000001</v>
      </c>
      <c r="G643" s="66">
        <f>11.8065 * CHOOSE(CONTROL!$C$23, $C$12, 100%, $E$12)</f>
        <v>11.8065</v>
      </c>
      <c r="H643" s="66">
        <f>21.6291* CHOOSE(CONTROL!$C$23, $C$12, 100%, $E$12)</f>
        <v>21.629100000000001</v>
      </c>
      <c r="I643" s="66">
        <f>21.634 * CHOOSE(CONTROL!$C$23, $C$12, 100%, $E$12)</f>
        <v>21.634</v>
      </c>
      <c r="J643" s="66">
        <f>21.6291 * CHOOSE(CONTROL!$C$23, $C$12, 100%, $E$12)</f>
        <v>21.629100000000001</v>
      </c>
      <c r="K643" s="66">
        <f>21.634 * CHOOSE(CONTROL!$C$23, $C$12, 100%, $E$12)</f>
        <v>21.634</v>
      </c>
      <c r="L643" s="66">
        <f>11.8016 * CHOOSE(CONTROL!$C$23, $C$12, 100%, $E$12)</f>
        <v>11.801600000000001</v>
      </c>
      <c r="M643" s="66">
        <f>11.8065 * CHOOSE(CONTROL!$C$23, $C$12, 100%, $E$12)</f>
        <v>11.8065</v>
      </c>
      <c r="N643" s="66">
        <f>11.8016 * CHOOSE(CONTROL!$C$23, $C$12, 100%, $E$12)</f>
        <v>11.801600000000001</v>
      </c>
      <c r="O643" s="66">
        <f>11.8065 * CHOOSE(CONTROL!$C$23, $C$12, 100%, $E$12)</f>
        <v>11.8065</v>
      </c>
    </row>
    <row r="644" spans="1:15" ht="15">
      <c r="A644" s="13">
        <v>60753</v>
      </c>
      <c r="B644" s="65">
        <f>10.0707 * CHOOSE(CONTROL!$C$23, $C$12, 100%, $E$12)</f>
        <v>10.0707</v>
      </c>
      <c r="C644" s="65">
        <f>10.0707 * CHOOSE(CONTROL!$C$23, $C$12, 100%, $E$12)</f>
        <v>10.0707</v>
      </c>
      <c r="D644" s="65">
        <f>10.0764 * CHOOSE(CONTROL!$C$23, $C$12, 100%, $E$12)</f>
        <v>10.0764</v>
      </c>
      <c r="E644" s="66">
        <f>11.8653 * CHOOSE(CONTROL!$C$23, $C$12, 100%, $E$12)</f>
        <v>11.8653</v>
      </c>
      <c r="F644" s="66">
        <f>11.8653 * CHOOSE(CONTROL!$C$23, $C$12, 100%, $E$12)</f>
        <v>11.8653</v>
      </c>
      <c r="G644" s="66">
        <f>11.8722 * CHOOSE(CONTROL!$C$23, $C$12, 100%, $E$12)</f>
        <v>11.872199999999999</v>
      </c>
      <c r="H644" s="66">
        <f>21.6741* CHOOSE(CONTROL!$C$23, $C$12, 100%, $E$12)</f>
        <v>21.674099999999999</v>
      </c>
      <c r="I644" s="66">
        <f>21.681 * CHOOSE(CONTROL!$C$23, $C$12, 100%, $E$12)</f>
        <v>21.681000000000001</v>
      </c>
      <c r="J644" s="66">
        <f>21.6741 * CHOOSE(CONTROL!$C$23, $C$12, 100%, $E$12)</f>
        <v>21.674099999999999</v>
      </c>
      <c r="K644" s="66">
        <f>21.681 * CHOOSE(CONTROL!$C$23, $C$12, 100%, $E$12)</f>
        <v>21.681000000000001</v>
      </c>
      <c r="L644" s="66">
        <f>11.8653 * CHOOSE(CONTROL!$C$23, $C$12, 100%, $E$12)</f>
        <v>11.8653</v>
      </c>
      <c r="M644" s="66">
        <f>11.8722 * CHOOSE(CONTROL!$C$23, $C$12, 100%, $E$12)</f>
        <v>11.872199999999999</v>
      </c>
      <c r="N644" s="66">
        <f>11.8653 * CHOOSE(CONTROL!$C$23, $C$12, 100%, $E$12)</f>
        <v>11.8653</v>
      </c>
      <c r="O644" s="66">
        <f>11.8722 * CHOOSE(CONTROL!$C$23, $C$12, 100%, $E$12)</f>
        <v>11.872199999999999</v>
      </c>
    </row>
    <row r="645" spans="1:15" ht="15">
      <c r="A645" s="13">
        <v>60784</v>
      </c>
      <c r="B645" s="65">
        <f>10.0768 * CHOOSE(CONTROL!$C$23, $C$12, 100%, $E$12)</f>
        <v>10.0768</v>
      </c>
      <c r="C645" s="65">
        <f>10.0768 * CHOOSE(CONTROL!$C$23, $C$12, 100%, $E$12)</f>
        <v>10.0768</v>
      </c>
      <c r="D645" s="65">
        <f>10.0824 * CHOOSE(CONTROL!$C$23, $C$12, 100%, $E$12)</f>
        <v>10.0824</v>
      </c>
      <c r="E645" s="66">
        <f>11.8058 * CHOOSE(CONTROL!$C$23, $C$12, 100%, $E$12)</f>
        <v>11.8058</v>
      </c>
      <c r="F645" s="66">
        <f>11.8058 * CHOOSE(CONTROL!$C$23, $C$12, 100%, $E$12)</f>
        <v>11.8058</v>
      </c>
      <c r="G645" s="66">
        <f>11.8127 * CHOOSE(CONTROL!$C$23, $C$12, 100%, $E$12)</f>
        <v>11.8127</v>
      </c>
      <c r="H645" s="66">
        <f>21.7193* CHOOSE(CONTROL!$C$23, $C$12, 100%, $E$12)</f>
        <v>21.7193</v>
      </c>
      <c r="I645" s="66">
        <f>21.7262 * CHOOSE(CONTROL!$C$23, $C$12, 100%, $E$12)</f>
        <v>21.726199999999999</v>
      </c>
      <c r="J645" s="66">
        <f>21.7193 * CHOOSE(CONTROL!$C$23, $C$12, 100%, $E$12)</f>
        <v>21.7193</v>
      </c>
      <c r="K645" s="66">
        <f>21.7262 * CHOOSE(CONTROL!$C$23, $C$12, 100%, $E$12)</f>
        <v>21.726199999999999</v>
      </c>
      <c r="L645" s="66">
        <f>11.8058 * CHOOSE(CONTROL!$C$23, $C$12, 100%, $E$12)</f>
        <v>11.8058</v>
      </c>
      <c r="M645" s="66">
        <f>11.8127 * CHOOSE(CONTROL!$C$23, $C$12, 100%, $E$12)</f>
        <v>11.8127</v>
      </c>
      <c r="N645" s="66">
        <f>11.8058 * CHOOSE(CONTROL!$C$23, $C$12, 100%, $E$12)</f>
        <v>11.8058</v>
      </c>
      <c r="O645" s="66">
        <f>11.8127 * CHOOSE(CONTROL!$C$23, $C$12, 100%, $E$12)</f>
        <v>11.8127</v>
      </c>
    </row>
    <row r="646" spans="1:15" ht="15">
      <c r="A646" s="13">
        <v>60814</v>
      </c>
      <c r="B646" s="65">
        <f>10.2324 * CHOOSE(CONTROL!$C$23, $C$12, 100%, $E$12)</f>
        <v>10.2324</v>
      </c>
      <c r="C646" s="65">
        <f>10.2324 * CHOOSE(CONTROL!$C$23, $C$12, 100%, $E$12)</f>
        <v>10.2324</v>
      </c>
      <c r="D646" s="65">
        <f>10.238 * CHOOSE(CONTROL!$C$23, $C$12, 100%, $E$12)</f>
        <v>10.238</v>
      </c>
      <c r="E646" s="66">
        <f>11.9967 * CHOOSE(CONTROL!$C$23, $C$12, 100%, $E$12)</f>
        <v>11.996700000000001</v>
      </c>
      <c r="F646" s="66">
        <f>11.9967 * CHOOSE(CONTROL!$C$23, $C$12, 100%, $E$12)</f>
        <v>11.996700000000001</v>
      </c>
      <c r="G646" s="66">
        <f>12.0036 * CHOOSE(CONTROL!$C$23, $C$12, 100%, $E$12)</f>
        <v>12.0036</v>
      </c>
      <c r="H646" s="66">
        <f>21.7645* CHOOSE(CONTROL!$C$23, $C$12, 100%, $E$12)</f>
        <v>21.764500000000002</v>
      </c>
      <c r="I646" s="66">
        <f>21.7714 * CHOOSE(CONTROL!$C$23, $C$12, 100%, $E$12)</f>
        <v>21.7714</v>
      </c>
      <c r="J646" s="66">
        <f>21.7645 * CHOOSE(CONTROL!$C$23, $C$12, 100%, $E$12)</f>
        <v>21.764500000000002</v>
      </c>
      <c r="K646" s="66">
        <f>21.7714 * CHOOSE(CONTROL!$C$23, $C$12, 100%, $E$12)</f>
        <v>21.7714</v>
      </c>
      <c r="L646" s="66">
        <f>11.9967 * CHOOSE(CONTROL!$C$23, $C$12, 100%, $E$12)</f>
        <v>11.996700000000001</v>
      </c>
      <c r="M646" s="66">
        <f>12.0036 * CHOOSE(CONTROL!$C$23, $C$12, 100%, $E$12)</f>
        <v>12.0036</v>
      </c>
      <c r="N646" s="66">
        <f>11.9967 * CHOOSE(CONTROL!$C$23, $C$12, 100%, $E$12)</f>
        <v>11.996700000000001</v>
      </c>
      <c r="O646" s="66">
        <f>12.0036 * CHOOSE(CONTROL!$C$23, $C$12, 100%, $E$12)</f>
        <v>12.0036</v>
      </c>
    </row>
    <row r="647" spans="1:15" ht="15">
      <c r="A647" s="13">
        <v>60845</v>
      </c>
      <c r="B647" s="65">
        <f>10.2391 * CHOOSE(CONTROL!$C$23, $C$12, 100%, $E$12)</f>
        <v>10.239100000000001</v>
      </c>
      <c r="C647" s="65">
        <f>10.2391 * CHOOSE(CONTROL!$C$23, $C$12, 100%, $E$12)</f>
        <v>10.239100000000001</v>
      </c>
      <c r="D647" s="65">
        <f>10.2447 * CHOOSE(CONTROL!$C$23, $C$12, 100%, $E$12)</f>
        <v>10.2447</v>
      </c>
      <c r="E647" s="66">
        <f>11.8103 * CHOOSE(CONTROL!$C$23, $C$12, 100%, $E$12)</f>
        <v>11.8103</v>
      </c>
      <c r="F647" s="66">
        <f>11.8103 * CHOOSE(CONTROL!$C$23, $C$12, 100%, $E$12)</f>
        <v>11.8103</v>
      </c>
      <c r="G647" s="66">
        <f>11.8172 * CHOOSE(CONTROL!$C$23, $C$12, 100%, $E$12)</f>
        <v>11.8172</v>
      </c>
      <c r="H647" s="66">
        <f>21.8099* CHOOSE(CONTROL!$C$23, $C$12, 100%, $E$12)</f>
        <v>21.809899999999999</v>
      </c>
      <c r="I647" s="66">
        <f>21.8168 * CHOOSE(CONTROL!$C$23, $C$12, 100%, $E$12)</f>
        <v>21.816800000000001</v>
      </c>
      <c r="J647" s="66">
        <f>21.8099 * CHOOSE(CONTROL!$C$23, $C$12, 100%, $E$12)</f>
        <v>21.809899999999999</v>
      </c>
      <c r="K647" s="66">
        <f>21.8168 * CHOOSE(CONTROL!$C$23, $C$12, 100%, $E$12)</f>
        <v>21.816800000000001</v>
      </c>
      <c r="L647" s="66">
        <f>11.8103 * CHOOSE(CONTROL!$C$23, $C$12, 100%, $E$12)</f>
        <v>11.8103</v>
      </c>
      <c r="M647" s="66">
        <f>11.8172 * CHOOSE(CONTROL!$C$23, $C$12, 100%, $E$12)</f>
        <v>11.8172</v>
      </c>
      <c r="N647" s="66">
        <f>11.8103 * CHOOSE(CONTROL!$C$23, $C$12, 100%, $E$12)</f>
        <v>11.8103</v>
      </c>
      <c r="O647" s="66">
        <f>11.8172 * CHOOSE(CONTROL!$C$23, $C$12, 100%, $E$12)</f>
        <v>11.8172</v>
      </c>
    </row>
    <row r="648" spans="1:15" ht="15">
      <c r="A648" s="13">
        <v>60876</v>
      </c>
      <c r="B648" s="65">
        <f>10.236 * CHOOSE(CONTROL!$C$23, $C$12, 100%, $E$12)</f>
        <v>10.236000000000001</v>
      </c>
      <c r="C648" s="65">
        <f>10.236 * CHOOSE(CONTROL!$C$23, $C$12, 100%, $E$12)</f>
        <v>10.236000000000001</v>
      </c>
      <c r="D648" s="65">
        <f>10.2417 * CHOOSE(CONTROL!$C$23, $C$12, 100%, $E$12)</f>
        <v>10.2417</v>
      </c>
      <c r="E648" s="66">
        <f>11.7869 * CHOOSE(CONTROL!$C$23, $C$12, 100%, $E$12)</f>
        <v>11.786899999999999</v>
      </c>
      <c r="F648" s="66">
        <f>11.7869 * CHOOSE(CONTROL!$C$23, $C$12, 100%, $E$12)</f>
        <v>11.786899999999999</v>
      </c>
      <c r="G648" s="66">
        <f>11.7938 * CHOOSE(CONTROL!$C$23, $C$12, 100%, $E$12)</f>
        <v>11.793799999999999</v>
      </c>
      <c r="H648" s="66">
        <f>21.8553* CHOOSE(CONTROL!$C$23, $C$12, 100%, $E$12)</f>
        <v>21.8553</v>
      </c>
      <c r="I648" s="66">
        <f>21.8622 * CHOOSE(CONTROL!$C$23, $C$12, 100%, $E$12)</f>
        <v>21.862200000000001</v>
      </c>
      <c r="J648" s="66">
        <f>21.8553 * CHOOSE(CONTROL!$C$23, $C$12, 100%, $E$12)</f>
        <v>21.8553</v>
      </c>
      <c r="K648" s="66">
        <f>21.8622 * CHOOSE(CONTROL!$C$23, $C$12, 100%, $E$12)</f>
        <v>21.862200000000001</v>
      </c>
      <c r="L648" s="66">
        <f>11.7869 * CHOOSE(CONTROL!$C$23, $C$12, 100%, $E$12)</f>
        <v>11.786899999999999</v>
      </c>
      <c r="M648" s="66">
        <f>11.7938 * CHOOSE(CONTROL!$C$23, $C$12, 100%, $E$12)</f>
        <v>11.793799999999999</v>
      </c>
      <c r="N648" s="66">
        <f>11.7869 * CHOOSE(CONTROL!$C$23, $C$12, 100%, $E$12)</f>
        <v>11.786899999999999</v>
      </c>
      <c r="O648" s="66">
        <f>11.7938 * CHOOSE(CONTROL!$C$23, $C$12, 100%, $E$12)</f>
        <v>11.793799999999999</v>
      </c>
    </row>
    <row r="649" spans="1:15" ht="15">
      <c r="A649" s="13">
        <v>60906</v>
      </c>
      <c r="B649" s="65">
        <f>10.2513 * CHOOSE(CONTROL!$C$23, $C$12, 100%, $E$12)</f>
        <v>10.251300000000001</v>
      </c>
      <c r="C649" s="65">
        <f>10.2513 * CHOOSE(CONTROL!$C$23, $C$12, 100%, $E$12)</f>
        <v>10.251300000000001</v>
      </c>
      <c r="D649" s="65">
        <f>10.2553 * CHOOSE(CONTROL!$C$23, $C$12, 100%, $E$12)</f>
        <v>10.2553</v>
      </c>
      <c r="E649" s="66">
        <f>11.8585 * CHOOSE(CONTROL!$C$23, $C$12, 100%, $E$12)</f>
        <v>11.858499999999999</v>
      </c>
      <c r="F649" s="66">
        <f>11.8585 * CHOOSE(CONTROL!$C$23, $C$12, 100%, $E$12)</f>
        <v>11.858499999999999</v>
      </c>
      <c r="G649" s="66">
        <f>11.8634 * CHOOSE(CONTROL!$C$23, $C$12, 100%, $E$12)</f>
        <v>11.8634</v>
      </c>
      <c r="H649" s="66">
        <f>21.9008* CHOOSE(CONTROL!$C$23, $C$12, 100%, $E$12)</f>
        <v>21.9008</v>
      </c>
      <c r="I649" s="66">
        <f>21.9058 * CHOOSE(CONTROL!$C$23, $C$12, 100%, $E$12)</f>
        <v>21.905799999999999</v>
      </c>
      <c r="J649" s="66">
        <f>21.9008 * CHOOSE(CONTROL!$C$23, $C$12, 100%, $E$12)</f>
        <v>21.9008</v>
      </c>
      <c r="K649" s="66">
        <f>21.9058 * CHOOSE(CONTROL!$C$23, $C$12, 100%, $E$12)</f>
        <v>21.905799999999999</v>
      </c>
      <c r="L649" s="66">
        <f>11.8585 * CHOOSE(CONTROL!$C$23, $C$12, 100%, $E$12)</f>
        <v>11.858499999999999</v>
      </c>
      <c r="M649" s="66">
        <f>11.8634 * CHOOSE(CONTROL!$C$23, $C$12, 100%, $E$12)</f>
        <v>11.8634</v>
      </c>
      <c r="N649" s="66">
        <f>11.8585 * CHOOSE(CONTROL!$C$23, $C$12, 100%, $E$12)</f>
        <v>11.858499999999999</v>
      </c>
      <c r="O649" s="66">
        <f>11.8634 * CHOOSE(CONTROL!$C$23, $C$12, 100%, $E$12)</f>
        <v>11.8634</v>
      </c>
    </row>
    <row r="650" spans="1:15" ht="15">
      <c r="A650" s="13">
        <v>60937</v>
      </c>
      <c r="B650" s="65">
        <f>10.2544 * CHOOSE(CONTROL!$C$23, $C$12, 100%, $E$12)</f>
        <v>10.2544</v>
      </c>
      <c r="C650" s="65">
        <f>10.2544 * CHOOSE(CONTROL!$C$23, $C$12, 100%, $E$12)</f>
        <v>10.2544</v>
      </c>
      <c r="D650" s="65">
        <f>10.2584 * CHOOSE(CONTROL!$C$23, $C$12, 100%, $E$12)</f>
        <v>10.2584</v>
      </c>
      <c r="E650" s="66">
        <f>11.903 * CHOOSE(CONTROL!$C$23, $C$12, 100%, $E$12)</f>
        <v>11.903</v>
      </c>
      <c r="F650" s="66">
        <f>11.903 * CHOOSE(CONTROL!$C$23, $C$12, 100%, $E$12)</f>
        <v>11.903</v>
      </c>
      <c r="G650" s="66">
        <f>11.908 * CHOOSE(CONTROL!$C$23, $C$12, 100%, $E$12)</f>
        <v>11.907999999999999</v>
      </c>
      <c r="H650" s="66">
        <f>21.9465* CHOOSE(CONTROL!$C$23, $C$12, 100%, $E$12)</f>
        <v>21.9465</v>
      </c>
      <c r="I650" s="66">
        <f>21.9514 * CHOOSE(CONTROL!$C$23, $C$12, 100%, $E$12)</f>
        <v>21.9514</v>
      </c>
      <c r="J650" s="66">
        <f>21.9465 * CHOOSE(CONTROL!$C$23, $C$12, 100%, $E$12)</f>
        <v>21.9465</v>
      </c>
      <c r="K650" s="66">
        <f>21.9514 * CHOOSE(CONTROL!$C$23, $C$12, 100%, $E$12)</f>
        <v>21.9514</v>
      </c>
      <c r="L650" s="66">
        <f>11.903 * CHOOSE(CONTROL!$C$23, $C$12, 100%, $E$12)</f>
        <v>11.903</v>
      </c>
      <c r="M650" s="66">
        <f>11.908 * CHOOSE(CONTROL!$C$23, $C$12, 100%, $E$12)</f>
        <v>11.907999999999999</v>
      </c>
      <c r="N650" s="66">
        <f>11.903 * CHOOSE(CONTROL!$C$23, $C$12, 100%, $E$12)</f>
        <v>11.903</v>
      </c>
      <c r="O650" s="66">
        <f>11.908 * CHOOSE(CONTROL!$C$23, $C$12, 100%, $E$12)</f>
        <v>11.907999999999999</v>
      </c>
    </row>
    <row r="651" spans="1:15" ht="15">
      <c r="A651" s="13">
        <v>60967</v>
      </c>
      <c r="B651" s="65">
        <f>10.2544 * CHOOSE(CONTROL!$C$23, $C$12, 100%, $E$12)</f>
        <v>10.2544</v>
      </c>
      <c r="C651" s="65">
        <f>10.2544 * CHOOSE(CONTROL!$C$23, $C$12, 100%, $E$12)</f>
        <v>10.2544</v>
      </c>
      <c r="D651" s="65">
        <f>10.2584 * CHOOSE(CONTROL!$C$23, $C$12, 100%, $E$12)</f>
        <v>10.2584</v>
      </c>
      <c r="E651" s="66">
        <f>11.7969 * CHOOSE(CONTROL!$C$23, $C$12, 100%, $E$12)</f>
        <v>11.796900000000001</v>
      </c>
      <c r="F651" s="66">
        <f>11.7969 * CHOOSE(CONTROL!$C$23, $C$12, 100%, $E$12)</f>
        <v>11.796900000000001</v>
      </c>
      <c r="G651" s="66">
        <f>11.8018 * CHOOSE(CONTROL!$C$23, $C$12, 100%, $E$12)</f>
        <v>11.8018</v>
      </c>
      <c r="H651" s="66">
        <f>21.9922* CHOOSE(CONTROL!$C$23, $C$12, 100%, $E$12)</f>
        <v>21.9922</v>
      </c>
      <c r="I651" s="66">
        <f>21.9971 * CHOOSE(CONTROL!$C$23, $C$12, 100%, $E$12)</f>
        <v>21.9971</v>
      </c>
      <c r="J651" s="66">
        <f>21.9922 * CHOOSE(CONTROL!$C$23, $C$12, 100%, $E$12)</f>
        <v>21.9922</v>
      </c>
      <c r="K651" s="66">
        <f>21.9971 * CHOOSE(CONTROL!$C$23, $C$12, 100%, $E$12)</f>
        <v>21.9971</v>
      </c>
      <c r="L651" s="66">
        <f>11.7969 * CHOOSE(CONTROL!$C$23, $C$12, 100%, $E$12)</f>
        <v>11.796900000000001</v>
      </c>
      <c r="M651" s="66">
        <f>11.8018 * CHOOSE(CONTROL!$C$23, $C$12, 100%, $E$12)</f>
        <v>11.8018</v>
      </c>
      <c r="N651" s="66">
        <f>11.7969 * CHOOSE(CONTROL!$C$23, $C$12, 100%, $E$12)</f>
        <v>11.796900000000001</v>
      </c>
      <c r="O651" s="66">
        <f>11.8018 * CHOOSE(CONTROL!$C$23, $C$12, 100%, $E$12)</f>
        <v>11.8018</v>
      </c>
    </row>
    <row r="652" spans="1:15" ht="15">
      <c r="A652" s="13">
        <v>60998</v>
      </c>
      <c r="B652" s="65">
        <f>10.3096 * CHOOSE(CONTROL!$C$23, $C$12, 100%, $E$12)</f>
        <v>10.3096</v>
      </c>
      <c r="C652" s="65">
        <f>10.3096 * CHOOSE(CONTROL!$C$23, $C$12, 100%, $E$12)</f>
        <v>10.3096</v>
      </c>
      <c r="D652" s="65">
        <f>10.3136 * CHOOSE(CONTROL!$C$23, $C$12, 100%, $E$12)</f>
        <v>10.313599999999999</v>
      </c>
      <c r="E652" s="66">
        <f>11.9374 * CHOOSE(CONTROL!$C$23, $C$12, 100%, $E$12)</f>
        <v>11.9374</v>
      </c>
      <c r="F652" s="66">
        <f>11.9374 * CHOOSE(CONTROL!$C$23, $C$12, 100%, $E$12)</f>
        <v>11.9374</v>
      </c>
      <c r="G652" s="66">
        <f>11.9423 * CHOOSE(CONTROL!$C$23, $C$12, 100%, $E$12)</f>
        <v>11.942299999999999</v>
      </c>
      <c r="H652" s="66">
        <f>21.977* CHOOSE(CONTROL!$C$23, $C$12, 100%, $E$12)</f>
        <v>21.977</v>
      </c>
      <c r="I652" s="66">
        <f>21.9819 * CHOOSE(CONTROL!$C$23, $C$12, 100%, $E$12)</f>
        <v>21.9819</v>
      </c>
      <c r="J652" s="66">
        <f>21.977 * CHOOSE(CONTROL!$C$23, $C$12, 100%, $E$12)</f>
        <v>21.977</v>
      </c>
      <c r="K652" s="66">
        <f>21.9819 * CHOOSE(CONTROL!$C$23, $C$12, 100%, $E$12)</f>
        <v>21.9819</v>
      </c>
      <c r="L652" s="66">
        <f>11.9374 * CHOOSE(CONTROL!$C$23, $C$12, 100%, $E$12)</f>
        <v>11.9374</v>
      </c>
      <c r="M652" s="66">
        <f>11.9423 * CHOOSE(CONTROL!$C$23, $C$12, 100%, $E$12)</f>
        <v>11.942299999999999</v>
      </c>
      <c r="N652" s="66">
        <f>11.9374 * CHOOSE(CONTROL!$C$23, $C$12, 100%, $E$12)</f>
        <v>11.9374</v>
      </c>
      <c r="O652" s="66">
        <f>11.9423 * CHOOSE(CONTROL!$C$23, $C$12, 100%, $E$12)</f>
        <v>11.942299999999999</v>
      </c>
    </row>
    <row r="653" spans="1:15" ht="15">
      <c r="A653" s="13">
        <v>61029</v>
      </c>
      <c r="B653" s="65">
        <f>10.3066 * CHOOSE(CONTROL!$C$23, $C$12, 100%, $E$12)</f>
        <v>10.3066</v>
      </c>
      <c r="C653" s="65">
        <f>10.3066 * CHOOSE(CONTROL!$C$23, $C$12, 100%, $E$12)</f>
        <v>10.3066</v>
      </c>
      <c r="D653" s="65">
        <f>10.3106 * CHOOSE(CONTROL!$C$23, $C$12, 100%, $E$12)</f>
        <v>10.310600000000001</v>
      </c>
      <c r="E653" s="66">
        <f>11.7297 * CHOOSE(CONTROL!$C$23, $C$12, 100%, $E$12)</f>
        <v>11.729699999999999</v>
      </c>
      <c r="F653" s="66">
        <f>11.7297 * CHOOSE(CONTROL!$C$23, $C$12, 100%, $E$12)</f>
        <v>11.729699999999999</v>
      </c>
      <c r="G653" s="66">
        <f>11.7346 * CHOOSE(CONTROL!$C$23, $C$12, 100%, $E$12)</f>
        <v>11.7346</v>
      </c>
      <c r="H653" s="66">
        <f>22.0228* CHOOSE(CONTROL!$C$23, $C$12, 100%, $E$12)</f>
        <v>22.0228</v>
      </c>
      <c r="I653" s="66">
        <f>22.0277 * CHOOSE(CONTROL!$C$23, $C$12, 100%, $E$12)</f>
        <v>22.027699999999999</v>
      </c>
      <c r="J653" s="66">
        <f>22.0228 * CHOOSE(CONTROL!$C$23, $C$12, 100%, $E$12)</f>
        <v>22.0228</v>
      </c>
      <c r="K653" s="66">
        <f>22.0277 * CHOOSE(CONTROL!$C$23, $C$12, 100%, $E$12)</f>
        <v>22.027699999999999</v>
      </c>
      <c r="L653" s="66">
        <f>11.7297 * CHOOSE(CONTROL!$C$23, $C$12, 100%, $E$12)</f>
        <v>11.729699999999999</v>
      </c>
      <c r="M653" s="66">
        <f>11.7346 * CHOOSE(CONTROL!$C$23, $C$12, 100%, $E$12)</f>
        <v>11.7346</v>
      </c>
      <c r="N653" s="66">
        <f>11.7297 * CHOOSE(CONTROL!$C$23, $C$12, 100%, $E$12)</f>
        <v>11.729699999999999</v>
      </c>
      <c r="O653" s="66">
        <f>11.7346 * CHOOSE(CONTROL!$C$23, $C$12, 100%, $E$12)</f>
        <v>11.7346</v>
      </c>
    </row>
    <row r="654" spans="1:15" ht="15">
      <c r="A654" s="13">
        <v>61057</v>
      </c>
      <c r="B654" s="65">
        <f>10.3035 * CHOOSE(CONTROL!$C$23, $C$12, 100%, $E$12)</f>
        <v>10.3035</v>
      </c>
      <c r="C654" s="65">
        <f>10.3035 * CHOOSE(CONTROL!$C$23, $C$12, 100%, $E$12)</f>
        <v>10.3035</v>
      </c>
      <c r="D654" s="65">
        <f>10.3075 * CHOOSE(CONTROL!$C$23, $C$12, 100%, $E$12)</f>
        <v>10.307499999999999</v>
      </c>
      <c r="E654" s="66">
        <f>11.8896 * CHOOSE(CONTROL!$C$23, $C$12, 100%, $E$12)</f>
        <v>11.8896</v>
      </c>
      <c r="F654" s="66">
        <f>11.8896 * CHOOSE(CONTROL!$C$23, $C$12, 100%, $E$12)</f>
        <v>11.8896</v>
      </c>
      <c r="G654" s="66">
        <f>11.8945 * CHOOSE(CONTROL!$C$23, $C$12, 100%, $E$12)</f>
        <v>11.894500000000001</v>
      </c>
      <c r="H654" s="66">
        <f>22.0687* CHOOSE(CONTROL!$C$23, $C$12, 100%, $E$12)</f>
        <v>22.0687</v>
      </c>
      <c r="I654" s="66">
        <f>22.0736 * CHOOSE(CONTROL!$C$23, $C$12, 100%, $E$12)</f>
        <v>22.073599999999999</v>
      </c>
      <c r="J654" s="66">
        <f>22.0687 * CHOOSE(CONTROL!$C$23, $C$12, 100%, $E$12)</f>
        <v>22.0687</v>
      </c>
      <c r="K654" s="66">
        <f>22.0736 * CHOOSE(CONTROL!$C$23, $C$12, 100%, $E$12)</f>
        <v>22.073599999999999</v>
      </c>
      <c r="L654" s="66">
        <f>11.8896 * CHOOSE(CONTROL!$C$23, $C$12, 100%, $E$12)</f>
        <v>11.8896</v>
      </c>
      <c r="M654" s="66">
        <f>11.8945 * CHOOSE(CONTROL!$C$23, $C$12, 100%, $E$12)</f>
        <v>11.894500000000001</v>
      </c>
      <c r="N654" s="66">
        <f>11.8896 * CHOOSE(CONTROL!$C$23, $C$12, 100%, $E$12)</f>
        <v>11.8896</v>
      </c>
      <c r="O654" s="66">
        <f>11.8945 * CHOOSE(CONTROL!$C$23, $C$12, 100%, $E$12)</f>
        <v>11.894500000000001</v>
      </c>
    </row>
    <row r="655" spans="1:15" ht="15">
      <c r="A655" s="13">
        <v>61088</v>
      </c>
      <c r="B655" s="65">
        <f>10.3065 * CHOOSE(CONTROL!$C$23, $C$12, 100%, $E$12)</f>
        <v>10.3065</v>
      </c>
      <c r="C655" s="65">
        <f>10.3065 * CHOOSE(CONTROL!$C$23, $C$12, 100%, $E$12)</f>
        <v>10.3065</v>
      </c>
      <c r="D655" s="65">
        <f>10.3105 * CHOOSE(CONTROL!$C$23, $C$12, 100%, $E$12)</f>
        <v>10.310499999999999</v>
      </c>
      <c r="E655" s="66">
        <f>12.0594 * CHOOSE(CONTROL!$C$23, $C$12, 100%, $E$12)</f>
        <v>12.0594</v>
      </c>
      <c r="F655" s="66">
        <f>12.0594 * CHOOSE(CONTROL!$C$23, $C$12, 100%, $E$12)</f>
        <v>12.0594</v>
      </c>
      <c r="G655" s="66">
        <f>12.0644 * CHOOSE(CONTROL!$C$23, $C$12, 100%, $E$12)</f>
        <v>12.064399999999999</v>
      </c>
      <c r="H655" s="66">
        <f>22.1146* CHOOSE(CONTROL!$C$23, $C$12, 100%, $E$12)</f>
        <v>22.114599999999999</v>
      </c>
      <c r="I655" s="66">
        <f>22.1196 * CHOOSE(CONTROL!$C$23, $C$12, 100%, $E$12)</f>
        <v>22.119599999999998</v>
      </c>
      <c r="J655" s="66">
        <f>22.1146 * CHOOSE(CONTROL!$C$23, $C$12, 100%, $E$12)</f>
        <v>22.114599999999999</v>
      </c>
      <c r="K655" s="66">
        <f>22.1196 * CHOOSE(CONTROL!$C$23, $C$12, 100%, $E$12)</f>
        <v>22.119599999999998</v>
      </c>
      <c r="L655" s="66">
        <f>12.0594 * CHOOSE(CONTROL!$C$23, $C$12, 100%, $E$12)</f>
        <v>12.0594</v>
      </c>
      <c r="M655" s="66">
        <f>12.0644 * CHOOSE(CONTROL!$C$23, $C$12, 100%, $E$12)</f>
        <v>12.064399999999999</v>
      </c>
      <c r="N655" s="66">
        <f>12.0594 * CHOOSE(CONTROL!$C$23, $C$12, 100%, $E$12)</f>
        <v>12.0594</v>
      </c>
      <c r="O655" s="66">
        <f>12.0644 * CHOOSE(CONTROL!$C$23, $C$12, 100%, $E$12)</f>
        <v>12.064399999999999</v>
      </c>
    </row>
    <row r="656" spans="1:15" ht="15">
      <c r="A656" s="13">
        <v>61118</v>
      </c>
      <c r="B656" s="65">
        <f>10.3065 * CHOOSE(CONTROL!$C$23, $C$12, 100%, $E$12)</f>
        <v>10.3065</v>
      </c>
      <c r="C656" s="65">
        <f>10.3065 * CHOOSE(CONTROL!$C$23, $C$12, 100%, $E$12)</f>
        <v>10.3065</v>
      </c>
      <c r="D656" s="65">
        <f>10.3121 * CHOOSE(CONTROL!$C$23, $C$12, 100%, $E$12)</f>
        <v>10.312099999999999</v>
      </c>
      <c r="E656" s="66">
        <f>12.1247 * CHOOSE(CONTROL!$C$23, $C$12, 100%, $E$12)</f>
        <v>12.124700000000001</v>
      </c>
      <c r="F656" s="66">
        <f>12.1247 * CHOOSE(CONTROL!$C$23, $C$12, 100%, $E$12)</f>
        <v>12.124700000000001</v>
      </c>
      <c r="G656" s="66">
        <f>12.1316 * CHOOSE(CONTROL!$C$23, $C$12, 100%, $E$12)</f>
        <v>12.131600000000001</v>
      </c>
      <c r="H656" s="66">
        <f>22.1607* CHOOSE(CONTROL!$C$23, $C$12, 100%, $E$12)</f>
        <v>22.160699999999999</v>
      </c>
      <c r="I656" s="66">
        <f>22.1676 * CHOOSE(CONTROL!$C$23, $C$12, 100%, $E$12)</f>
        <v>22.1676</v>
      </c>
      <c r="J656" s="66">
        <f>22.1607 * CHOOSE(CONTROL!$C$23, $C$12, 100%, $E$12)</f>
        <v>22.160699999999999</v>
      </c>
      <c r="K656" s="66">
        <f>22.1676 * CHOOSE(CONTROL!$C$23, $C$12, 100%, $E$12)</f>
        <v>22.1676</v>
      </c>
      <c r="L656" s="66">
        <f>12.1247 * CHOOSE(CONTROL!$C$23, $C$12, 100%, $E$12)</f>
        <v>12.124700000000001</v>
      </c>
      <c r="M656" s="66">
        <f>12.1316 * CHOOSE(CONTROL!$C$23, $C$12, 100%, $E$12)</f>
        <v>12.131600000000001</v>
      </c>
      <c r="N656" s="66">
        <f>12.1247 * CHOOSE(CONTROL!$C$23, $C$12, 100%, $E$12)</f>
        <v>12.124700000000001</v>
      </c>
      <c r="O656" s="66">
        <f>12.1316 * CHOOSE(CONTROL!$C$23, $C$12, 100%, $E$12)</f>
        <v>12.131600000000001</v>
      </c>
    </row>
    <row r="657" spans="1:15" ht="15">
      <c r="A657" s="13">
        <v>61149</v>
      </c>
      <c r="B657" s="65">
        <f>10.3126 * CHOOSE(CONTROL!$C$23, $C$12, 100%, $E$12)</f>
        <v>10.3126</v>
      </c>
      <c r="C657" s="65">
        <f>10.3126 * CHOOSE(CONTROL!$C$23, $C$12, 100%, $E$12)</f>
        <v>10.3126</v>
      </c>
      <c r="D657" s="65">
        <f>10.3182 * CHOOSE(CONTROL!$C$23, $C$12, 100%, $E$12)</f>
        <v>10.318199999999999</v>
      </c>
      <c r="E657" s="66">
        <f>12.0637 * CHOOSE(CONTROL!$C$23, $C$12, 100%, $E$12)</f>
        <v>12.063700000000001</v>
      </c>
      <c r="F657" s="66">
        <f>12.0637 * CHOOSE(CONTROL!$C$23, $C$12, 100%, $E$12)</f>
        <v>12.063700000000001</v>
      </c>
      <c r="G657" s="66">
        <f>12.0706 * CHOOSE(CONTROL!$C$23, $C$12, 100%, $E$12)</f>
        <v>12.070600000000001</v>
      </c>
      <c r="H657" s="66">
        <f>22.2069* CHOOSE(CONTROL!$C$23, $C$12, 100%, $E$12)</f>
        <v>22.206900000000001</v>
      </c>
      <c r="I657" s="66">
        <f>22.2138 * CHOOSE(CONTROL!$C$23, $C$12, 100%, $E$12)</f>
        <v>22.213799999999999</v>
      </c>
      <c r="J657" s="66">
        <f>22.2069 * CHOOSE(CONTROL!$C$23, $C$12, 100%, $E$12)</f>
        <v>22.206900000000001</v>
      </c>
      <c r="K657" s="66">
        <f>22.2138 * CHOOSE(CONTROL!$C$23, $C$12, 100%, $E$12)</f>
        <v>22.213799999999999</v>
      </c>
      <c r="L657" s="66">
        <f>12.0637 * CHOOSE(CONTROL!$C$23, $C$12, 100%, $E$12)</f>
        <v>12.063700000000001</v>
      </c>
      <c r="M657" s="66">
        <f>12.0706 * CHOOSE(CONTROL!$C$23, $C$12, 100%, $E$12)</f>
        <v>12.070600000000001</v>
      </c>
      <c r="N657" s="66">
        <f>12.0637 * CHOOSE(CONTROL!$C$23, $C$12, 100%, $E$12)</f>
        <v>12.063700000000001</v>
      </c>
      <c r="O657" s="66">
        <f>12.0706 * CHOOSE(CONTROL!$C$23, $C$12, 100%, $E$12)</f>
        <v>12.070600000000001</v>
      </c>
    </row>
    <row r="658" spans="1:15" ht="15">
      <c r="A658" s="13">
        <v>61179</v>
      </c>
      <c r="B658" s="65">
        <f>10.4716 * CHOOSE(CONTROL!$C$23, $C$12, 100%, $E$12)</f>
        <v>10.4716</v>
      </c>
      <c r="C658" s="65">
        <f>10.4716 * CHOOSE(CONTROL!$C$23, $C$12, 100%, $E$12)</f>
        <v>10.4716</v>
      </c>
      <c r="D658" s="65">
        <f>10.4772 * CHOOSE(CONTROL!$C$23, $C$12, 100%, $E$12)</f>
        <v>10.4772</v>
      </c>
      <c r="E658" s="66">
        <f>12.2585 * CHOOSE(CONTROL!$C$23, $C$12, 100%, $E$12)</f>
        <v>12.2585</v>
      </c>
      <c r="F658" s="66">
        <f>12.2585 * CHOOSE(CONTROL!$C$23, $C$12, 100%, $E$12)</f>
        <v>12.2585</v>
      </c>
      <c r="G658" s="66">
        <f>12.2654 * CHOOSE(CONTROL!$C$23, $C$12, 100%, $E$12)</f>
        <v>12.2654</v>
      </c>
      <c r="H658" s="66">
        <f>22.2531* CHOOSE(CONTROL!$C$23, $C$12, 100%, $E$12)</f>
        <v>22.2531</v>
      </c>
      <c r="I658" s="66">
        <f>22.26 * CHOOSE(CONTROL!$C$23, $C$12, 100%, $E$12)</f>
        <v>22.26</v>
      </c>
      <c r="J658" s="66">
        <f>22.2531 * CHOOSE(CONTROL!$C$23, $C$12, 100%, $E$12)</f>
        <v>22.2531</v>
      </c>
      <c r="K658" s="66">
        <f>22.26 * CHOOSE(CONTROL!$C$23, $C$12, 100%, $E$12)</f>
        <v>22.26</v>
      </c>
      <c r="L658" s="66">
        <f>12.2585 * CHOOSE(CONTROL!$C$23, $C$12, 100%, $E$12)</f>
        <v>12.2585</v>
      </c>
      <c r="M658" s="66">
        <f>12.2654 * CHOOSE(CONTROL!$C$23, $C$12, 100%, $E$12)</f>
        <v>12.2654</v>
      </c>
      <c r="N658" s="66">
        <f>12.2585 * CHOOSE(CONTROL!$C$23, $C$12, 100%, $E$12)</f>
        <v>12.2585</v>
      </c>
      <c r="O658" s="66">
        <f>12.2654 * CHOOSE(CONTROL!$C$23, $C$12, 100%, $E$12)</f>
        <v>12.2654</v>
      </c>
    </row>
    <row r="659" spans="1:15" ht="15">
      <c r="A659" s="13">
        <v>61210</v>
      </c>
      <c r="B659" s="65">
        <f>10.4782 * CHOOSE(CONTROL!$C$23, $C$12, 100%, $E$12)</f>
        <v>10.478199999999999</v>
      </c>
      <c r="C659" s="65">
        <f>10.4782 * CHOOSE(CONTROL!$C$23, $C$12, 100%, $E$12)</f>
        <v>10.478199999999999</v>
      </c>
      <c r="D659" s="65">
        <f>10.4839 * CHOOSE(CONTROL!$C$23, $C$12, 100%, $E$12)</f>
        <v>10.4839</v>
      </c>
      <c r="E659" s="66">
        <f>12.0674 * CHOOSE(CONTROL!$C$23, $C$12, 100%, $E$12)</f>
        <v>12.067399999999999</v>
      </c>
      <c r="F659" s="66">
        <f>12.0674 * CHOOSE(CONTROL!$C$23, $C$12, 100%, $E$12)</f>
        <v>12.067399999999999</v>
      </c>
      <c r="G659" s="66">
        <f>12.0743 * CHOOSE(CONTROL!$C$23, $C$12, 100%, $E$12)</f>
        <v>12.074299999999999</v>
      </c>
      <c r="H659" s="66">
        <f>22.2995* CHOOSE(CONTROL!$C$23, $C$12, 100%, $E$12)</f>
        <v>22.299499999999998</v>
      </c>
      <c r="I659" s="66">
        <f>22.3064 * CHOOSE(CONTROL!$C$23, $C$12, 100%, $E$12)</f>
        <v>22.3064</v>
      </c>
      <c r="J659" s="66">
        <f>22.2995 * CHOOSE(CONTROL!$C$23, $C$12, 100%, $E$12)</f>
        <v>22.299499999999998</v>
      </c>
      <c r="K659" s="66">
        <f>22.3064 * CHOOSE(CONTROL!$C$23, $C$12, 100%, $E$12)</f>
        <v>22.3064</v>
      </c>
      <c r="L659" s="66">
        <f>12.0674 * CHOOSE(CONTROL!$C$23, $C$12, 100%, $E$12)</f>
        <v>12.067399999999999</v>
      </c>
      <c r="M659" s="66">
        <f>12.0743 * CHOOSE(CONTROL!$C$23, $C$12, 100%, $E$12)</f>
        <v>12.074299999999999</v>
      </c>
      <c r="N659" s="66">
        <f>12.0674 * CHOOSE(CONTROL!$C$23, $C$12, 100%, $E$12)</f>
        <v>12.067399999999999</v>
      </c>
      <c r="O659" s="66">
        <f>12.0743 * CHOOSE(CONTROL!$C$23, $C$12, 100%, $E$12)</f>
        <v>12.074299999999999</v>
      </c>
    </row>
    <row r="660" spans="1:15" ht="15">
      <c r="A660" s="13">
        <v>61241</v>
      </c>
      <c r="B660" s="65">
        <f>10.4752 * CHOOSE(CONTROL!$C$23, $C$12, 100%, $E$12)</f>
        <v>10.475199999999999</v>
      </c>
      <c r="C660" s="65">
        <f>10.4752 * CHOOSE(CONTROL!$C$23, $C$12, 100%, $E$12)</f>
        <v>10.475199999999999</v>
      </c>
      <c r="D660" s="65">
        <f>10.4808 * CHOOSE(CONTROL!$C$23, $C$12, 100%, $E$12)</f>
        <v>10.4808</v>
      </c>
      <c r="E660" s="66">
        <f>12.0435 * CHOOSE(CONTROL!$C$23, $C$12, 100%, $E$12)</f>
        <v>12.0435</v>
      </c>
      <c r="F660" s="66">
        <f>12.0435 * CHOOSE(CONTROL!$C$23, $C$12, 100%, $E$12)</f>
        <v>12.0435</v>
      </c>
      <c r="G660" s="66">
        <f>12.0504 * CHOOSE(CONTROL!$C$23, $C$12, 100%, $E$12)</f>
        <v>12.0504</v>
      </c>
      <c r="H660" s="66">
        <f>22.346* CHOOSE(CONTROL!$C$23, $C$12, 100%, $E$12)</f>
        <v>22.346</v>
      </c>
      <c r="I660" s="66">
        <f>22.3528 * CHOOSE(CONTROL!$C$23, $C$12, 100%, $E$12)</f>
        <v>22.352799999999998</v>
      </c>
      <c r="J660" s="66">
        <f>22.346 * CHOOSE(CONTROL!$C$23, $C$12, 100%, $E$12)</f>
        <v>22.346</v>
      </c>
      <c r="K660" s="66">
        <f>22.3528 * CHOOSE(CONTROL!$C$23, $C$12, 100%, $E$12)</f>
        <v>22.352799999999998</v>
      </c>
      <c r="L660" s="66">
        <f>12.0435 * CHOOSE(CONTROL!$C$23, $C$12, 100%, $E$12)</f>
        <v>12.0435</v>
      </c>
      <c r="M660" s="66">
        <f>12.0504 * CHOOSE(CONTROL!$C$23, $C$12, 100%, $E$12)</f>
        <v>12.0504</v>
      </c>
      <c r="N660" s="66">
        <f>12.0435 * CHOOSE(CONTROL!$C$23, $C$12, 100%, $E$12)</f>
        <v>12.0435</v>
      </c>
      <c r="O660" s="66">
        <f>12.0504 * CHOOSE(CONTROL!$C$23, $C$12, 100%, $E$12)</f>
        <v>12.0504</v>
      </c>
    </row>
    <row r="661" spans="1:15" ht="15">
      <c r="A661" s="13">
        <v>61271</v>
      </c>
      <c r="B661" s="65">
        <f>10.4913 * CHOOSE(CONTROL!$C$23, $C$12, 100%, $E$12)</f>
        <v>10.491300000000001</v>
      </c>
      <c r="C661" s="65">
        <f>10.4913 * CHOOSE(CONTROL!$C$23, $C$12, 100%, $E$12)</f>
        <v>10.491300000000001</v>
      </c>
      <c r="D661" s="65">
        <f>10.4953 * CHOOSE(CONTROL!$C$23, $C$12, 100%, $E$12)</f>
        <v>10.4953</v>
      </c>
      <c r="E661" s="66">
        <f>12.1171 * CHOOSE(CONTROL!$C$23, $C$12, 100%, $E$12)</f>
        <v>12.117100000000001</v>
      </c>
      <c r="F661" s="66">
        <f>12.1171 * CHOOSE(CONTROL!$C$23, $C$12, 100%, $E$12)</f>
        <v>12.117100000000001</v>
      </c>
      <c r="G661" s="66">
        <f>12.122 * CHOOSE(CONTROL!$C$23, $C$12, 100%, $E$12)</f>
        <v>12.122</v>
      </c>
      <c r="H661" s="66">
        <f>22.3925* CHOOSE(CONTROL!$C$23, $C$12, 100%, $E$12)</f>
        <v>22.392499999999998</v>
      </c>
      <c r="I661" s="66">
        <f>22.3974 * CHOOSE(CONTROL!$C$23, $C$12, 100%, $E$12)</f>
        <v>22.397400000000001</v>
      </c>
      <c r="J661" s="66">
        <f>22.3925 * CHOOSE(CONTROL!$C$23, $C$12, 100%, $E$12)</f>
        <v>22.392499999999998</v>
      </c>
      <c r="K661" s="66">
        <f>22.3974 * CHOOSE(CONTROL!$C$23, $C$12, 100%, $E$12)</f>
        <v>22.397400000000001</v>
      </c>
      <c r="L661" s="66">
        <f>12.1171 * CHOOSE(CONTROL!$C$23, $C$12, 100%, $E$12)</f>
        <v>12.117100000000001</v>
      </c>
      <c r="M661" s="66">
        <f>12.122 * CHOOSE(CONTROL!$C$23, $C$12, 100%, $E$12)</f>
        <v>12.122</v>
      </c>
      <c r="N661" s="66">
        <f>12.1171 * CHOOSE(CONTROL!$C$23, $C$12, 100%, $E$12)</f>
        <v>12.117100000000001</v>
      </c>
      <c r="O661" s="66">
        <f>12.122 * CHOOSE(CONTROL!$C$23, $C$12, 100%, $E$12)</f>
        <v>12.122</v>
      </c>
    </row>
    <row r="662" spans="1:15" ht="15">
      <c r="A662" s="13">
        <v>61302</v>
      </c>
      <c r="B662" s="65">
        <f>10.4943 * CHOOSE(CONTROL!$C$23, $C$12, 100%, $E$12)</f>
        <v>10.494300000000001</v>
      </c>
      <c r="C662" s="65">
        <f>10.4943 * CHOOSE(CONTROL!$C$23, $C$12, 100%, $E$12)</f>
        <v>10.494300000000001</v>
      </c>
      <c r="D662" s="65">
        <f>10.4983 * CHOOSE(CONTROL!$C$23, $C$12, 100%, $E$12)</f>
        <v>10.4983</v>
      </c>
      <c r="E662" s="66">
        <f>12.1627 * CHOOSE(CONTROL!$C$23, $C$12, 100%, $E$12)</f>
        <v>12.162699999999999</v>
      </c>
      <c r="F662" s="66">
        <f>12.1627 * CHOOSE(CONTROL!$C$23, $C$12, 100%, $E$12)</f>
        <v>12.162699999999999</v>
      </c>
      <c r="G662" s="66">
        <f>12.1676 * CHOOSE(CONTROL!$C$23, $C$12, 100%, $E$12)</f>
        <v>12.1676</v>
      </c>
      <c r="H662" s="66">
        <f>22.4392* CHOOSE(CONTROL!$C$23, $C$12, 100%, $E$12)</f>
        <v>22.4392</v>
      </c>
      <c r="I662" s="66">
        <f>22.4441 * CHOOSE(CONTROL!$C$23, $C$12, 100%, $E$12)</f>
        <v>22.444099999999999</v>
      </c>
      <c r="J662" s="66">
        <f>22.4392 * CHOOSE(CONTROL!$C$23, $C$12, 100%, $E$12)</f>
        <v>22.4392</v>
      </c>
      <c r="K662" s="66">
        <f>22.4441 * CHOOSE(CONTROL!$C$23, $C$12, 100%, $E$12)</f>
        <v>22.444099999999999</v>
      </c>
      <c r="L662" s="66">
        <f>12.1627 * CHOOSE(CONTROL!$C$23, $C$12, 100%, $E$12)</f>
        <v>12.162699999999999</v>
      </c>
      <c r="M662" s="66">
        <f>12.1676 * CHOOSE(CONTROL!$C$23, $C$12, 100%, $E$12)</f>
        <v>12.1676</v>
      </c>
      <c r="N662" s="66">
        <f>12.1627 * CHOOSE(CONTROL!$C$23, $C$12, 100%, $E$12)</f>
        <v>12.162699999999999</v>
      </c>
      <c r="O662" s="66">
        <f>12.1676 * CHOOSE(CONTROL!$C$23, $C$12, 100%, $E$12)</f>
        <v>12.1676</v>
      </c>
    </row>
    <row r="663" spans="1:15" ht="15">
      <c r="A663" s="13">
        <v>61332</v>
      </c>
      <c r="B663" s="65">
        <f>10.4943 * CHOOSE(CONTROL!$C$23, $C$12, 100%, $E$12)</f>
        <v>10.494300000000001</v>
      </c>
      <c r="C663" s="65">
        <f>10.4943 * CHOOSE(CONTROL!$C$23, $C$12, 100%, $E$12)</f>
        <v>10.494300000000001</v>
      </c>
      <c r="D663" s="65">
        <f>10.4983 * CHOOSE(CONTROL!$C$23, $C$12, 100%, $E$12)</f>
        <v>10.4983</v>
      </c>
      <c r="E663" s="66">
        <f>12.0539 * CHOOSE(CONTROL!$C$23, $C$12, 100%, $E$12)</f>
        <v>12.053900000000001</v>
      </c>
      <c r="F663" s="66">
        <f>12.0539 * CHOOSE(CONTROL!$C$23, $C$12, 100%, $E$12)</f>
        <v>12.053900000000001</v>
      </c>
      <c r="G663" s="66">
        <f>12.0589 * CHOOSE(CONTROL!$C$23, $C$12, 100%, $E$12)</f>
        <v>12.0589</v>
      </c>
      <c r="H663" s="66">
        <f>22.4859* CHOOSE(CONTROL!$C$23, $C$12, 100%, $E$12)</f>
        <v>22.485900000000001</v>
      </c>
      <c r="I663" s="66">
        <f>22.4908 * CHOOSE(CONTROL!$C$23, $C$12, 100%, $E$12)</f>
        <v>22.4908</v>
      </c>
      <c r="J663" s="66">
        <f>22.4859 * CHOOSE(CONTROL!$C$23, $C$12, 100%, $E$12)</f>
        <v>22.485900000000001</v>
      </c>
      <c r="K663" s="66">
        <f>22.4908 * CHOOSE(CONTROL!$C$23, $C$12, 100%, $E$12)</f>
        <v>22.4908</v>
      </c>
      <c r="L663" s="66">
        <f>12.0539 * CHOOSE(CONTROL!$C$23, $C$12, 100%, $E$12)</f>
        <v>12.053900000000001</v>
      </c>
      <c r="M663" s="66">
        <f>12.0589 * CHOOSE(CONTROL!$C$23, $C$12, 100%, $E$12)</f>
        <v>12.0589</v>
      </c>
      <c r="N663" s="66">
        <f>12.0539 * CHOOSE(CONTROL!$C$23, $C$12, 100%, $E$12)</f>
        <v>12.053900000000001</v>
      </c>
      <c r="O663" s="66">
        <f>12.0589 * CHOOSE(CONTROL!$C$23, $C$12, 100%, $E$12)</f>
        <v>12.0589</v>
      </c>
    </row>
    <row r="664" spans="1:15" ht="15">
      <c r="A664" s="13">
        <v>61363</v>
      </c>
      <c r="B664" s="65">
        <f>10.5452 * CHOOSE(CONTROL!$C$23, $C$12, 100%, $E$12)</f>
        <v>10.545199999999999</v>
      </c>
      <c r="C664" s="65">
        <f>10.5452 * CHOOSE(CONTROL!$C$23, $C$12, 100%, $E$12)</f>
        <v>10.545199999999999</v>
      </c>
      <c r="D664" s="65">
        <f>10.5492 * CHOOSE(CONTROL!$C$23, $C$12, 100%, $E$12)</f>
        <v>10.549200000000001</v>
      </c>
      <c r="E664" s="66">
        <f>12.1921 * CHOOSE(CONTROL!$C$23, $C$12, 100%, $E$12)</f>
        <v>12.1921</v>
      </c>
      <c r="F664" s="66">
        <f>12.1921 * CHOOSE(CONTROL!$C$23, $C$12, 100%, $E$12)</f>
        <v>12.1921</v>
      </c>
      <c r="G664" s="66">
        <f>12.197 * CHOOSE(CONTROL!$C$23, $C$12, 100%, $E$12)</f>
        <v>12.196999999999999</v>
      </c>
      <c r="H664" s="66">
        <f>22.4595* CHOOSE(CONTROL!$C$23, $C$12, 100%, $E$12)</f>
        <v>22.459499999999998</v>
      </c>
      <c r="I664" s="66">
        <f>22.4645 * CHOOSE(CONTROL!$C$23, $C$12, 100%, $E$12)</f>
        <v>22.464500000000001</v>
      </c>
      <c r="J664" s="66">
        <f>22.4595 * CHOOSE(CONTROL!$C$23, $C$12, 100%, $E$12)</f>
        <v>22.459499999999998</v>
      </c>
      <c r="K664" s="66">
        <f>22.4645 * CHOOSE(CONTROL!$C$23, $C$12, 100%, $E$12)</f>
        <v>22.464500000000001</v>
      </c>
      <c r="L664" s="66">
        <f>12.1921 * CHOOSE(CONTROL!$C$23, $C$12, 100%, $E$12)</f>
        <v>12.1921</v>
      </c>
      <c r="M664" s="66">
        <f>12.197 * CHOOSE(CONTROL!$C$23, $C$12, 100%, $E$12)</f>
        <v>12.196999999999999</v>
      </c>
      <c r="N664" s="66">
        <f>12.1921 * CHOOSE(CONTROL!$C$23, $C$12, 100%, $E$12)</f>
        <v>12.1921</v>
      </c>
      <c r="O664" s="66">
        <f>12.197 * CHOOSE(CONTROL!$C$23, $C$12, 100%, $E$12)</f>
        <v>12.196999999999999</v>
      </c>
    </row>
    <row r="665" spans="1:15" ht="15">
      <c r="A665" s="13">
        <v>61394</v>
      </c>
      <c r="B665" s="65">
        <f>10.5421 * CHOOSE(CONTROL!$C$23, $C$12, 100%, $E$12)</f>
        <v>10.5421</v>
      </c>
      <c r="C665" s="65">
        <f>10.5421 * CHOOSE(CONTROL!$C$23, $C$12, 100%, $E$12)</f>
        <v>10.5421</v>
      </c>
      <c r="D665" s="65">
        <f>10.5461 * CHOOSE(CONTROL!$C$23, $C$12, 100%, $E$12)</f>
        <v>10.546099999999999</v>
      </c>
      <c r="E665" s="66">
        <f>11.9794 * CHOOSE(CONTROL!$C$23, $C$12, 100%, $E$12)</f>
        <v>11.9794</v>
      </c>
      <c r="F665" s="66">
        <f>11.9794 * CHOOSE(CONTROL!$C$23, $C$12, 100%, $E$12)</f>
        <v>11.9794</v>
      </c>
      <c r="G665" s="66">
        <f>11.9844 * CHOOSE(CONTROL!$C$23, $C$12, 100%, $E$12)</f>
        <v>11.984400000000001</v>
      </c>
      <c r="H665" s="66">
        <f>22.5063* CHOOSE(CONTROL!$C$23, $C$12, 100%, $E$12)</f>
        <v>22.5063</v>
      </c>
      <c r="I665" s="66">
        <f>22.5112 * CHOOSE(CONTROL!$C$23, $C$12, 100%, $E$12)</f>
        <v>22.511199999999999</v>
      </c>
      <c r="J665" s="66">
        <f>22.5063 * CHOOSE(CONTROL!$C$23, $C$12, 100%, $E$12)</f>
        <v>22.5063</v>
      </c>
      <c r="K665" s="66">
        <f>22.5112 * CHOOSE(CONTROL!$C$23, $C$12, 100%, $E$12)</f>
        <v>22.511199999999999</v>
      </c>
      <c r="L665" s="66">
        <f>11.9794 * CHOOSE(CONTROL!$C$23, $C$12, 100%, $E$12)</f>
        <v>11.9794</v>
      </c>
      <c r="M665" s="66">
        <f>11.9844 * CHOOSE(CONTROL!$C$23, $C$12, 100%, $E$12)</f>
        <v>11.984400000000001</v>
      </c>
      <c r="N665" s="66">
        <f>11.9794 * CHOOSE(CONTROL!$C$23, $C$12, 100%, $E$12)</f>
        <v>11.9794</v>
      </c>
      <c r="O665" s="66">
        <f>11.9844 * CHOOSE(CONTROL!$C$23, $C$12, 100%, $E$12)</f>
        <v>11.984400000000001</v>
      </c>
    </row>
    <row r="666" spans="1:15" ht="15">
      <c r="A666" s="13">
        <v>61423</v>
      </c>
      <c r="B666" s="65">
        <f>10.5391 * CHOOSE(CONTROL!$C$23, $C$12, 100%, $E$12)</f>
        <v>10.539099999999999</v>
      </c>
      <c r="C666" s="65">
        <f>10.5391 * CHOOSE(CONTROL!$C$23, $C$12, 100%, $E$12)</f>
        <v>10.539099999999999</v>
      </c>
      <c r="D666" s="65">
        <f>10.5431 * CHOOSE(CONTROL!$C$23, $C$12, 100%, $E$12)</f>
        <v>10.543100000000001</v>
      </c>
      <c r="E666" s="66">
        <f>12.1433 * CHOOSE(CONTROL!$C$23, $C$12, 100%, $E$12)</f>
        <v>12.1433</v>
      </c>
      <c r="F666" s="66">
        <f>12.1433 * CHOOSE(CONTROL!$C$23, $C$12, 100%, $E$12)</f>
        <v>12.1433</v>
      </c>
      <c r="G666" s="66">
        <f>12.1482 * CHOOSE(CONTROL!$C$23, $C$12, 100%, $E$12)</f>
        <v>12.148199999999999</v>
      </c>
      <c r="H666" s="66">
        <f>22.5532* CHOOSE(CONTROL!$C$23, $C$12, 100%, $E$12)</f>
        <v>22.5532</v>
      </c>
      <c r="I666" s="66">
        <f>22.5581 * CHOOSE(CONTROL!$C$23, $C$12, 100%, $E$12)</f>
        <v>22.5581</v>
      </c>
      <c r="J666" s="66">
        <f>22.5532 * CHOOSE(CONTROL!$C$23, $C$12, 100%, $E$12)</f>
        <v>22.5532</v>
      </c>
      <c r="K666" s="66">
        <f>22.5581 * CHOOSE(CONTROL!$C$23, $C$12, 100%, $E$12)</f>
        <v>22.5581</v>
      </c>
      <c r="L666" s="66">
        <f>12.1433 * CHOOSE(CONTROL!$C$23, $C$12, 100%, $E$12)</f>
        <v>12.1433</v>
      </c>
      <c r="M666" s="66">
        <f>12.1482 * CHOOSE(CONTROL!$C$23, $C$12, 100%, $E$12)</f>
        <v>12.148199999999999</v>
      </c>
      <c r="N666" s="66">
        <f>12.1433 * CHOOSE(CONTROL!$C$23, $C$12, 100%, $E$12)</f>
        <v>12.1433</v>
      </c>
      <c r="O666" s="66">
        <f>12.1482 * CHOOSE(CONTROL!$C$23, $C$12, 100%, $E$12)</f>
        <v>12.148199999999999</v>
      </c>
    </row>
    <row r="667" spans="1:15" ht="15">
      <c r="A667" s="13">
        <v>61454</v>
      </c>
      <c r="B667" s="65">
        <f>10.5423 * CHOOSE(CONTROL!$C$23, $C$12, 100%, $E$12)</f>
        <v>10.542299999999999</v>
      </c>
      <c r="C667" s="65">
        <f>10.5423 * CHOOSE(CONTROL!$C$23, $C$12, 100%, $E$12)</f>
        <v>10.542299999999999</v>
      </c>
      <c r="D667" s="65">
        <f>10.5463 * CHOOSE(CONTROL!$C$23, $C$12, 100%, $E$12)</f>
        <v>10.5463</v>
      </c>
      <c r="E667" s="66">
        <f>12.3173 * CHOOSE(CONTROL!$C$23, $C$12, 100%, $E$12)</f>
        <v>12.317299999999999</v>
      </c>
      <c r="F667" s="66">
        <f>12.3173 * CHOOSE(CONTROL!$C$23, $C$12, 100%, $E$12)</f>
        <v>12.317299999999999</v>
      </c>
      <c r="G667" s="66">
        <f>12.3222 * CHOOSE(CONTROL!$C$23, $C$12, 100%, $E$12)</f>
        <v>12.3222</v>
      </c>
      <c r="H667" s="66">
        <f>22.6002* CHOOSE(CONTROL!$C$23, $C$12, 100%, $E$12)</f>
        <v>22.600200000000001</v>
      </c>
      <c r="I667" s="66">
        <f>22.6051 * CHOOSE(CONTROL!$C$23, $C$12, 100%, $E$12)</f>
        <v>22.6051</v>
      </c>
      <c r="J667" s="66">
        <f>22.6002 * CHOOSE(CONTROL!$C$23, $C$12, 100%, $E$12)</f>
        <v>22.600200000000001</v>
      </c>
      <c r="K667" s="66">
        <f>22.6051 * CHOOSE(CONTROL!$C$23, $C$12, 100%, $E$12)</f>
        <v>22.6051</v>
      </c>
      <c r="L667" s="66">
        <f>12.3173 * CHOOSE(CONTROL!$C$23, $C$12, 100%, $E$12)</f>
        <v>12.317299999999999</v>
      </c>
      <c r="M667" s="66">
        <f>12.3222 * CHOOSE(CONTROL!$C$23, $C$12, 100%, $E$12)</f>
        <v>12.3222</v>
      </c>
      <c r="N667" s="66">
        <f>12.3173 * CHOOSE(CONTROL!$C$23, $C$12, 100%, $E$12)</f>
        <v>12.317299999999999</v>
      </c>
      <c r="O667" s="66">
        <f>12.3222 * CHOOSE(CONTROL!$C$23, $C$12, 100%, $E$12)</f>
        <v>12.3222</v>
      </c>
    </row>
    <row r="668" spans="1:15" ht="15">
      <c r="A668" s="13">
        <v>61484</v>
      </c>
      <c r="B668" s="65">
        <f>10.5423 * CHOOSE(CONTROL!$C$23, $C$12, 100%, $E$12)</f>
        <v>10.542299999999999</v>
      </c>
      <c r="C668" s="65">
        <f>10.5423 * CHOOSE(CONTROL!$C$23, $C$12, 100%, $E$12)</f>
        <v>10.542299999999999</v>
      </c>
      <c r="D668" s="65">
        <f>10.5479 * CHOOSE(CONTROL!$C$23, $C$12, 100%, $E$12)</f>
        <v>10.5479</v>
      </c>
      <c r="E668" s="66">
        <f>12.3841 * CHOOSE(CONTROL!$C$23, $C$12, 100%, $E$12)</f>
        <v>12.3841</v>
      </c>
      <c r="F668" s="66">
        <f>12.3841 * CHOOSE(CONTROL!$C$23, $C$12, 100%, $E$12)</f>
        <v>12.3841</v>
      </c>
      <c r="G668" s="66">
        <f>12.391 * CHOOSE(CONTROL!$C$23, $C$12, 100%, $E$12)</f>
        <v>12.391</v>
      </c>
      <c r="H668" s="66">
        <f>22.6473* CHOOSE(CONTROL!$C$23, $C$12, 100%, $E$12)</f>
        <v>22.647300000000001</v>
      </c>
      <c r="I668" s="66">
        <f>22.6542 * CHOOSE(CONTROL!$C$23, $C$12, 100%, $E$12)</f>
        <v>22.654199999999999</v>
      </c>
      <c r="J668" s="66">
        <f>22.6473 * CHOOSE(CONTROL!$C$23, $C$12, 100%, $E$12)</f>
        <v>22.647300000000001</v>
      </c>
      <c r="K668" s="66">
        <f>22.6542 * CHOOSE(CONTROL!$C$23, $C$12, 100%, $E$12)</f>
        <v>22.654199999999999</v>
      </c>
      <c r="L668" s="66">
        <f>12.3841 * CHOOSE(CONTROL!$C$23, $C$12, 100%, $E$12)</f>
        <v>12.3841</v>
      </c>
      <c r="M668" s="66">
        <f>12.391 * CHOOSE(CONTROL!$C$23, $C$12, 100%, $E$12)</f>
        <v>12.391</v>
      </c>
      <c r="N668" s="66">
        <f>12.3841 * CHOOSE(CONTROL!$C$23, $C$12, 100%, $E$12)</f>
        <v>12.3841</v>
      </c>
      <c r="O668" s="66">
        <f>12.391 * CHOOSE(CONTROL!$C$23, $C$12, 100%, $E$12)</f>
        <v>12.391</v>
      </c>
    </row>
    <row r="669" spans="1:15" ht="15">
      <c r="A669" s="13">
        <v>61515</v>
      </c>
      <c r="B669" s="65">
        <f>10.5483 * CHOOSE(CONTROL!$C$23, $C$12, 100%, $E$12)</f>
        <v>10.548299999999999</v>
      </c>
      <c r="C669" s="65">
        <f>10.5483 * CHOOSE(CONTROL!$C$23, $C$12, 100%, $E$12)</f>
        <v>10.548299999999999</v>
      </c>
      <c r="D669" s="65">
        <f>10.554 * CHOOSE(CONTROL!$C$23, $C$12, 100%, $E$12)</f>
        <v>10.554</v>
      </c>
      <c r="E669" s="66">
        <f>12.3215 * CHOOSE(CONTROL!$C$23, $C$12, 100%, $E$12)</f>
        <v>12.3215</v>
      </c>
      <c r="F669" s="66">
        <f>12.3215 * CHOOSE(CONTROL!$C$23, $C$12, 100%, $E$12)</f>
        <v>12.3215</v>
      </c>
      <c r="G669" s="66">
        <f>12.3284 * CHOOSE(CONTROL!$C$23, $C$12, 100%, $E$12)</f>
        <v>12.3284</v>
      </c>
      <c r="H669" s="66">
        <f>22.6945* CHOOSE(CONTROL!$C$23, $C$12, 100%, $E$12)</f>
        <v>22.694500000000001</v>
      </c>
      <c r="I669" s="66">
        <f>22.7014 * CHOOSE(CONTROL!$C$23, $C$12, 100%, $E$12)</f>
        <v>22.7014</v>
      </c>
      <c r="J669" s="66">
        <f>22.6945 * CHOOSE(CONTROL!$C$23, $C$12, 100%, $E$12)</f>
        <v>22.694500000000001</v>
      </c>
      <c r="K669" s="66">
        <f>22.7014 * CHOOSE(CONTROL!$C$23, $C$12, 100%, $E$12)</f>
        <v>22.7014</v>
      </c>
      <c r="L669" s="66">
        <f>12.3215 * CHOOSE(CONTROL!$C$23, $C$12, 100%, $E$12)</f>
        <v>12.3215</v>
      </c>
      <c r="M669" s="66">
        <f>12.3284 * CHOOSE(CONTROL!$C$23, $C$12, 100%, $E$12)</f>
        <v>12.3284</v>
      </c>
      <c r="N669" s="66">
        <f>12.3215 * CHOOSE(CONTROL!$C$23, $C$12, 100%, $E$12)</f>
        <v>12.3215</v>
      </c>
      <c r="O669" s="66">
        <f>12.3284 * CHOOSE(CONTROL!$C$23, $C$12, 100%, $E$12)</f>
        <v>12.3284</v>
      </c>
    </row>
    <row r="670" spans="1:15" ht="15">
      <c r="A670" s="13">
        <v>61545</v>
      </c>
      <c r="B670" s="65">
        <f>10.7107 * CHOOSE(CONTROL!$C$23, $C$12, 100%, $E$12)</f>
        <v>10.710699999999999</v>
      </c>
      <c r="C670" s="65">
        <f>10.7107 * CHOOSE(CONTROL!$C$23, $C$12, 100%, $E$12)</f>
        <v>10.710699999999999</v>
      </c>
      <c r="D670" s="65">
        <f>10.7164 * CHOOSE(CONTROL!$C$23, $C$12, 100%, $E$12)</f>
        <v>10.7164</v>
      </c>
      <c r="E670" s="66">
        <f>12.5203 * CHOOSE(CONTROL!$C$23, $C$12, 100%, $E$12)</f>
        <v>12.520300000000001</v>
      </c>
      <c r="F670" s="66">
        <f>12.5203 * CHOOSE(CONTROL!$C$23, $C$12, 100%, $E$12)</f>
        <v>12.520300000000001</v>
      </c>
      <c r="G670" s="66">
        <f>12.5272 * CHOOSE(CONTROL!$C$23, $C$12, 100%, $E$12)</f>
        <v>12.527200000000001</v>
      </c>
      <c r="H670" s="66">
        <f>22.7417* CHOOSE(CONTROL!$C$23, $C$12, 100%, $E$12)</f>
        <v>22.741700000000002</v>
      </c>
      <c r="I670" s="66">
        <f>22.7486 * CHOOSE(CONTROL!$C$23, $C$12, 100%, $E$12)</f>
        <v>22.7486</v>
      </c>
      <c r="J670" s="66">
        <f>22.7417 * CHOOSE(CONTROL!$C$23, $C$12, 100%, $E$12)</f>
        <v>22.741700000000002</v>
      </c>
      <c r="K670" s="66">
        <f>22.7486 * CHOOSE(CONTROL!$C$23, $C$12, 100%, $E$12)</f>
        <v>22.7486</v>
      </c>
      <c r="L670" s="66">
        <f>12.5203 * CHOOSE(CONTROL!$C$23, $C$12, 100%, $E$12)</f>
        <v>12.520300000000001</v>
      </c>
      <c r="M670" s="66">
        <f>12.5272 * CHOOSE(CONTROL!$C$23, $C$12, 100%, $E$12)</f>
        <v>12.527200000000001</v>
      </c>
      <c r="N670" s="66">
        <f>12.5203 * CHOOSE(CONTROL!$C$23, $C$12, 100%, $E$12)</f>
        <v>12.520300000000001</v>
      </c>
      <c r="O670" s="66">
        <f>12.5272 * CHOOSE(CONTROL!$C$23, $C$12, 100%, $E$12)</f>
        <v>12.527200000000001</v>
      </c>
    </row>
    <row r="671" spans="1:15" ht="15">
      <c r="A671" s="13">
        <v>61576</v>
      </c>
      <c r="B671" s="65">
        <f>10.7174 * CHOOSE(CONTROL!$C$23, $C$12, 100%, $E$12)</f>
        <v>10.7174</v>
      </c>
      <c r="C671" s="65">
        <f>10.7174 * CHOOSE(CONTROL!$C$23, $C$12, 100%, $E$12)</f>
        <v>10.7174</v>
      </c>
      <c r="D671" s="65">
        <f>10.7231 * CHOOSE(CONTROL!$C$23, $C$12, 100%, $E$12)</f>
        <v>10.723100000000001</v>
      </c>
      <c r="E671" s="66">
        <f>12.3244 * CHOOSE(CONTROL!$C$23, $C$12, 100%, $E$12)</f>
        <v>12.324400000000001</v>
      </c>
      <c r="F671" s="66">
        <f>12.3244 * CHOOSE(CONTROL!$C$23, $C$12, 100%, $E$12)</f>
        <v>12.324400000000001</v>
      </c>
      <c r="G671" s="66">
        <f>12.3313 * CHOOSE(CONTROL!$C$23, $C$12, 100%, $E$12)</f>
        <v>12.331300000000001</v>
      </c>
      <c r="H671" s="66">
        <f>22.7891* CHOOSE(CONTROL!$C$23, $C$12, 100%, $E$12)</f>
        <v>22.789100000000001</v>
      </c>
      <c r="I671" s="66">
        <f>22.796 * CHOOSE(CONTROL!$C$23, $C$12, 100%, $E$12)</f>
        <v>22.795999999999999</v>
      </c>
      <c r="J671" s="66">
        <f>22.7891 * CHOOSE(CONTROL!$C$23, $C$12, 100%, $E$12)</f>
        <v>22.789100000000001</v>
      </c>
      <c r="K671" s="66">
        <f>22.796 * CHOOSE(CONTROL!$C$23, $C$12, 100%, $E$12)</f>
        <v>22.795999999999999</v>
      </c>
      <c r="L671" s="66">
        <f>12.3244 * CHOOSE(CONTROL!$C$23, $C$12, 100%, $E$12)</f>
        <v>12.324400000000001</v>
      </c>
      <c r="M671" s="66">
        <f>12.3313 * CHOOSE(CONTROL!$C$23, $C$12, 100%, $E$12)</f>
        <v>12.331300000000001</v>
      </c>
      <c r="N671" s="66">
        <f>12.3244 * CHOOSE(CONTROL!$C$23, $C$12, 100%, $E$12)</f>
        <v>12.324400000000001</v>
      </c>
      <c r="O671" s="66">
        <f>12.3313 * CHOOSE(CONTROL!$C$23, $C$12, 100%, $E$12)</f>
        <v>12.331300000000001</v>
      </c>
    </row>
    <row r="672" spans="1:15" ht="15">
      <c r="A672" s="13">
        <v>61607</v>
      </c>
      <c r="B672" s="65">
        <f>10.7144 * CHOOSE(CONTROL!$C$23, $C$12, 100%, $E$12)</f>
        <v>10.714399999999999</v>
      </c>
      <c r="C672" s="65">
        <f>10.7144 * CHOOSE(CONTROL!$C$23, $C$12, 100%, $E$12)</f>
        <v>10.714399999999999</v>
      </c>
      <c r="D672" s="65">
        <f>10.72 * CHOOSE(CONTROL!$C$23, $C$12, 100%, $E$12)</f>
        <v>10.72</v>
      </c>
      <c r="E672" s="66">
        <f>12.3 * CHOOSE(CONTROL!$C$23, $C$12, 100%, $E$12)</f>
        <v>12.3</v>
      </c>
      <c r="F672" s="66">
        <f>12.3 * CHOOSE(CONTROL!$C$23, $C$12, 100%, $E$12)</f>
        <v>12.3</v>
      </c>
      <c r="G672" s="66">
        <f>12.3069 * CHOOSE(CONTROL!$C$23, $C$12, 100%, $E$12)</f>
        <v>12.306900000000001</v>
      </c>
      <c r="H672" s="66">
        <f>22.8366* CHOOSE(CONTROL!$C$23, $C$12, 100%, $E$12)</f>
        <v>22.836600000000001</v>
      </c>
      <c r="I672" s="66">
        <f>22.8435 * CHOOSE(CONTROL!$C$23, $C$12, 100%, $E$12)</f>
        <v>22.843499999999999</v>
      </c>
      <c r="J672" s="66">
        <f>22.8366 * CHOOSE(CONTROL!$C$23, $C$12, 100%, $E$12)</f>
        <v>22.836600000000001</v>
      </c>
      <c r="K672" s="66">
        <f>22.8435 * CHOOSE(CONTROL!$C$23, $C$12, 100%, $E$12)</f>
        <v>22.843499999999999</v>
      </c>
      <c r="L672" s="66">
        <f>12.3 * CHOOSE(CONTROL!$C$23, $C$12, 100%, $E$12)</f>
        <v>12.3</v>
      </c>
      <c r="M672" s="66">
        <f>12.3069 * CHOOSE(CONTROL!$C$23, $C$12, 100%, $E$12)</f>
        <v>12.306900000000001</v>
      </c>
      <c r="N672" s="66">
        <f>12.3 * CHOOSE(CONTROL!$C$23, $C$12, 100%, $E$12)</f>
        <v>12.3</v>
      </c>
      <c r="O672" s="66">
        <f>12.3069 * CHOOSE(CONTROL!$C$23, $C$12, 100%, $E$12)</f>
        <v>12.306900000000001</v>
      </c>
    </row>
    <row r="673" spans="1:15" ht="15">
      <c r="A673" s="13">
        <v>61637</v>
      </c>
      <c r="B673" s="65">
        <f>10.7312 * CHOOSE(CONTROL!$C$23, $C$12, 100%, $E$12)</f>
        <v>10.731199999999999</v>
      </c>
      <c r="C673" s="65">
        <f>10.7312 * CHOOSE(CONTROL!$C$23, $C$12, 100%, $E$12)</f>
        <v>10.731199999999999</v>
      </c>
      <c r="D673" s="65">
        <f>10.7352 * CHOOSE(CONTROL!$C$23, $C$12, 100%, $E$12)</f>
        <v>10.735200000000001</v>
      </c>
      <c r="E673" s="66">
        <f>12.3757 * CHOOSE(CONTROL!$C$23, $C$12, 100%, $E$12)</f>
        <v>12.3757</v>
      </c>
      <c r="F673" s="66">
        <f>12.3757 * CHOOSE(CONTROL!$C$23, $C$12, 100%, $E$12)</f>
        <v>12.3757</v>
      </c>
      <c r="G673" s="66">
        <f>12.3807 * CHOOSE(CONTROL!$C$23, $C$12, 100%, $E$12)</f>
        <v>12.380699999999999</v>
      </c>
      <c r="H673" s="66">
        <f>22.8842* CHOOSE(CONTROL!$C$23, $C$12, 100%, $E$12)</f>
        <v>22.8842</v>
      </c>
      <c r="I673" s="66">
        <f>22.8891 * CHOOSE(CONTROL!$C$23, $C$12, 100%, $E$12)</f>
        <v>22.889099999999999</v>
      </c>
      <c r="J673" s="66">
        <f>22.8842 * CHOOSE(CONTROL!$C$23, $C$12, 100%, $E$12)</f>
        <v>22.8842</v>
      </c>
      <c r="K673" s="66">
        <f>22.8891 * CHOOSE(CONTROL!$C$23, $C$12, 100%, $E$12)</f>
        <v>22.889099999999999</v>
      </c>
      <c r="L673" s="66">
        <f>12.3757 * CHOOSE(CONTROL!$C$23, $C$12, 100%, $E$12)</f>
        <v>12.3757</v>
      </c>
      <c r="M673" s="66">
        <f>12.3807 * CHOOSE(CONTROL!$C$23, $C$12, 100%, $E$12)</f>
        <v>12.380699999999999</v>
      </c>
      <c r="N673" s="66">
        <f>12.3757 * CHOOSE(CONTROL!$C$23, $C$12, 100%, $E$12)</f>
        <v>12.3757</v>
      </c>
      <c r="O673" s="66">
        <f>12.3807 * CHOOSE(CONTROL!$C$23, $C$12, 100%, $E$12)</f>
        <v>12.380699999999999</v>
      </c>
    </row>
    <row r="674" spans="1:15" ht="15">
      <c r="A674" s="13">
        <v>61668</v>
      </c>
      <c r="B674" s="65">
        <f>10.7342 * CHOOSE(CONTROL!$C$23, $C$12, 100%, $E$12)</f>
        <v>10.7342</v>
      </c>
      <c r="C674" s="65">
        <f>10.7342 * CHOOSE(CONTROL!$C$23, $C$12, 100%, $E$12)</f>
        <v>10.7342</v>
      </c>
      <c r="D674" s="65">
        <f>10.7382 * CHOOSE(CONTROL!$C$23, $C$12, 100%, $E$12)</f>
        <v>10.738200000000001</v>
      </c>
      <c r="E674" s="66">
        <f>12.4224 * CHOOSE(CONTROL!$C$23, $C$12, 100%, $E$12)</f>
        <v>12.4224</v>
      </c>
      <c r="F674" s="66">
        <f>12.4224 * CHOOSE(CONTROL!$C$23, $C$12, 100%, $E$12)</f>
        <v>12.4224</v>
      </c>
      <c r="G674" s="66">
        <f>12.4273 * CHOOSE(CONTROL!$C$23, $C$12, 100%, $E$12)</f>
        <v>12.427300000000001</v>
      </c>
      <c r="H674" s="66">
        <f>22.9319* CHOOSE(CONTROL!$C$23, $C$12, 100%, $E$12)</f>
        <v>22.931899999999999</v>
      </c>
      <c r="I674" s="66">
        <f>22.9368 * CHOOSE(CONTROL!$C$23, $C$12, 100%, $E$12)</f>
        <v>22.936800000000002</v>
      </c>
      <c r="J674" s="66">
        <f>22.9319 * CHOOSE(CONTROL!$C$23, $C$12, 100%, $E$12)</f>
        <v>22.931899999999999</v>
      </c>
      <c r="K674" s="66">
        <f>22.9368 * CHOOSE(CONTROL!$C$23, $C$12, 100%, $E$12)</f>
        <v>22.936800000000002</v>
      </c>
      <c r="L674" s="66">
        <f>12.4224 * CHOOSE(CONTROL!$C$23, $C$12, 100%, $E$12)</f>
        <v>12.4224</v>
      </c>
      <c r="M674" s="66">
        <f>12.4273 * CHOOSE(CONTROL!$C$23, $C$12, 100%, $E$12)</f>
        <v>12.427300000000001</v>
      </c>
      <c r="N674" s="66">
        <f>12.4224 * CHOOSE(CONTROL!$C$23, $C$12, 100%, $E$12)</f>
        <v>12.4224</v>
      </c>
      <c r="O674" s="66">
        <f>12.4273 * CHOOSE(CONTROL!$C$23, $C$12, 100%, $E$12)</f>
        <v>12.427300000000001</v>
      </c>
    </row>
    <row r="675" spans="1:15" ht="15">
      <c r="A675" s="13">
        <v>61698</v>
      </c>
      <c r="B675" s="65">
        <f>10.7342 * CHOOSE(CONTROL!$C$23, $C$12, 100%, $E$12)</f>
        <v>10.7342</v>
      </c>
      <c r="C675" s="65">
        <f>10.7342 * CHOOSE(CONTROL!$C$23, $C$12, 100%, $E$12)</f>
        <v>10.7342</v>
      </c>
      <c r="D675" s="65">
        <f>10.7382 * CHOOSE(CONTROL!$C$23, $C$12, 100%, $E$12)</f>
        <v>10.738200000000001</v>
      </c>
      <c r="E675" s="66">
        <f>12.311 * CHOOSE(CONTROL!$C$23, $C$12, 100%, $E$12)</f>
        <v>12.311</v>
      </c>
      <c r="F675" s="66">
        <f>12.311 * CHOOSE(CONTROL!$C$23, $C$12, 100%, $E$12)</f>
        <v>12.311</v>
      </c>
      <c r="G675" s="66">
        <f>12.3159 * CHOOSE(CONTROL!$C$23, $C$12, 100%, $E$12)</f>
        <v>12.315899999999999</v>
      </c>
      <c r="H675" s="66">
        <f>22.9796* CHOOSE(CONTROL!$C$23, $C$12, 100%, $E$12)</f>
        <v>22.979600000000001</v>
      </c>
      <c r="I675" s="66">
        <f>22.9845 * CHOOSE(CONTROL!$C$23, $C$12, 100%, $E$12)</f>
        <v>22.984500000000001</v>
      </c>
      <c r="J675" s="66">
        <f>22.9796 * CHOOSE(CONTROL!$C$23, $C$12, 100%, $E$12)</f>
        <v>22.979600000000001</v>
      </c>
      <c r="K675" s="66">
        <f>22.9845 * CHOOSE(CONTROL!$C$23, $C$12, 100%, $E$12)</f>
        <v>22.984500000000001</v>
      </c>
      <c r="L675" s="66">
        <f>12.311 * CHOOSE(CONTROL!$C$23, $C$12, 100%, $E$12)</f>
        <v>12.311</v>
      </c>
      <c r="M675" s="66">
        <f>12.3159 * CHOOSE(CONTROL!$C$23, $C$12, 100%, $E$12)</f>
        <v>12.315899999999999</v>
      </c>
      <c r="N675" s="66">
        <f>12.311 * CHOOSE(CONTROL!$C$23, $C$12, 100%, $E$12)</f>
        <v>12.311</v>
      </c>
      <c r="O675" s="66">
        <f>12.3159 * CHOOSE(CONTROL!$C$23, $C$12, 100%, $E$12)</f>
        <v>12.315899999999999</v>
      </c>
    </row>
    <row r="676" spans="1:15" ht="15">
      <c r="A676" s="13">
        <v>61729</v>
      </c>
      <c r="B676" s="65">
        <f>10.7807 * CHOOSE(CONTROL!$C$23, $C$12, 100%, $E$12)</f>
        <v>10.7807</v>
      </c>
      <c r="C676" s="65">
        <f>10.7807 * CHOOSE(CONTROL!$C$23, $C$12, 100%, $E$12)</f>
        <v>10.7807</v>
      </c>
      <c r="D676" s="65">
        <f>10.7847 * CHOOSE(CONTROL!$C$23, $C$12, 100%, $E$12)</f>
        <v>10.784700000000001</v>
      </c>
      <c r="E676" s="66">
        <f>12.4468 * CHOOSE(CONTROL!$C$23, $C$12, 100%, $E$12)</f>
        <v>12.4468</v>
      </c>
      <c r="F676" s="66">
        <f>12.4468 * CHOOSE(CONTROL!$C$23, $C$12, 100%, $E$12)</f>
        <v>12.4468</v>
      </c>
      <c r="G676" s="66">
        <f>12.4517 * CHOOSE(CONTROL!$C$23, $C$12, 100%, $E$12)</f>
        <v>12.451700000000001</v>
      </c>
      <c r="H676" s="66">
        <f>22.9421* CHOOSE(CONTROL!$C$23, $C$12, 100%, $E$12)</f>
        <v>22.9421</v>
      </c>
      <c r="I676" s="66">
        <f>22.947 * CHOOSE(CONTROL!$C$23, $C$12, 100%, $E$12)</f>
        <v>22.946999999999999</v>
      </c>
      <c r="J676" s="66">
        <f>22.9421 * CHOOSE(CONTROL!$C$23, $C$12, 100%, $E$12)</f>
        <v>22.9421</v>
      </c>
      <c r="K676" s="66">
        <f>22.947 * CHOOSE(CONTROL!$C$23, $C$12, 100%, $E$12)</f>
        <v>22.946999999999999</v>
      </c>
      <c r="L676" s="66">
        <f>12.4468 * CHOOSE(CONTROL!$C$23, $C$12, 100%, $E$12)</f>
        <v>12.4468</v>
      </c>
      <c r="M676" s="66">
        <f>12.4517 * CHOOSE(CONTROL!$C$23, $C$12, 100%, $E$12)</f>
        <v>12.451700000000001</v>
      </c>
      <c r="N676" s="66">
        <f>12.4468 * CHOOSE(CONTROL!$C$23, $C$12, 100%, $E$12)</f>
        <v>12.4468</v>
      </c>
      <c r="O676" s="66">
        <f>12.4517 * CHOOSE(CONTROL!$C$23, $C$12, 100%, $E$12)</f>
        <v>12.451700000000001</v>
      </c>
    </row>
    <row r="677" spans="1:15" ht="15">
      <c r="A677" s="13">
        <v>61760</v>
      </c>
      <c r="B677" s="65">
        <f>10.7777 * CHOOSE(CONTROL!$C$23, $C$12, 100%, $E$12)</f>
        <v>10.777699999999999</v>
      </c>
      <c r="C677" s="65">
        <f>10.7777 * CHOOSE(CONTROL!$C$23, $C$12, 100%, $E$12)</f>
        <v>10.777699999999999</v>
      </c>
      <c r="D677" s="65">
        <f>10.7817 * CHOOSE(CONTROL!$C$23, $C$12, 100%, $E$12)</f>
        <v>10.781700000000001</v>
      </c>
      <c r="E677" s="66">
        <f>12.2292 * CHOOSE(CONTROL!$C$23, $C$12, 100%, $E$12)</f>
        <v>12.229200000000001</v>
      </c>
      <c r="F677" s="66">
        <f>12.2292 * CHOOSE(CONTROL!$C$23, $C$12, 100%, $E$12)</f>
        <v>12.229200000000001</v>
      </c>
      <c r="G677" s="66">
        <f>12.2342 * CHOOSE(CONTROL!$C$23, $C$12, 100%, $E$12)</f>
        <v>12.2342</v>
      </c>
      <c r="H677" s="66">
        <f>22.9899* CHOOSE(CONTROL!$C$23, $C$12, 100%, $E$12)</f>
        <v>22.989899999999999</v>
      </c>
      <c r="I677" s="66">
        <f>22.9948 * CHOOSE(CONTROL!$C$23, $C$12, 100%, $E$12)</f>
        <v>22.994800000000001</v>
      </c>
      <c r="J677" s="66">
        <f>22.9899 * CHOOSE(CONTROL!$C$23, $C$12, 100%, $E$12)</f>
        <v>22.989899999999999</v>
      </c>
      <c r="K677" s="66">
        <f>22.9948 * CHOOSE(CONTROL!$C$23, $C$12, 100%, $E$12)</f>
        <v>22.994800000000001</v>
      </c>
      <c r="L677" s="66">
        <f>12.2292 * CHOOSE(CONTROL!$C$23, $C$12, 100%, $E$12)</f>
        <v>12.229200000000001</v>
      </c>
      <c r="M677" s="66">
        <f>12.2342 * CHOOSE(CONTROL!$C$23, $C$12, 100%, $E$12)</f>
        <v>12.2342</v>
      </c>
      <c r="N677" s="66">
        <f>12.2292 * CHOOSE(CONTROL!$C$23, $C$12, 100%, $E$12)</f>
        <v>12.229200000000001</v>
      </c>
      <c r="O677" s="66">
        <f>12.2342 * CHOOSE(CONTROL!$C$23, $C$12, 100%, $E$12)</f>
        <v>12.2342</v>
      </c>
    </row>
    <row r="678" spans="1:15" ht="15">
      <c r="A678" s="13">
        <v>61788</v>
      </c>
      <c r="B678" s="65">
        <f>10.7747 * CHOOSE(CONTROL!$C$23, $C$12, 100%, $E$12)</f>
        <v>10.774699999999999</v>
      </c>
      <c r="C678" s="65">
        <f>10.7747 * CHOOSE(CONTROL!$C$23, $C$12, 100%, $E$12)</f>
        <v>10.774699999999999</v>
      </c>
      <c r="D678" s="65">
        <f>10.7787 * CHOOSE(CONTROL!$C$23, $C$12, 100%, $E$12)</f>
        <v>10.778700000000001</v>
      </c>
      <c r="E678" s="66">
        <f>12.397 * CHOOSE(CONTROL!$C$23, $C$12, 100%, $E$12)</f>
        <v>12.397</v>
      </c>
      <c r="F678" s="66">
        <f>12.397 * CHOOSE(CONTROL!$C$23, $C$12, 100%, $E$12)</f>
        <v>12.397</v>
      </c>
      <c r="G678" s="66">
        <f>12.4019 * CHOOSE(CONTROL!$C$23, $C$12, 100%, $E$12)</f>
        <v>12.401899999999999</v>
      </c>
      <c r="H678" s="66">
        <f>23.0378* CHOOSE(CONTROL!$C$23, $C$12, 100%, $E$12)</f>
        <v>23.037800000000001</v>
      </c>
      <c r="I678" s="66">
        <f>23.0427 * CHOOSE(CONTROL!$C$23, $C$12, 100%, $E$12)</f>
        <v>23.0427</v>
      </c>
      <c r="J678" s="66">
        <f>23.0378 * CHOOSE(CONTROL!$C$23, $C$12, 100%, $E$12)</f>
        <v>23.037800000000001</v>
      </c>
      <c r="K678" s="66">
        <f>23.0427 * CHOOSE(CONTROL!$C$23, $C$12, 100%, $E$12)</f>
        <v>23.0427</v>
      </c>
      <c r="L678" s="66">
        <f>12.397 * CHOOSE(CONTROL!$C$23, $C$12, 100%, $E$12)</f>
        <v>12.397</v>
      </c>
      <c r="M678" s="66">
        <f>12.4019 * CHOOSE(CONTROL!$C$23, $C$12, 100%, $E$12)</f>
        <v>12.401899999999999</v>
      </c>
      <c r="N678" s="66">
        <f>12.397 * CHOOSE(CONTROL!$C$23, $C$12, 100%, $E$12)</f>
        <v>12.397</v>
      </c>
      <c r="O678" s="66">
        <f>12.4019 * CHOOSE(CONTROL!$C$23, $C$12, 100%, $E$12)</f>
        <v>12.401899999999999</v>
      </c>
    </row>
    <row r="679" spans="1:15" ht="15">
      <c r="A679" s="13">
        <v>61819</v>
      </c>
      <c r="B679" s="65">
        <f>10.778 * CHOOSE(CONTROL!$C$23, $C$12, 100%, $E$12)</f>
        <v>10.778</v>
      </c>
      <c r="C679" s="65">
        <f>10.778 * CHOOSE(CONTROL!$C$23, $C$12, 100%, $E$12)</f>
        <v>10.778</v>
      </c>
      <c r="D679" s="65">
        <f>10.782 * CHOOSE(CONTROL!$C$23, $C$12, 100%, $E$12)</f>
        <v>10.782</v>
      </c>
      <c r="E679" s="66">
        <f>12.5752 * CHOOSE(CONTROL!$C$23, $C$12, 100%, $E$12)</f>
        <v>12.575200000000001</v>
      </c>
      <c r="F679" s="66">
        <f>12.5752 * CHOOSE(CONTROL!$C$23, $C$12, 100%, $E$12)</f>
        <v>12.575200000000001</v>
      </c>
      <c r="G679" s="66">
        <f>12.5801 * CHOOSE(CONTROL!$C$23, $C$12, 100%, $E$12)</f>
        <v>12.5801</v>
      </c>
      <c r="H679" s="66">
        <f>23.0858* CHOOSE(CONTROL!$C$23, $C$12, 100%, $E$12)</f>
        <v>23.085799999999999</v>
      </c>
      <c r="I679" s="66">
        <f>23.0907 * CHOOSE(CONTROL!$C$23, $C$12, 100%, $E$12)</f>
        <v>23.090699999999998</v>
      </c>
      <c r="J679" s="66">
        <f>23.0858 * CHOOSE(CONTROL!$C$23, $C$12, 100%, $E$12)</f>
        <v>23.085799999999999</v>
      </c>
      <c r="K679" s="66">
        <f>23.0907 * CHOOSE(CONTROL!$C$23, $C$12, 100%, $E$12)</f>
        <v>23.090699999999998</v>
      </c>
      <c r="L679" s="66">
        <f>12.5752 * CHOOSE(CONTROL!$C$23, $C$12, 100%, $E$12)</f>
        <v>12.575200000000001</v>
      </c>
      <c r="M679" s="66">
        <f>12.5801 * CHOOSE(CONTROL!$C$23, $C$12, 100%, $E$12)</f>
        <v>12.5801</v>
      </c>
      <c r="N679" s="66">
        <f>12.5752 * CHOOSE(CONTROL!$C$23, $C$12, 100%, $E$12)</f>
        <v>12.575200000000001</v>
      </c>
      <c r="O679" s="66">
        <f>12.5801 * CHOOSE(CONTROL!$C$23, $C$12, 100%, $E$12)</f>
        <v>12.5801</v>
      </c>
    </row>
    <row r="680" spans="1:15" ht="15">
      <c r="A680" s="13">
        <v>61849</v>
      </c>
      <c r="B680" s="65">
        <f>10.778 * CHOOSE(CONTROL!$C$23, $C$12, 100%, $E$12)</f>
        <v>10.778</v>
      </c>
      <c r="C680" s="65">
        <f>10.778 * CHOOSE(CONTROL!$C$23, $C$12, 100%, $E$12)</f>
        <v>10.778</v>
      </c>
      <c r="D680" s="65">
        <f>10.7837 * CHOOSE(CONTROL!$C$23, $C$12, 100%, $E$12)</f>
        <v>10.7837</v>
      </c>
      <c r="E680" s="66">
        <f>12.6436 * CHOOSE(CONTROL!$C$23, $C$12, 100%, $E$12)</f>
        <v>12.643599999999999</v>
      </c>
      <c r="F680" s="66">
        <f>12.6436 * CHOOSE(CONTROL!$C$23, $C$12, 100%, $E$12)</f>
        <v>12.643599999999999</v>
      </c>
      <c r="G680" s="66">
        <f>12.6505 * CHOOSE(CONTROL!$C$23, $C$12, 100%, $E$12)</f>
        <v>12.650499999999999</v>
      </c>
      <c r="H680" s="66">
        <f>23.1339* CHOOSE(CONTROL!$C$23, $C$12, 100%, $E$12)</f>
        <v>23.133900000000001</v>
      </c>
      <c r="I680" s="66">
        <f>23.1408 * CHOOSE(CONTROL!$C$23, $C$12, 100%, $E$12)</f>
        <v>23.140799999999999</v>
      </c>
      <c r="J680" s="66">
        <f>23.1339 * CHOOSE(CONTROL!$C$23, $C$12, 100%, $E$12)</f>
        <v>23.133900000000001</v>
      </c>
      <c r="K680" s="66">
        <f>23.1408 * CHOOSE(CONTROL!$C$23, $C$12, 100%, $E$12)</f>
        <v>23.140799999999999</v>
      </c>
      <c r="L680" s="66">
        <f>12.6436 * CHOOSE(CONTROL!$C$23, $C$12, 100%, $E$12)</f>
        <v>12.643599999999999</v>
      </c>
      <c r="M680" s="66">
        <f>12.6505 * CHOOSE(CONTROL!$C$23, $C$12, 100%, $E$12)</f>
        <v>12.650499999999999</v>
      </c>
      <c r="N680" s="66">
        <f>12.6436 * CHOOSE(CONTROL!$C$23, $C$12, 100%, $E$12)</f>
        <v>12.643599999999999</v>
      </c>
      <c r="O680" s="66">
        <f>12.6505 * CHOOSE(CONTROL!$C$23, $C$12, 100%, $E$12)</f>
        <v>12.650499999999999</v>
      </c>
    </row>
    <row r="681" spans="1:15" ht="15">
      <c r="A681" s="13">
        <v>61880</v>
      </c>
      <c r="B681" s="65">
        <f>10.7841 * CHOOSE(CONTROL!$C$23, $C$12, 100%, $E$12)</f>
        <v>10.7841</v>
      </c>
      <c r="C681" s="65">
        <f>10.7841 * CHOOSE(CONTROL!$C$23, $C$12, 100%, $E$12)</f>
        <v>10.7841</v>
      </c>
      <c r="D681" s="65">
        <f>10.7897 * CHOOSE(CONTROL!$C$23, $C$12, 100%, $E$12)</f>
        <v>10.7897</v>
      </c>
      <c r="E681" s="66">
        <f>12.5794 * CHOOSE(CONTROL!$C$23, $C$12, 100%, $E$12)</f>
        <v>12.5794</v>
      </c>
      <c r="F681" s="66">
        <f>12.5794 * CHOOSE(CONTROL!$C$23, $C$12, 100%, $E$12)</f>
        <v>12.5794</v>
      </c>
      <c r="G681" s="66">
        <f>12.5863 * CHOOSE(CONTROL!$C$23, $C$12, 100%, $E$12)</f>
        <v>12.5863</v>
      </c>
      <c r="H681" s="66">
        <f>23.1821* CHOOSE(CONTROL!$C$23, $C$12, 100%, $E$12)</f>
        <v>23.182099999999998</v>
      </c>
      <c r="I681" s="66">
        <f>23.189 * CHOOSE(CONTROL!$C$23, $C$12, 100%, $E$12)</f>
        <v>23.189</v>
      </c>
      <c r="J681" s="66">
        <f>23.1821 * CHOOSE(CONTROL!$C$23, $C$12, 100%, $E$12)</f>
        <v>23.182099999999998</v>
      </c>
      <c r="K681" s="66">
        <f>23.189 * CHOOSE(CONTROL!$C$23, $C$12, 100%, $E$12)</f>
        <v>23.189</v>
      </c>
      <c r="L681" s="66">
        <f>12.5794 * CHOOSE(CONTROL!$C$23, $C$12, 100%, $E$12)</f>
        <v>12.5794</v>
      </c>
      <c r="M681" s="66">
        <f>12.5863 * CHOOSE(CONTROL!$C$23, $C$12, 100%, $E$12)</f>
        <v>12.5863</v>
      </c>
      <c r="N681" s="66">
        <f>12.5794 * CHOOSE(CONTROL!$C$23, $C$12, 100%, $E$12)</f>
        <v>12.5794</v>
      </c>
      <c r="O681" s="66">
        <f>12.5863 * CHOOSE(CONTROL!$C$23, $C$12, 100%, $E$12)</f>
        <v>12.5863</v>
      </c>
    </row>
    <row r="682" spans="1:15" ht="15">
      <c r="A682" s="13">
        <v>61910</v>
      </c>
      <c r="B682" s="65">
        <f>10.9499 * CHOOSE(CONTROL!$C$23, $C$12, 100%, $E$12)</f>
        <v>10.9499</v>
      </c>
      <c r="C682" s="65">
        <f>10.9499 * CHOOSE(CONTROL!$C$23, $C$12, 100%, $E$12)</f>
        <v>10.9499</v>
      </c>
      <c r="D682" s="65">
        <f>10.9555 * CHOOSE(CONTROL!$C$23, $C$12, 100%, $E$12)</f>
        <v>10.955500000000001</v>
      </c>
      <c r="E682" s="66">
        <f>12.7821 * CHOOSE(CONTROL!$C$23, $C$12, 100%, $E$12)</f>
        <v>12.7821</v>
      </c>
      <c r="F682" s="66">
        <f>12.7821 * CHOOSE(CONTROL!$C$23, $C$12, 100%, $E$12)</f>
        <v>12.7821</v>
      </c>
      <c r="G682" s="66">
        <f>12.789 * CHOOSE(CONTROL!$C$23, $C$12, 100%, $E$12)</f>
        <v>12.789</v>
      </c>
      <c r="H682" s="66">
        <f>23.2304* CHOOSE(CONTROL!$C$23, $C$12, 100%, $E$12)</f>
        <v>23.230399999999999</v>
      </c>
      <c r="I682" s="66">
        <f>23.2372 * CHOOSE(CONTROL!$C$23, $C$12, 100%, $E$12)</f>
        <v>23.237200000000001</v>
      </c>
      <c r="J682" s="66">
        <f>23.2304 * CHOOSE(CONTROL!$C$23, $C$12, 100%, $E$12)</f>
        <v>23.230399999999999</v>
      </c>
      <c r="K682" s="66">
        <f>23.2372 * CHOOSE(CONTROL!$C$23, $C$12, 100%, $E$12)</f>
        <v>23.237200000000001</v>
      </c>
      <c r="L682" s="66">
        <f>12.7821 * CHOOSE(CONTROL!$C$23, $C$12, 100%, $E$12)</f>
        <v>12.7821</v>
      </c>
      <c r="M682" s="66">
        <f>12.789 * CHOOSE(CONTROL!$C$23, $C$12, 100%, $E$12)</f>
        <v>12.789</v>
      </c>
      <c r="N682" s="66">
        <f>12.7821 * CHOOSE(CONTROL!$C$23, $C$12, 100%, $E$12)</f>
        <v>12.7821</v>
      </c>
      <c r="O682" s="66">
        <f>12.789 * CHOOSE(CONTROL!$C$23, $C$12, 100%, $E$12)</f>
        <v>12.789</v>
      </c>
    </row>
    <row r="683" spans="1:15" ht="15">
      <c r="A683" s="13">
        <v>61941</v>
      </c>
      <c r="B683" s="65">
        <f>10.9566 * CHOOSE(CONTROL!$C$23, $C$12, 100%, $E$12)</f>
        <v>10.9566</v>
      </c>
      <c r="C683" s="65">
        <f>10.9566 * CHOOSE(CONTROL!$C$23, $C$12, 100%, $E$12)</f>
        <v>10.9566</v>
      </c>
      <c r="D683" s="65">
        <f>10.9622 * CHOOSE(CONTROL!$C$23, $C$12, 100%, $E$12)</f>
        <v>10.962199999999999</v>
      </c>
      <c r="E683" s="66">
        <f>12.5815 * CHOOSE(CONTROL!$C$23, $C$12, 100%, $E$12)</f>
        <v>12.5815</v>
      </c>
      <c r="F683" s="66">
        <f>12.5815 * CHOOSE(CONTROL!$C$23, $C$12, 100%, $E$12)</f>
        <v>12.5815</v>
      </c>
      <c r="G683" s="66">
        <f>12.5884 * CHOOSE(CONTROL!$C$23, $C$12, 100%, $E$12)</f>
        <v>12.5884</v>
      </c>
      <c r="H683" s="66">
        <f>23.2788* CHOOSE(CONTROL!$C$23, $C$12, 100%, $E$12)</f>
        <v>23.2788</v>
      </c>
      <c r="I683" s="66">
        <f>23.2856 * CHOOSE(CONTROL!$C$23, $C$12, 100%, $E$12)</f>
        <v>23.285599999999999</v>
      </c>
      <c r="J683" s="66">
        <f>23.2788 * CHOOSE(CONTROL!$C$23, $C$12, 100%, $E$12)</f>
        <v>23.2788</v>
      </c>
      <c r="K683" s="66">
        <f>23.2856 * CHOOSE(CONTROL!$C$23, $C$12, 100%, $E$12)</f>
        <v>23.285599999999999</v>
      </c>
      <c r="L683" s="66">
        <f>12.5815 * CHOOSE(CONTROL!$C$23, $C$12, 100%, $E$12)</f>
        <v>12.5815</v>
      </c>
      <c r="M683" s="66">
        <f>12.5884 * CHOOSE(CONTROL!$C$23, $C$12, 100%, $E$12)</f>
        <v>12.5884</v>
      </c>
      <c r="N683" s="66">
        <f>12.5815 * CHOOSE(CONTROL!$C$23, $C$12, 100%, $E$12)</f>
        <v>12.5815</v>
      </c>
      <c r="O683" s="66">
        <f>12.5884 * CHOOSE(CONTROL!$C$23, $C$12, 100%, $E$12)</f>
        <v>12.5884</v>
      </c>
    </row>
    <row r="684" spans="1:15" ht="15">
      <c r="A684" s="13">
        <v>61972</v>
      </c>
      <c r="B684" s="65">
        <f>10.9536 * CHOOSE(CONTROL!$C$23, $C$12, 100%, $E$12)</f>
        <v>10.9536</v>
      </c>
      <c r="C684" s="65">
        <f>10.9536 * CHOOSE(CONTROL!$C$23, $C$12, 100%, $E$12)</f>
        <v>10.9536</v>
      </c>
      <c r="D684" s="65">
        <f>10.9592 * CHOOSE(CONTROL!$C$23, $C$12, 100%, $E$12)</f>
        <v>10.959199999999999</v>
      </c>
      <c r="E684" s="66">
        <f>12.5566 * CHOOSE(CONTROL!$C$23, $C$12, 100%, $E$12)</f>
        <v>12.5566</v>
      </c>
      <c r="F684" s="66">
        <f>12.5566 * CHOOSE(CONTROL!$C$23, $C$12, 100%, $E$12)</f>
        <v>12.5566</v>
      </c>
      <c r="G684" s="66">
        <f>12.5635 * CHOOSE(CONTROL!$C$23, $C$12, 100%, $E$12)</f>
        <v>12.563499999999999</v>
      </c>
      <c r="H684" s="66">
        <f>23.3272* CHOOSE(CONTROL!$C$23, $C$12, 100%, $E$12)</f>
        <v>23.327200000000001</v>
      </c>
      <c r="I684" s="66">
        <f>23.3341 * CHOOSE(CONTROL!$C$23, $C$12, 100%, $E$12)</f>
        <v>23.334099999999999</v>
      </c>
      <c r="J684" s="66">
        <f>23.3272 * CHOOSE(CONTROL!$C$23, $C$12, 100%, $E$12)</f>
        <v>23.327200000000001</v>
      </c>
      <c r="K684" s="66">
        <f>23.3341 * CHOOSE(CONTROL!$C$23, $C$12, 100%, $E$12)</f>
        <v>23.334099999999999</v>
      </c>
      <c r="L684" s="66">
        <f>12.5566 * CHOOSE(CONTROL!$C$23, $C$12, 100%, $E$12)</f>
        <v>12.5566</v>
      </c>
      <c r="M684" s="66">
        <f>12.5635 * CHOOSE(CONTROL!$C$23, $C$12, 100%, $E$12)</f>
        <v>12.563499999999999</v>
      </c>
      <c r="N684" s="66">
        <f>12.5566 * CHOOSE(CONTROL!$C$23, $C$12, 100%, $E$12)</f>
        <v>12.5566</v>
      </c>
      <c r="O684" s="66">
        <f>12.5635 * CHOOSE(CONTROL!$C$23, $C$12, 100%, $E$12)</f>
        <v>12.563499999999999</v>
      </c>
    </row>
    <row r="685" spans="1:15" ht="15">
      <c r="A685" s="13">
        <v>62002</v>
      </c>
      <c r="B685" s="65">
        <f>10.9711 * CHOOSE(CONTROL!$C$23, $C$12, 100%, $E$12)</f>
        <v>10.9711</v>
      </c>
      <c r="C685" s="65">
        <f>10.9711 * CHOOSE(CONTROL!$C$23, $C$12, 100%, $E$12)</f>
        <v>10.9711</v>
      </c>
      <c r="D685" s="65">
        <f>10.9751 * CHOOSE(CONTROL!$C$23, $C$12, 100%, $E$12)</f>
        <v>10.975099999999999</v>
      </c>
      <c r="E685" s="66">
        <f>12.6344 * CHOOSE(CONTROL!$C$23, $C$12, 100%, $E$12)</f>
        <v>12.634399999999999</v>
      </c>
      <c r="F685" s="66">
        <f>12.6344 * CHOOSE(CONTROL!$C$23, $C$12, 100%, $E$12)</f>
        <v>12.634399999999999</v>
      </c>
      <c r="G685" s="66">
        <f>12.6393 * CHOOSE(CONTROL!$C$23, $C$12, 100%, $E$12)</f>
        <v>12.6393</v>
      </c>
      <c r="H685" s="66">
        <f>23.3758* CHOOSE(CONTROL!$C$23, $C$12, 100%, $E$12)</f>
        <v>23.375800000000002</v>
      </c>
      <c r="I685" s="66">
        <f>23.3808 * CHOOSE(CONTROL!$C$23, $C$12, 100%, $E$12)</f>
        <v>23.380800000000001</v>
      </c>
      <c r="J685" s="66">
        <f>23.3758 * CHOOSE(CONTROL!$C$23, $C$12, 100%, $E$12)</f>
        <v>23.375800000000002</v>
      </c>
      <c r="K685" s="66">
        <f>23.3808 * CHOOSE(CONTROL!$C$23, $C$12, 100%, $E$12)</f>
        <v>23.380800000000001</v>
      </c>
      <c r="L685" s="66">
        <f>12.6344 * CHOOSE(CONTROL!$C$23, $C$12, 100%, $E$12)</f>
        <v>12.634399999999999</v>
      </c>
      <c r="M685" s="66">
        <f>12.6393 * CHOOSE(CONTROL!$C$23, $C$12, 100%, $E$12)</f>
        <v>12.6393</v>
      </c>
      <c r="N685" s="66">
        <f>12.6344 * CHOOSE(CONTROL!$C$23, $C$12, 100%, $E$12)</f>
        <v>12.634399999999999</v>
      </c>
      <c r="O685" s="66">
        <f>12.6393 * CHOOSE(CONTROL!$C$23, $C$12, 100%, $E$12)</f>
        <v>12.6393</v>
      </c>
    </row>
    <row r="686" spans="1:15" ht="15">
      <c r="A686" s="13">
        <v>62033</v>
      </c>
      <c r="B686" s="65">
        <f>10.9742 * CHOOSE(CONTROL!$C$23, $C$12, 100%, $E$12)</f>
        <v>10.9742</v>
      </c>
      <c r="C686" s="65">
        <f>10.9742 * CHOOSE(CONTROL!$C$23, $C$12, 100%, $E$12)</f>
        <v>10.9742</v>
      </c>
      <c r="D686" s="65">
        <f>10.9782 * CHOOSE(CONTROL!$C$23, $C$12, 100%, $E$12)</f>
        <v>10.978199999999999</v>
      </c>
      <c r="E686" s="66">
        <f>12.6821 * CHOOSE(CONTROL!$C$23, $C$12, 100%, $E$12)</f>
        <v>12.6821</v>
      </c>
      <c r="F686" s="66">
        <f>12.6821 * CHOOSE(CONTROL!$C$23, $C$12, 100%, $E$12)</f>
        <v>12.6821</v>
      </c>
      <c r="G686" s="66">
        <f>12.687 * CHOOSE(CONTROL!$C$23, $C$12, 100%, $E$12)</f>
        <v>12.686999999999999</v>
      </c>
      <c r="H686" s="66">
        <f>23.4245* CHOOSE(CONTROL!$C$23, $C$12, 100%, $E$12)</f>
        <v>23.424499999999998</v>
      </c>
      <c r="I686" s="66">
        <f>23.4295 * CHOOSE(CONTROL!$C$23, $C$12, 100%, $E$12)</f>
        <v>23.429500000000001</v>
      </c>
      <c r="J686" s="66">
        <f>23.4245 * CHOOSE(CONTROL!$C$23, $C$12, 100%, $E$12)</f>
        <v>23.424499999999998</v>
      </c>
      <c r="K686" s="66">
        <f>23.4295 * CHOOSE(CONTROL!$C$23, $C$12, 100%, $E$12)</f>
        <v>23.429500000000001</v>
      </c>
      <c r="L686" s="66">
        <f>12.6821 * CHOOSE(CONTROL!$C$23, $C$12, 100%, $E$12)</f>
        <v>12.6821</v>
      </c>
      <c r="M686" s="66">
        <f>12.687 * CHOOSE(CONTROL!$C$23, $C$12, 100%, $E$12)</f>
        <v>12.686999999999999</v>
      </c>
      <c r="N686" s="66">
        <f>12.6821 * CHOOSE(CONTROL!$C$23, $C$12, 100%, $E$12)</f>
        <v>12.6821</v>
      </c>
      <c r="O686" s="66">
        <f>12.687 * CHOOSE(CONTROL!$C$23, $C$12, 100%, $E$12)</f>
        <v>12.686999999999999</v>
      </c>
    </row>
    <row r="687" spans="1:15" ht="15">
      <c r="A687" s="13">
        <v>62063</v>
      </c>
      <c r="B687" s="65">
        <f>10.9742 * CHOOSE(CONTROL!$C$23, $C$12, 100%, $E$12)</f>
        <v>10.9742</v>
      </c>
      <c r="C687" s="65">
        <f>10.9742 * CHOOSE(CONTROL!$C$23, $C$12, 100%, $E$12)</f>
        <v>10.9742</v>
      </c>
      <c r="D687" s="65">
        <f>10.9782 * CHOOSE(CONTROL!$C$23, $C$12, 100%, $E$12)</f>
        <v>10.978199999999999</v>
      </c>
      <c r="E687" s="66">
        <f>12.5681 * CHOOSE(CONTROL!$C$23, $C$12, 100%, $E$12)</f>
        <v>12.568099999999999</v>
      </c>
      <c r="F687" s="66">
        <f>12.5681 * CHOOSE(CONTROL!$C$23, $C$12, 100%, $E$12)</f>
        <v>12.568099999999999</v>
      </c>
      <c r="G687" s="66">
        <f>12.573 * CHOOSE(CONTROL!$C$23, $C$12, 100%, $E$12)</f>
        <v>12.573</v>
      </c>
      <c r="H687" s="66">
        <f>23.4733* CHOOSE(CONTROL!$C$23, $C$12, 100%, $E$12)</f>
        <v>23.473299999999998</v>
      </c>
      <c r="I687" s="66">
        <f>23.4783 * CHOOSE(CONTROL!$C$23, $C$12, 100%, $E$12)</f>
        <v>23.478300000000001</v>
      </c>
      <c r="J687" s="66">
        <f>23.4733 * CHOOSE(CONTROL!$C$23, $C$12, 100%, $E$12)</f>
        <v>23.473299999999998</v>
      </c>
      <c r="K687" s="66">
        <f>23.4783 * CHOOSE(CONTROL!$C$23, $C$12, 100%, $E$12)</f>
        <v>23.478300000000001</v>
      </c>
      <c r="L687" s="66">
        <f>12.5681 * CHOOSE(CONTROL!$C$23, $C$12, 100%, $E$12)</f>
        <v>12.568099999999999</v>
      </c>
      <c r="M687" s="66">
        <f>12.573 * CHOOSE(CONTROL!$C$23, $C$12, 100%, $E$12)</f>
        <v>12.573</v>
      </c>
      <c r="N687" s="66">
        <f>12.5681 * CHOOSE(CONTROL!$C$23, $C$12, 100%, $E$12)</f>
        <v>12.568099999999999</v>
      </c>
      <c r="O687" s="66">
        <f>12.573 * CHOOSE(CONTROL!$C$23, $C$12, 100%, $E$12)</f>
        <v>12.573</v>
      </c>
    </row>
    <row r="688" spans="1:15" ht="15">
      <c r="A688" s="13">
        <v>62094</v>
      </c>
      <c r="B688" s="65">
        <f>11.0163 * CHOOSE(CONTROL!$C$23, $C$12, 100%, $E$12)</f>
        <v>11.016299999999999</v>
      </c>
      <c r="C688" s="65">
        <f>11.0163 * CHOOSE(CONTROL!$C$23, $C$12, 100%, $E$12)</f>
        <v>11.016299999999999</v>
      </c>
      <c r="D688" s="65">
        <f>11.0203 * CHOOSE(CONTROL!$C$23, $C$12, 100%, $E$12)</f>
        <v>11.020300000000001</v>
      </c>
      <c r="E688" s="66">
        <f>12.7015 * CHOOSE(CONTROL!$C$23, $C$12, 100%, $E$12)</f>
        <v>12.701499999999999</v>
      </c>
      <c r="F688" s="66">
        <f>12.7015 * CHOOSE(CONTROL!$C$23, $C$12, 100%, $E$12)</f>
        <v>12.701499999999999</v>
      </c>
      <c r="G688" s="66">
        <f>12.7065 * CHOOSE(CONTROL!$C$23, $C$12, 100%, $E$12)</f>
        <v>12.7065</v>
      </c>
      <c r="H688" s="66">
        <f>23.4246* CHOOSE(CONTROL!$C$23, $C$12, 100%, $E$12)</f>
        <v>23.424600000000002</v>
      </c>
      <c r="I688" s="66">
        <f>23.4296 * CHOOSE(CONTROL!$C$23, $C$12, 100%, $E$12)</f>
        <v>23.429600000000001</v>
      </c>
      <c r="J688" s="66">
        <f>23.4246 * CHOOSE(CONTROL!$C$23, $C$12, 100%, $E$12)</f>
        <v>23.424600000000002</v>
      </c>
      <c r="K688" s="66">
        <f>23.4296 * CHOOSE(CONTROL!$C$23, $C$12, 100%, $E$12)</f>
        <v>23.429600000000001</v>
      </c>
      <c r="L688" s="66">
        <f>12.7015 * CHOOSE(CONTROL!$C$23, $C$12, 100%, $E$12)</f>
        <v>12.701499999999999</v>
      </c>
      <c r="M688" s="66">
        <f>12.7065 * CHOOSE(CONTROL!$C$23, $C$12, 100%, $E$12)</f>
        <v>12.7065</v>
      </c>
      <c r="N688" s="66">
        <f>12.7015 * CHOOSE(CONTROL!$C$23, $C$12, 100%, $E$12)</f>
        <v>12.701499999999999</v>
      </c>
      <c r="O688" s="66">
        <f>12.7065 * CHOOSE(CONTROL!$C$23, $C$12, 100%, $E$12)</f>
        <v>12.7065</v>
      </c>
    </row>
    <row r="689" spans="1:15" ht="15">
      <c r="A689" s="13">
        <v>62125</v>
      </c>
      <c r="B689" s="65">
        <f>11.0133 * CHOOSE(CONTROL!$C$23, $C$12, 100%, $E$12)</f>
        <v>11.013299999999999</v>
      </c>
      <c r="C689" s="65">
        <f>11.0133 * CHOOSE(CONTROL!$C$23, $C$12, 100%, $E$12)</f>
        <v>11.013299999999999</v>
      </c>
      <c r="D689" s="65">
        <f>11.0173 * CHOOSE(CONTROL!$C$23, $C$12, 100%, $E$12)</f>
        <v>11.017300000000001</v>
      </c>
      <c r="E689" s="66">
        <f>12.479 * CHOOSE(CONTROL!$C$23, $C$12, 100%, $E$12)</f>
        <v>12.478999999999999</v>
      </c>
      <c r="F689" s="66">
        <f>12.479 * CHOOSE(CONTROL!$C$23, $C$12, 100%, $E$12)</f>
        <v>12.478999999999999</v>
      </c>
      <c r="G689" s="66">
        <f>12.4839 * CHOOSE(CONTROL!$C$23, $C$12, 100%, $E$12)</f>
        <v>12.4839</v>
      </c>
      <c r="H689" s="66">
        <f>23.4734* CHOOSE(CONTROL!$C$23, $C$12, 100%, $E$12)</f>
        <v>23.473400000000002</v>
      </c>
      <c r="I689" s="66">
        <f>23.4784 * CHOOSE(CONTROL!$C$23, $C$12, 100%, $E$12)</f>
        <v>23.478400000000001</v>
      </c>
      <c r="J689" s="66">
        <f>23.4734 * CHOOSE(CONTROL!$C$23, $C$12, 100%, $E$12)</f>
        <v>23.473400000000002</v>
      </c>
      <c r="K689" s="66">
        <f>23.4784 * CHOOSE(CONTROL!$C$23, $C$12, 100%, $E$12)</f>
        <v>23.478400000000001</v>
      </c>
      <c r="L689" s="66">
        <f>12.479 * CHOOSE(CONTROL!$C$23, $C$12, 100%, $E$12)</f>
        <v>12.478999999999999</v>
      </c>
      <c r="M689" s="66">
        <f>12.4839 * CHOOSE(CONTROL!$C$23, $C$12, 100%, $E$12)</f>
        <v>12.4839</v>
      </c>
      <c r="N689" s="66">
        <f>12.479 * CHOOSE(CONTROL!$C$23, $C$12, 100%, $E$12)</f>
        <v>12.478999999999999</v>
      </c>
      <c r="O689" s="66">
        <f>12.4839 * CHOOSE(CONTROL!$C$23, $C$12, 100%, $E$12)</f>
        <v>12.4839</v>
      </c>
    </row>
    <row r="690" spans="1:15" ht="15">
      <c r="A690" s="13">
        <v>62153</v>
      </c>
      <c r="B690" s="65">
        <f>11.0102 * CHOOSE(CONTROL!$C$23, $C$12, 100%, $E$12)</f>
        <v>11.010199999999999</v>
      </c>
      <c r="C690" s="65">
        <f>11.0102 * CHOOSE(CONTROL!$C$23, $C$12, 100%, $E$12)</f>
        <v>11.010199999999999</v>
      </c>
      <c r="D690" s="65">
        <f>11.0142 * CHOOSE(CONTROL!$C$23, $C$12, 100%, $E$12)</f>
        <v>11.014200000000001</v>
      </c>
      <c r="E690" s="66">
        <f>12.6507 * CHOOSE(CONTROL!$C$23, $C$12, 100%, $E$12)</f>
        <v>12.650700000000001</v>
      </c>
      <c r="F690" s="66">
        <f>12.6507 * CHOOSE(CONTROL!$C$23, $C$12, 100%, $E$12)</f>
        <v>12.650700000000001</v>
      </c>
      <c r="G690" s="66">
        <f>12.6556 * CHOOSE(CONTROL!$C$23, $C$12, 100%, $E$12)</f>
        <v>12.6556</v>
      </c>
      <c r="H690" s="66">
        <f>23.5223* CHOOSE(CONTROL!$C$23, $C$12, 100%, $E$12)</f>
        <v>23.522300000000001</v>
      </c>
      <c r="I690" s="66">
        <f>23.5273 * CHOOSE(CONTROL!$C$23, $C$12, 100%, $E$12)</f>
        <v>23.5273</v>
      </c>
      <c r="J690" s="66">
        <f>23.5223 * CHOOSE(CONTROL!$C$23, $C$12, 100%, $E$12)</f>
        <v>23.522300000000001</v>
      </c>
      <c r="K690" s="66">
        <f>23.5273 * CHOOSE(CONTROL!$C$23, $C$12, 100%, $E$12)</f>
        <v>23.5273</v>
      </c>
      <c r="L690" s="66">
        <f>12.6507 * CHOOSE(CONTROL!$C$23, $C$12, 100%, $E$12)</f>
        <v>12.650700000000001</v>
      </c>
      <c r="M690" s="66">
        <f>12.6556 * CHOOSE(CONTROL!$C$23, $C$12, 100%, $E$12)</f>
        <v>12.6556</v>
      </c>
      <c r="N690" s="66">
        <f>12.6507 * CHOOSE(CONTROL!$C$23, $C$12, 100%, $E$12)</f>
        <v>12.650700000000001</v>
      </c>
      <c r="O690" s="66">
        <f>12.6556 * CHOOSE(CONTROL!$C$23, $C$12, 100%, $E$12)</f>
        <v>12.6556</v>
      </c>
    </row>
    <row r="691" spans="1:15" ht="15">
      <c r="A691" s="13">
        <v>62184</v>
      </c>
      <c r="B691" s="65">
        <f>11.0138 * CHOOSE(CONTROL!$C$23, $C$12, 100%, $E$12)</f>
        <v>11.0138</v>
      </c>
      <c r="C691" s="65">
        <f>11.0138 * CHOOSE(CONTROL!$C$23, $C$12, 100%, $E$12)</f>
        <v>11.0138</v>
      </c>
      <c r="D691" s="65">
        <f>11.0178 * CHOOSE(CONTROL!$C$23, $C$12, 100%, $E$12)</f>
        <v>11.017799999999999</v>
      </c>
      <c r="E691" s="66">
        <f>12.833 * CHOOSE(CONTROL!$C$23, $C$12, 100%, $E$12)</f>
        <v>12.833</v>
      </c>
      <c r="F691" s="66">
        <f>12.833 * CHOOSE(CONTROL!$C$23, $C$12, 100%, $E$12)</f>
        <v>12.833</v>
      </c>
      <c r="G691" s="66">
        <f>12.8379 * CHOOSE(CONTROL!$C$23, $C$12, 100%, $E$12)</f>
        <v>12.837899999999999</v>
      </c>
      <c r="H691" s="66">
        <f>23.5713* CHOOSE(CONTROL!$C$23, $C$12, 100%, $E$12)</f>
        <v>23.571300000000001</v>
      </c>
      <c r="I691" s="66">
        <f>23.5763 * CHOOSE(CONTROL!$C$23, $C$12, 100%, $E$12)</f>
        <v>23.5763</v>
      </c>
      <c r="J691" s="66">
        <f>23.5713 * CHOOSE(CONTROL!$C$23, $C$12, 100%, $E$12)</f>
        <v>23.571300000000001</v>
      </c>
      <c r="K691" s="66">
        <f>23.5763 * CHOOSE(CONTROL!$C$23, $C$12, 100%, $E$12)</f>
        <v>23.5763</v>
      </c>
      <c r="L691" s="66">
        <f>12.833 * CHOOSE(CONTROL!$C$23, $C$12, 100%, $E$12)</f>
        <v>12.833</v>
      </c>
      <c r="M691" s="66">
        <f>12.8379 * CHOOSE(CONTROL!$C$23, $C$12, 100%, $E$12)</f>
        <v>12.837899999999999</v>
      </c>
      <c r="N691" s="66">
        <f>12.833 * CHOOSE(CONTROL!$C$23, $C$12, 100%, $E$12)</f>
        <v>12.833</v>
      </c>
      <c r="O691" s="66">
        <f>12.8379 * CHOOSE(CONTROL!$C$23, $C$12, 100%, $E$12)</f>
        <v>12.837899999999999</v>
      </c>
    </row>
    <row r="692" spans="1:15" ht="15">
      <c r="A692" s="13">
        <v>62214</v>
      </c>
      <c r="B692" s="65">
        <f>11.0138 * CHOOSE(CONTROL!$C$23, $C$12, 100%, $E$12)</f>
        <v>11.0138</v>
      </c>
      <c r="C692" s="65">
        <f>11.0138 * CHOOSE(CONTROL!$C$23, $C$12, 100%, $E$12)</f>
        <v>11.0138</v>
      </c>
      <c r="D692" s="65">
        <f>11.0194 * CHOOSE(CONTROL!$C$23, $C$12, 100%, $E$12)</f>
        <v>11.019399999999999</v>
      </c>
      <c r="E692" s="66">
        <f>12.903 * CHOOSE(CONTROL!$C$23, $C$12, 100%, $E$12)</f>
        <v>12.903</v>
      </c>
      <c r="F692" s="66">
        <f>12.903 * CHOOSE(CONTROL!$C$23, $C$12, 100%, $E$12)</f>
        <v>12.903</v>
      </c>
      <c r="G692" s="66">
        <f>12.9099 * CHOOSE(CONTROL!$C$23, $C$12, 100%, $E$12)</f>
        <v>12.9099</v>
      </c>
      <c r="H692" s="66">
        <f>23.6204* CHOOSE(CONTROL!$C$23, $C$12, 100%, $E$12)</f>
        <v>23.6204</v>
      </c>
      <c r="I692" s="66">
        <f>23.6273 * CHOOSE(CONTROL!$C$23, $C$12, 100%, $E$12)</f>
        <v>23.627300000000002</v>
      </c>
      <c r="J692" s="66">
        <f>23.6204 * CHOOSE(CONTROL!$C$23, $C$12, 100%, $E$12)</f>
        <v>23.6204</v>
      </c>
      <c r="K692" s="66">
        <f>23.6273 * CHOOSE(CONTROL!$C$23, $C$12, 100%, $E$12)</f>
        <v>23.627300000000002</v>
      </c>
      <c r="L692" s="66">
        <f>12.903 * CHOOSE(CONTROL!$C$23, $C$12, 100%, $E$12)</f>
        <v>12.903</v>
      </c>
      <c r="M692" s="66">
        <f>12.9099 * CHOOSE(CONTROL!$C$23, $C$12, 100%, $E$12)</f>
        <v>12.9099</v>
      </c>
      <c r="N692" s="66">
        <f>12.903 * CHOOSE(CONTROL!$C$23, $C$12, 100%, $E$12)</f>
        <v>12.903</v>
      </c>
      <c r="O692" s="66">
        <f>12.9099 * CHOOSE(CONTROL!$C$23, $C$12, 100%, $E$12)</f>
        <v>12.9099</v>
      </c>
    </row>
    <row r="693" spans="1:15" ht="15">
      <c r="A693" s="13">
        <v>62245</v>
      </c>
      <c r="B693" s="65">
        <f>11.0199 * CHOOSE(CONTROL!$C$23, $C$12, 100%, $E$12)</f>
        <v>11.0199</v>
      </c>
      <c r="C693" s="65">
        <f>11.0199 * CHOOSE(CONTROL!$C$23, $C$12, 100%, $E$12)</f>
        <v>11.0199</v>
      </c>
      <c r="D693" s="65">
        <f>11.0255 * CHOOSE(CONTROL!$C$23, $C$12, 100%, $E$12)</f>
        <v>11.025499999999999</v>
      </c>
      <c r="E693" s="66">
        <f>12.8373 * CHOOSE(CONTROL!$C$23, $C$12, 100%, $E$12)</f>
        <v>12.837300000000001</v>
      </c>
      <c r="F693" s="66">
        <f>12.8373 * CHOOSE(CONTROL!$C$23, $C$12, 100%, $E$12)</f>
        <v>12.837300000000001</v>
      </c>
      <c r="G693" s="66">
        <f>12.8441 * CHOOSE(CONTROL!$C$23, $C$12, 100%, $E$12)</f>
        <v>12.844099999999999</v>
      </c>
      <c r="H693" s="66">
        <f>23.6697* CHOOSE(CONTROL!$C$23, $C$12, 100%, $E$12)</f>
        <v>23.669699999999999</v>
      </c>
      <c r="I693" s="66">
        <f>23.6765 * CHOOSE(CONTROL!$C$23, $C$12, 100%, $E$12)</f>
        <v>23.676500000000001</v>
      </c>
      <c r="J693" s="66">
        <f>23.6697 * CHOOSE(CONTROL!$C$23, $C$12, 100%, $E$12)</f>
        <v>23.669699999999999</v>
      </c>
      <c r="K693" s="66">
        <f>23.6765 * CHOOSE(CONTROL!$C$23, $C$12, 100%, $E$12)</f>
        <v>23.676500000000001</v>
      </c>
      <c r="L693" s="66">
        <f>12.8373 * CHOOSE(CONTROL!$C$23, $C$12, 100%, $E$12)</f>
        <v>12.837300000000001</v>
      </c>
      <c r="M693" s="66">
        <f>12.8441 * CHOOSE(CONTROL!$C$23, $C$12, 100%, $E$12)</f>
        <v>12.844099999999999</v>
      </c>
      <c r="N693" s="66">
        <f>12.8373 * CHOOSE(CONTROL!$C$23, $C$12, 100%, $E$12)</f>
        <v>12.837300000000001</v>
      </c>
      <c r="O693" s="66">
        <f>12.8441 * CHOOSE(CONTROL!$C$23, $C$12, 100%, $E$12)</f>
        <v>12.844099999999999</v>
      </c>
    </row>
    <row r="694" spans="1:15" ht="15">
      <c r="A694" s="13">
        <v>62275</v>
      </c>
      <c r="B694" s="65">
        <f>11.1891 * CHOOSE(CONTROL!$C$23, $C$12, 100%, $E$12)</f>
        <v>11.1891</v>
      </c>
      <c r="C694" s="65">
        <f>11.1891 * CHOOSE(CONTROL!$C$23, $C$12, 100%, $E$12)</f>
        <v>11.1891</v>
      </c>
      <c r="D694" s="65">
        <f>11.1947 * CHOOSE(CONTROL!$C$23, $C$12, 100%, $E$12)</f>
        <v>11.194699999999999</v>
      </c>
      <c r="E694" s="66">
        <f>13.0438 * CHOOSE(CONTROL!$C$23, $C$12, 100%, $E$12)</f>
        <v>13.043799999999999</v>
      </c>
      <c r="F694" s="66">
        <f>13.0438 * CHOOSE(CONTROL!$C$23, $C$12, 100%, $E$12)</f>
        <v>13.043799999999999</v>
      </c>
      <c r="G694" s="66">
        <f>13.0507 * CHOOSE(CONTROL!$C$23, $C$12, 100%, $E$12)</f>
        <v>13.050700000000001</v>
      </c>
      <c r="H694" s="66">
        <f>23.719* CHOOSE(CONTROL!$C$23, $C$12, 100%, $E$12)</f>
        <v>23.719000000000001</v>
      </c>
      <c r="I694" s="66">
        <f>23.7259 * CHOOSE(CONTROL!$C$23, $C$12, 100%, $E$12)</f>
        <v>23.725899999999999</v>
      </c>
      <c r="J694" s="66">
        <f>23.719 * CHOOSE(CONTROL!$C$23, $C$12, 100%, $E$12)</f>
        <v>23.719000000000001</v>
      </c>
      <c r="K694" s="66">
        <f>23.7259 * CHOOSE(CONTROL!$C$23, $C$12, 100%, $E$12)</f>
        <v>23.725899999999999</v>
      </c>
      <c r="L694" s="66">
        <f>13.0438 * CHOOSE(CONTROL!$C$23, $C$12, 100%, $E$12)</f>
        <v>13.043799999999999</v>
      </c>
      <c r="M694" s="66">
        <f>13.0507 * CHOOSE(CONTROL!$C$23, $C$12, 100%, $E$12)</f>
        <v>13.050700000000001</v>
      </c>
      <c r="N694" s="66">
        <f>13.0438 * CHOOSE(CONTROL!$C$23, $C$12, 100%, $E$12)</f>
        <v>13.043799999999999</v>
      </c>
      <c r="O694" s="66">
        <f>13.0507 * CHOOSE(CONTROL!$C$23, $C$12, 100%, $E$12)</f>
        <v>13.050700000000001</v>
      </c>
    </row>
    <row r="695" spans="1:15" ht="15">
      <c r="A695" s="13">
        <v>62306</v>
      </c>
      <c r="B695" s="65">
        <f>11.1958 * CHOOSE(CONTROL!$C$23, $C$12, 100%, $E$12)</f>
        <v>11.1958</v>
      </c>
      <c r="C695" s="65">
        <f>11.1958 * CHOOSE(CONTROL!$C$23, $C$12, 100%, $E$12)</f>
        <v>11.1958</v>
      </c>
      <c r="D695" s="65">
        <f>11.2014 * CHOOSE(CONTROL!$C$23, $C$12, 100%, $E$12)</f>
        <v>11.2014</v>
      </c>
      <c r="E695" s="66">
        <f>12.8386 * CHOOSE(CONTROL!$C$23, $C$12, 100%, $E$12)</f>
        <v>12.8386</v>
      </c>
      <c r="F695" s="66">
        <f>12.8386 * CHOOSE(CONTROL!$C$23, $C$12, 100%, $E$12)</f>
        <v>12.8386</v>
      </c>
      <c r="G695" s="66">
        <f>12.8455 * CHOOSE(CONTROL!$C$23, $C$12, 100%, $E$12)</f>
        <v>12.845499999999999</v>
      </c>
      <c r="H695" s="66">
        <f>23.7684* CHOOSE(CONTROL!$C$23, $C$12, 100%, $E$12)</f>
        <v>23.7684</v>
      </c>
      <c r="I695" s="66">
        <f>23.7753 * CHOOSE(CONTROL!$C$23, $C$12, 100%, $E$12)</f>
        <v>23.775300000000001</v>
      </c>
      <c r="J695" s="66">
        <f>23.7684 * CHOOSE(CONTROL!$C$23, $C$12, 100%, $E$12)</f>
        <v>23.7684</v>
      </c>
      <c r="K695" s="66">
        <f>23.7753 * CHOOSE(CONTROL!$C$23, $C$12, 100%, $E$12)</f>
        <v>23.775300000000001</v>
      </c>
      <c r="L695" s="66">
        <f>12.8386 * CHOOSE(CONTROL!$C$23, $C$12, 100%, $E$12)</f>
        <v>12.8386</v>
      </c>
      <c r="M695" s="66">
        <f>12.8455 * CHOOSE(CONTROL!$C$23, $C$12, 100%, $E$12)</f>
        <v>12.845499999999999</v>
      </c>
      <c r="N695" s="66">
        <f>12.8386 * CHOOSE(CONTROL!$C$23, $C$12, 100%, $E$12)</f>
        <v>12.8386</v>
      </c>
      <c r="O695" s="66">
        <f>12.8455 * CHOOSE(CONTROL!$C$23, $C$12, 100%, $E$12)</f>
        <v>12.845499999999999</v>
      </c>
    </row>
    <row r="696" spans="1:15" ht="15">
      <c r="A696" s="13">
        <v>62337</v>
      </c>
      <c r="B696" s="65">
        <f>11.1927 * CHOOSE(CONTROL!$C$23, $C$12, 100%, $E$12)</f>
        <v>11.1927</v>
      </c>
      <c r="C696" s="65">
        <f>11.1927 * CHOOSE(CONTROL!$C$23, $C$12, 100%, $E$12)</f>
        <v>11.1927</v>
      </c>
      <c r="D696" s="65">
        <f>11.1984 * CHOOSE(CONTROL!$C$23, $C$12, 100%, $E$12)</f>
        <v>11.198399999999999</v>
      </c>
      <c r="E696" s="66">
        <f>12.8131 * CHOOSE(CONTROL!$C$23, $C$12, 100%, $E$12)</f>
        <v>12.8131</v>
      </c>
      <c r="F696" s="66">
        <f>12.8131 * CHOOSE(CONTROL!$C$23, $C$12, 100%, $E$12)</f>
        <v>12.8131</v>
      </c>
      <c r="G696" s="66">
        <f>12.82 * CHOOSE(CONTROL!$C$23, $C$12, 100%, $E$12)</f>
        <v>12.82</v>
      </c>
      <c r="H696" s="66">
        <f>23.8179* CHOOSE(CONTROL!$C$23, $C$12, 100%, $E$12)</f>
        <v>23.817900000000002</v>
      </c>
      <c r="I696" s="66">
        <f>23.8248 * CHOOSE(CONTROL!$C$23, $C$12, 100%, $E$12)</f>
        <v>23.8248</v>
      </c>
      <c r="J696" s="66">
        <f>23.8179 * CHOOSE(CONTROL!$C$23, $C$12, 100%, $E$12)</f>
        <v>23.817900000000002</v>
      </c>
      <c r="K696" s="66">
        <f>23.8248 * CHOOSE(CONTROL!$C$23, $C$12, 100%, $E$12)</f>
        <v>23.8248</v>
      </c>
      <c r="L696" s="66">
        <f>12.8131 * CHOOSE(CONTROL!$C$23, $C$12, 100%, $E$12)</f>
        <v>12.8131</v>
      </c>
      <c r="M696" s="66">
        <f>12.82 * CHOOSE(CONTROL!$C$23, $C$12, 100%, $E$12)</f>
        <v>12.82</v>
      </c>
      <c r="N696" s="66">
        <f>12.8131 * CHOOSE(CONTROL!$C$23, $C$12, 100%, $E$12)</f>
        <v>12.8131</v>
      </c>
      <c r="O696" s="66">
        <f>12.82 * CHOOSE(CONTROL!$C$23, $C$12, 100%, $E$12)</f>
        <v>12.82</v>
      </c>
    </row>
    <row r="697" spans="1:15" ht="15">
      <c r="A697" s="13">
        <v>62367</v>
      </c>
      <c r="B697" s="65">
        <f>11.2111 * CHOOSE(CONTROL!$C$23, $C$12, 100%, $E$12)</f>
        <v>11.2111</v>
      </c>
      <c r="C697" s="65">
        <f>11.2111 * CHOOSE(CONTROL!$C$23, $C$12, 100%, $E$12)</f>
        <v>11.2111</v>
      </c>
      <c r="D697" s="65">
        <f>11.2151 * CHOOSE(CONTROL!$C$23, $C$12, 100%, $E$12)</f>
        <v>11.2151</v>
      </c>
      <c r="E697" s="66">
        <f>12.893 * CHOOSE(CONTROL!$C$23, $C$12, 100%, $E$12)</f>
        <v>12.893000000000001</v>
      </c>
      <c r="F697" s="66">
        <f>12.893 * CHOOSE(CONTROL!$C$23, $C$12, 100%, $E$12)</f>
        <v>12.893000000000001</v>
      </c>
      <c r="G697" s="66">
        <f>12.8979 * CHOOSE(CONTROL!$C$23, $C$12, 100%, $E$12)</f>
        <v>12.8979</v>
      </c>
      <c r="H697" s="66">
        <f>23.8675* CHOOSE(CONTROL!$C$23, $C$12, 100%, $E$12)</f>
        <v>23.8675</v>
      </c>
      <c r="I697" s="66">
        <f>23.8724 * CHOOSE(CONTROL!$C$23, $C$12, 100%, $E$12)</f>
        <v>23.872399999999999</v>
      </c>
      <c r="J697" s="66">
        <f>23.8675 * CHOOSE(CONTROL!$C$23, $C$12, 100%, $E$12)</f>
        <v>23.8675</v>
      </c>
      <c r="K697" s="66">
        <f>23.8724 * CHOOSE(CONTROL!$C$23, $C$12, 100%, $E$12)</f>
        <v>23.872399999999999</v>
      </c>
      <c r="L697" s="66">
        <f>12.893 * CHOOSE(CONTROL!$C$23, $C$12, 100%, $E$12)</f>
        <v>12.893000000000001</v>
      </c>
      <c r="M697" s="66">
        <f>12.8979 * CHOOSE(CONTROL!$C$23, $C$12, 100%, $E$12)</f>
        <v>12.8979</v>
      </c>
      <c r="N697" s="66">
        <f>12.893 * CHOOSE(CONTROL!$C$23, $C$12, 100%, $E$12)</f>
        <v>12.893000000000001</v>
      </c>
      <c r="O697" s="66">
        <f>12.8979 * CHOOSE(CONTROL!$C$23, $C$12, 100%, $E$12)</f>
        <v>12.8979</v>
      </c>
    </row>
    <row r="698" spans="1:15" ht="15">
      <c r="A698" s="13">
        <v>62398</v>
      </c>
      <c r="B698" s="65">
        <f>11.2141 * CHOOSE(CONTROL!$C$23, $C$12, 100%, $E$12)</f>
        <v>11.2141</v>
      </c>
      <c r="C698" s="65">
        <f>11.2141 * CHOOSE(CONTROL!$C$23, $C$12, 100%, $E$12)</f>
        <v>11.2141</v>
      </c>
      <c r="D698" s="65">
        <f>11.2181 * CHOOSE(CONTROL!$C$23, $C$12, 100%, $E$12)</f>
        <v>11.2181</v>
      </c>
      <c r="E698" s="66">
        <f>12.9418 * CHOOSE(CONTROL!$C$23, $C$12, 100%, $E$12)</f>
        <v>12.941800000000001</v>
      </c>
      <c r="F698" s="66">
        <f>12.9418 * CHOOSE(CONTROL!$C$23, $C$12, 100%, $E$12)</f>
        <v>12.941800000000001</v>
      </c>
      <c r="G698" s="66">
        <f>12.9467 * CHOOSE(CONTROL!$C$23, $C$12, 100%, $E$12)</f>
        <v>12.9467</v>
      </c>
      <c r="H698" s="66">
        <f>23.9172* CHOOSE(CONTROL!$C$23, $C$12, 100%, $E$12)</f>
        <v>23.917200000000001</v>
      </c>
      <c r="I698" s="66">
        <f>23.9222 * CHOOSE(CONTROL!$C$23, $C$12, 100%, $E$12)</f>
        <v>23.9222</v>
      </c>
      <c r="J698" s="66">
        <f>23.9172 * CHOOSE(CONTROL!$C$23, $C$12, 100%, $E$12)</f>
        <v>23.917200000000001</v>
      </c>
      <c r="K698" s="66">
        <f>23.9222 * CHOOSE(CONTROL!$C$23, $C$12, 100%, $E$12)</f>
        <v>23.9222</v>
      </c>
      <c r="L698" s="66">
        <f>12.9418 * CHOOSE(CONTROL!$C$23, $C$12, 100%, $E$12)</f>
        <v>12.941800000000001</v>
      </c>
      <c r="M698" s="66">
        <f>12.9467 * CHOOSE(CONTROL!$C$23, $C$12, 100%, $E$12)</f>
        <v>12.9467</v>
      </c>
      <c r="N698" s="66">
        <f>12.9418 * CHOOSE(CONTROL!$C$23, $C$12, 100%, $E$12)</f>
        <v>12.941800000000001</v>
      </c>
      <c r="O698" s="66">
        <f>12.9467 * CHOOSE(CONTROL!$C$23, $C$12, 100%, $E$12)</f>
        <v>12.9467</v>
      </c>
    </row>
    <row r="699" spans="1:15" ht="15">
      <c r="A699" s="13">
        <v>62428</v>
      </c>
      <c r="B699" s="65">
        <f>11.2141 * CHOOSE(CONTROL!$C$23, $C$12, 100%, $E$12)</f>
        <v>11.2141</v>
      </c>
      <c r="C699" s="65">
        <f>11.2141 * CHOOSE(CONTROL!$C$23, $C$12, 100%, $E$12)</f>
        <v>11.2141</v>
      </c>
      <c r="D699" s="65">
        <f>11.2181 * CHOOSE(CONTROL!$C$23, $C$12, 100%, $E$12)</f>
        <v>11.2181</v>
      </c>
      <c r="E699" s="66">
        <f>12.8252 * CHOOSE(CONTROL!$C$23, $C$12, 100%, $E$12)</f>
        <v>12.825200000000001</v>
      </c>
      <c r="F699" s="66">
        <f>12.8252 * CHOOSE(CONTROL!$C$23, $C$12, 100%, $E$12)</f>
        <v>12.825200000000001</v>
      </c>
      <c r="G699" s="66">
        <f>12.8301 * CHOOSE(CONTROL!$C$23, $C$12, 100%, $E$12)</f>
        <v>12.8301</v>
      </c>
      <c r="H699" s="66">
        <f>23.9671* CHOOSE(CONTROL!$C$23, $C$12, 100%, $E$12)</f>
        <v>23.967099999999999</v>
      </c>
      <c r="I699" s="66">
        <f>23.972 * CHOOSE(CONTROL!$C$23, $C$12, 100%, $E$12)</f>
        <v>23.972000000000001</v>
      </c>
      <c r="J699" s="66">
        <f>23.9671 * CHOOSE(CONTROL!$C$23, $C$12, 100%, $E$12)</f>
        <v>23.967099999999999</v>
      </c>
      <c r="K699" s="66">
        <f>23.972 * CHOOSE(CONTROL!$C$23, $C$12, 100%, $E$12)</f>
        <v>23.972000000000001</v>
      </c>
      <c r="L699" s="66">
        <f>12.8252 * CHOOSE(CONTROL!$C$23, $C$12, 100%, $E$12)</f>
        <v>12.825200000000001</v>
      </c>
      <c r="M699" s="66">
        <f>12.8301 * CHOOSE(CONTROL!$C$23, $C$12, 100%, $E$12)</f>
        <v>12.8301</v>
      </c>
      <c r="N699" s="66">
        <f>12.8252 * CHOOSE(CONTROL!$C$23, $C$12, 100%, $E$12)</f>
        <v>12.825200000000001</v>
      </c>
      <c r="O699" s="66">
        <f>12.8301 * CHOOSE(CONTROL!$C$23, $C$12, 100%, $E$12)</f>
        <v>12.8301</v>
      </c>
    </row>
    <row r="700" spans="1:15" ht="15">
      <c r="A700" s="13">
        <v>62459</v>
      </c>
      <c r="B700" s="65">
        <f>11.2519 * CHOOSE(CONTROL!$C$23, $C$12, 100%, $E$12)</f>
        <v>11.251899999999999</v>
      </c>
      <c r="C700" s="65">
        <f>11.2519 * CHOOSE(CONTROL!$C$23, $C$12, 100%, $E$12)</f>
        <v>11.251899999999999</v>
      </c>
      <c r="D700" s="65">
        <f>11.2559 * CHOOSE(CONTROL!$C$23, $C$12, 100%, $E$12)</f>
        <v>11.2559</v>
      </c>
      <c r="E700" s="66">
        <f>12.9563 * CHOOSE(CONTROL!$C$23, $C$12, 100%, $E$12)</f>
        <v>12.956300000000001</v>
      </c>
      <c r="F700" s="66">
        <f>12.9563 * CHOOSE(CONTROL!$C$23, $C$12, 100%, $E$12)</f>
        <v>12.956300000000001</v>
      </c>
      <c r="G700" s="66">
        <f>12.9612 * CHOOSE(CONTROL!$C$23, $C$12, 100%, $E$12)</f>
        <v>12.9612</v>
      </c>
      <c r="H700" s="66">
        <f>23.9072* CHOOSE(CONTROL!$C$23, $C$12, 100%, $E$12)</f>
        <v>23.9072</v>
      </c>
      <c r="I700" s="66">
        <f>23.9121 * CHOOSE(CONTROL!$C$23, $C$12, 100%, $E$12)</f>
        <v>23.912099999999999</v>
      </c>
      <c r="J700" s="66">
        <f>23.9072 * CHOOSE(CONTROL!$C$23, $C$12, 100%, $E$12)</f>
        <v>23.9072</v>
      </c>
      <c r="K700" s="66">
        <f>23.9121 * CHOOSE(CONTROL!$C$23, $C$12, 100%, $E$12)</f>
        <v>23.912099999999999</v>
      </c>
      <c r="L700" s="66">
        <f>12.9563 * CHOOSE(CONTROL!$C$23, $C$12, 100%, $E$12)</f>
        <v>12.956300000000001</v>
      </c>
      <c r="M700" s="66">
        <f>12.9612 * CHOOSE(CONTROL!$C$23, $C$12, 100%, $E$12)</f>
        <v>12.9612</v>
      </c>
      <c r="N700" s="66">
        <f>12.9563 * CHOOSE(CONTROL!$C$23, $C$12, 100%, $E$12)</f>
        <v>12.956300000000001</v>
      </c>
      <c r="O700" s="66">
        <f>12.9612 * CHOOSE(CONTROL!$C$23, $C$12, 100%, $E$12)</f>
        <v>12.9612</v>
      </c>
    </row>
    <row r="701" spans="1:15" ht="15">
      <c r="A701" s="13">
        <v>62490</v>
      </c>
      <c r="B701" s="65">
        <f>11.2488 * CHOOSE(CONTROL!$C$23, $C$12, 100%, $E$12)</f>
        <v>11.248799999999999</v>
      </c>
      <c r="C701" s="65">
        <f>11.2488 * CHOOSE(CONTROL!$C$23, $C$12, 100%, $E$12)</f>
        <v>11.248799999999999</v>
      </c>
      <c r="D701" s="65">
        <f>11.2528 * CHOOSE(CONTROL!$C$23, $C$12, 100%, $E$12)</f>
        <v>11.252800000000001</v>
      </c>
      <c r="E701" s="66">
        <f>12.7288 * CHOOSE(CONTROL!$C$23, $C$12, 100%, $E$12)</f>
        <v>12.7288</v>
      </c>
      <c r="F701" s="66">
        <f>12.7288 * CHOOSE(CONTROL!$C$23, $C$12, 100%, $E$12)</f>
        <v>12.7288</v>
      </c>
      <c r="G701" s="66">
        <f>12.7337 * CHOOSE(CONTROL!$C$23, $C$12, 100%, $E$12)</f>
        <v>12.733700000000001</v>
      </c>
      <c r="H701" s="66">
        <f>23.957* CHOOSE(CONTROL!$C$23, $C$12, 100%, $E$12)</f>
        <v>23.957000000000001</v>
      </c>
      <c r="I701" s="66">
        <f>23.9619 * CHOOSE(CONTROL!$C$23, $C$12, 100%, $E$12)</f>
        <v>23.9619</v>
      </c>
      <c r="J701" s="66">
        <f>23.957 * CHOOSE(CONTROL!$C$23, $C$12, 100%, $E$12)</f>
        <v>23.957000000000001</v>
      </c>
      <c r="K701" s="66">
        <f>23.9619 * CHOOSE(CONTROL!$C$23, $C$12, 100%, $E$12)</f>
        <v>23.9619</v>
      </c>
      <c r="L701" s="66">
        <f>12.7288 * CHOOSE(CONTROL!$C$23, $C$12, 100%, $E$12)</f>
        <v>12.7288</v>
      </c>
      <c r="M701" s="66">
        <f>12.7337 * CHOOSE(CONTROL!$C$23, $C$12, 100%, $E$12)</f>
        <v>12.733700000000001</v>
      </c>
      <c r="N701" s="66">
        <f>12.7288 * CHOOSE(CONTROL!$C$23, $C$12, 100%, $E$12)</f>
        <v>12.7288</v>
      </c>
      <c r="O701" s="66">
        <f>12.7337 * CHOOSE(CONTROL!$C$23, $C$12, 100%, $E$12)</f>
        <v>12.733700000000001</v>
      </c>
    </row>
    <row r="702" spans="1:15" ht="15">
      <c r="A702" s="13">
        <v>62518</v>
      </c>
      <c r="B702" s="65">
        <f>11.2458 * CHOOSE(CONTROL!$C$23, $C$12, 100%, $E$12)</f>
        <v>11.245799999999999</v>
      </c>
      <c r="C702" s="65">
        <f>11.2458 * CHOOSE(CONTROL!$C$23, $C$12, 100%, $E$12)</f>
        <v>11.245799999999999</v>
      </c>
      <c r="D702" s="65">
        <f>11.2498 * CHOOSE(CONTROL!$C$23, $C$12, 100%, $E$12)</f>
        <v>11.2498</v>
      </c>
      <c r="E702" s="66">
        <f>12.9043 * CHOOSE(CONTROL!$C$23, $C$12, 100%, $E$12)</f>
        <v>12.904299999999999</v>
      </c>
      <c r="F702" s="66">
        <f>12.9043 * CHOOSE(CONTROL!$C$23, $C$12, 100%, $E$12)</f>
        <v>12.904299999999999</v>
      </c>
      <c r="G702" s="66">
        <f>12.9093 * CHOOSE(CONTROL!$C$23, $C$12, 100%, $E$12)</f>
        <v>12.9093</v>
      </c>
      <c r="H702" s="66">
        <f>24.0069* CHOOSE(CONTROL!$C$23, $C$12, 100%, $E$12)</f>
        <v>24.006900000000002</v>
      </c>
      <c r="I702" s="66">
        <f>24.0118 * CHOOSE(CONTROL!$C$23, $C$12, 100%, $E$12)</f>
        <v>24.011800000000001</v>
      </c>
      <c r="J702" s="66">
        <f>24.0069 * CHOOSE(CONTROL!$C$23, $C$12, 100%, $E$12)</f>
        <v>24.006900000000002</v>
      </c>
      <c r="K702" s="66">
        <f>24.0118 * CHOOSE(CONTROL!$C$23, $C$12, 100%, $E$12)</f>
        <v>24.011800000000001</v>
      </c>
      <c r="L702" s="66">
        <f>12.9043 * CHOOSE(CONTROL!$C$23, $C$12, 100%, $E$12)</f>
        <v>12.904299999999999</v>
      </c>
      <c r="M702" s="66">
        <f>12.9093 * CHOOSE(CONTROL!$C$23, $C$12, 100%, $E$12)</f>
        <v>12.9093</v>
      </c>
      <c r="N702" s="66">
        <f>12.9043 * CHOOSE(CONTROL!$C$23, $C$12, 100%, $E$12)</f>
        <v>12.904299999999999</v>
      </c>
      <c r="O702" s="66">
        <f>12.9093 * CHOOSE(CONTROL!$C$23, $C$12, 100%, $E$12)</f>
        <v>12.9093</v>
      </c>
    </row>
    <row r="703" spans="1:15" ht="15">
      <c r="A703" s="13">
        <v>62549</v>
      </c>
      <c r="B703" s="65">
        <f>11.2496 * CHOOSE(CONTROL!$C$23, $C$12, 100%, $E$12)</f>
        <v>11.249599999999999</v>
      </c>
      <c r="C703" s="65">
        <f>11.2496 * CHOOSE(CONTROL!$C$23, $C$12, 100%, $E$12)</f>
        <v>11.249599999999999</v>
      </c>
      <c r="D703" s="65">
        <f>11.2536 * CHOOSE(CONTROL!$C$23, $C$12, 100%, $E$12)</f>
        <v>11.2536</v>
      </c>
      <c r="E703" s="66">
        <f>13.0909 * CHOOSE(CONTROL!$C$23, $C$12, 100%, $E$12)</f>
        <v>13.0909</v>
      </c>
      <c r="F703" s="66">
        <f>13.0909 * CHOOSE(CONTROL!$C$23, $C$12, 100%, $E$12)</f>
        <v>13.0909</v>
      </c>
      <c r="G703" s="66">
        <f>13.0958 * CHOOSE(CONTROL!$C$23, $C$12, 100%, $E$12)</f>
        <v>13.095800000000001</v>
      </c>
      <c r="H703" s="66">
        <f>24.0569* CHOOSE(CONTROL!$C$23, $C$12, 100%, $E$12)</f>
        <v>24.056899999999999</v>
      </c>
      <c r="I703" s="66">
        <f>24.0618 * CHOOSE(CONTROL!$C$23, $C$12, 100%, $E$12)</f>
        <v>24.061800000000002</v>
      </c>
      <c r="J703" s="66">
        <f>24.0569 * CHOOSE(CONTROL!$C$23, $C$12, 100%, $E$12)</f>
        <v>24.056899999999999</v>
      </c>
      <c r="K703" s="66">
        <f>24.0618 * CHOOSE(CONTROL!$C$23, $C$12, 100%, $E$12)</f>
        <v>24.061800000000002</v>
      </c>
      <c r="L703" s="66">
        <f>13.0909 * CHOOSE(CONTROL!$C$23, $C$12, 100%, $E$12)</f>
        <v>13.0909</v>
      </c>
      <c r="M703" s="66">
        <f>13.0958 * CHOOSE(CONTROL!$C$23, $C$12, 100%, $E$12)</f>
        <v>13.095800000000001</v>
      </c>
      <c r="N703" s="66">
        <f>13.0909 * CHOOSE(CONTROL!$C$23, $C$12, 100%, $E$12)</f>
        <v>13.0909</v>
      </c>
      <c r="O703" s="66">
        <f>13.0958 * CHOOSE(CONTROL!$C$23, $C$12, 100%, $E$12)</f>
        <v>13.095800000000001</v>
      </c>
    </row>
    <row r="704" spans="1:15" ht="15">
      <c r="A704" s="13">
        <v>62579</v>
      </c>
      <c r="B704" s="65">
        <f>11.2496 * CHOOSE(CONTROL!$C$23, $C$12, 100%, $E$12)</f>
        <v>11.249599999999999</v>
      </c>
      <c r="C704" s="65">
        <f>11.2496 * CHOOSE(CONTROL!$C$23, $C$12, 100%, $E$12)</f>
        <v>11.249599999999999</v>
      </c>
      <c r="D704" s="65">
        <f>11.2552 * CHOOSE(CONTROL!$C$23, $C$12, 100%, $E$12)</f>
        <v>11.2552</v>
      </c>
      <c r="E704" s="66">
        <f>13.1624 * CHOOSE(CONTROL!$C$23, $C$12, 100%, $E$12)</f>
        <v>13.1624</v>
      </c>
      <c r="F704" s="66">
        <f>13.1624 * CHOOSE(CONTROL!$C$23, $C$12, 100%, $E$12)</f>
        <v>13.1624</v>
      </c>
      <c r="G704" s="66">
        <f>13.1693 * CHOOSE(CONTROL!$C$23, $C$12, 100%, $E$12)</f>
        <v>13.1693</v>
      </c>
      <c r="H704" s="66">
        <f>24.107* CHOOSE(CONTROL!$C$23, $C$12, 100%, $E$12)</f>
        <v>24.106999999999999</v>
      </c>
      <c r="I704" s="66">
        <f>24.1139 * CHOOSE(CONTROL!$C$23, $C$12, 100%, $E$12)</f>
        <v>24.113900000000001</v>
      </c>
      <c r="J704" s="66">
        <f>24.107 * CHOOSE(CONTROL!$C$23, $C$12, 100%, $E$12)</f>
        <v>24.106999999999999</v>
      </c>
      <c r="K704" s="66">
        <f>24.1139 * CHOOSE(CONTROL!$C$23, $C$12, 100%, $E$12)</f>
        <v>24.113900000000001</v>
      </c>
      <c r="L704" s="66">
        <f>13.1624 * CHOOSE(CONTROL!$C$23, $C$12, 100%, $E$12)</f>
        <v>13.1624</v>
      </c>
      <c r="M704" s="66">
        <f>13.1693 * CHOOSE(CONTROL!$C$23, $C$12, 100%, $E$12)</f>
        <v>13.1693</v>
      </c>
      <c r="N704" s="66">
        <f>13.1624 * CHOOSE(CONTROL!$C$23, $C$12, 100%, $E$12)</f>
        <v>13.1624</v>
      </c>
      <c r="O704" s="66">
        <f>13.1693 * CHOOSE(CONTROL!$C$23, $C$12, 100%, $E$12)</f>
        <v>13.1693</v>
      </c>
    </row>
    <row r="705" spans="1:15" ht="15">
      <c r="A705" s="13">
        <v>62610</v>
      </c>
      <c r="B705" s="65">
        <f>11.2556 * CHOOSE(CONTROL!$C$23, $C$12, 100%, $E$12)</f>
        <v>11.255599999999999</v>
      </c>
      <c r="C705" s="65">
        <f>11.2556 * CHOOSE(CONTROL!$C$23, $C$12, 100%, $E$12)</f>
        <v>11.255599999999999</v>
      </c>
      <c r="D705" s="65">
        <f>11.2613 * CHOOSE(CONTROL!$C$23, $C$12, 100%, $E$12)</f>
        <v>11.2613</v>
      </c>
      <c r="E705" s="66">
        <f>13.0951 * CHOOSE(CONTROL!$C$23, $C$12, 100%, $E$12)</f>
        <v>13.0951</v>
      </c>
      <c r="F705" s="66">
        <f>13.0951 * CHOOSE(CONTROL!$C$23, $C$12, 100%, $E$12)</f>
        <v>13.0951</v>
      </c>
      <c r="G705" s="66">
        <f>13.102 * CHOOSE(CONTROL!$C$23, $C$12, 100%, $E$12)</f>
        <v>13.102</v>
      </c>
      <c r="H705" s="66">
        <f>24.1572* CHOOSE(CONTROL!$C$23, $C$12, 100%, $E$12)</f>
        <v>24.1572</v>
      </c>
      <c r="I705" s="66">
        <f>24.1641 * CHOOSE(CONTROL!$C$23, $C$12, 100%, $E$12)</f>
        <v>24.164100000000001</v>
      </c>
      <c r="J705" s="66">
        <f>24.1572 * CHOOSE(CONTROL!$C$23, $C$12, 100%, $E$12)</f>
        <v>24.1572</v>
      </c>
      <c r="K705" s="66">
        <f>24.1641 * CHOOSE(CONTROL!$C$23, $C$12, 100%, $E$12)</f>
        <v>24.164100000000001</v>
      </c>
      <c r="L705" s="66">
        <f>13.0951 * CHOOSE(CONTROL!$C$23, $C$12, 100%, $E$12)</f>
        <v>13.0951</v>
      </c>
      <c r="M705" s="66">
        <f>13.102 * CHOOSE(CONTROL!$C$23, $C$12, 100%, $E$12)</f>
        <v>13.102</v>
      </c>
      <c r="N705" s="66">
        <f>13.0951 * CHOOSE(CONTROL!$C$23, $C$12, 100%, $E$12)</f>
        <v>13.0951</v>
      </c>
      <c r="O705" s="66">
        <f>13.102 * CHOOSE(CONTROL!$C$23, $C$12, 100%, $E$12)</f>
        <v>13.102</v>
      </c>
    </row>
    <row r="706" spans="1:15" ht="15">
      <c r="A706" s="13">
        <v>62640</v>
      </c>
      <c r="B706" s="65">
        <f>11.4283 * CHOOSE(CONTROL!$C$23, $C$12, 100%, $E$12)</f>
        <v>11.4283</v>
      </c>
      <c r="C706" s="65">
        <f>11.4283 * CHOOSE(CONTROL!$C$23, $C$12, 100%, $E$12)</f>
        <v>11.4283</v>
      </c>
      <c r="D706" s="65">
        <f>11.4339 * CHOOSE(CONTROL!$C$23, $C$12, 100%, $E$12)</f>
        <v>11.4339</v>
      </c>
      <c r="E706" s="66">
        <f>13.3056 * CHOOSE(CONTROL!$C$23, $C$12, 100%, $E$12)</f>
        <v>13.3056</v>
      </c>
      <c r="F706" s="66">
        <f>13.3056 * CHOOSE(CONTROL!$C$23, $C$12, 100%, $E$12)</f>
        <v>13.3056</v>
      </c>
      <c r="G706" s="66">
        <f>13.3125 * CHOOSE(CONTROL!$C$23, $C$12, 100%, $E$12)</f>
        <v>13.3125</v>
      </c>
      <c r="H706" s="66">
        <f>24.2076* CHOOSE(CONTROL!$C$23, $C$12, 100%, $E$12)</f>
        <v>24.207599999999999</v>
      </c>
      <c r="I706" s="66">
        <f>24.2145 * CHOOSE(CONTROL!$C$23, $C$12, 100%, $E$12)</f>
        <v>24.214500000000001</v>
      </c>
      <c r="J706" s="66">
        <f>24.2076 * CHOOSE(CONTROL!$C$23, $C$12, 100%, $E$12)</f>
        <v>24.207599999999999</v>
      </c>
      <c r="K706" s="66">
        <f>24.2145 * CHOOSE(CONTROL!$C$23, $C$12, 100%, $E$12)</f>
        <v>24.214500000000001</v>
      </c>
      <c r="L706" s="66">
        <f>13.3056 * CHOOSE(CONTROL!$C$23, $C$12, 100%, $E$12)</f>
        <v>13.3056</v>
      </c>
      <c r="M706" s="66">
        <f>13.3125 * CHOOSE(CONTROL!$C$23, $C$12, 100%, $E$12)</f>
        <v>13.3125</v>
      </c>
      <c r="N706" s="66">
        <f>13.3056 * CHOOSE(CONTROL!$C$23, $C$12, 100%, $E$12)</f>
        <v>13.3056</v>
      </c>
      <c r="O706" s="66">
        <f>13.3125 * CHOOSE(CONTROL!$C$23, $C$12, 100%, $E$12)</f>
        <v>13.3125</v>
      </c>
    </row>
    <row r="707" spans="1:15" ht="15">
      <c r="A707" s="13">
        <v>62671</v>
      </c>
      <c r="B707" s="65">
        <f>11.435 * CHOOSE(CONTROL!$C$23, $C$12, 100%, $E$12)</f>
        <v>11.435</v>
      </c>
      <c r="C707" s="65">
        <f>11.435 * CHOOSE(CONTROL!$C$23, $C$12, 100%, $E$12)</f>
        <v>11.435</v>
      </c>
      <c r="D707" s="65">
        <f>11.4406 * CHOOSE(CONTROL!$C$23, $C$12, 100%, $E$12)</f>
        <v>11.4406</v>
      </c>
      <c r="E707" s="66">
        <f>13.0956 * CHOOSE(CONTROL!$C$23, $C$12, 100%, $E$12)</f>
        <v>13.095599999999999</v>
      </c>
      <c r="F707" s="66">
        <f>13.0956 * CHOOSE(CONTROL!$C$23, $C$12, 100%, $E$12)</f>
        <v>13.095599999999999</v>
      </c>
      <c r="G707" s="66">
        <f>13.1025 * CHOOSE(CONTROL!$C$23, $C$12, 100%, $E$12)</f>
        <v>13.102499999999999</v>
      </c>
      <c r="H707" s="66">
        <f>24.258* CHOOSE(CONTROL!$C$23, $C$12, 100%, $E$12)</f>
        <v>24.257999999999999</v>
      </c>
      <c r="I707" s="66">
        <f>24.2649 * CHOOSE(CONTROL!$C$23, $C$12, 100%, $E$12)</f>
        <v>24.264900000000001</v>
      </c>
      <c r="J707" s="66">
        <f>24.258 * CHOOSE(CONTROL!$C$23, $C$12, 100%, $E$12)</f>
        <v>24.257999999999999</v>
      </c>
      <c r="K707" s="66">
        <f>24.2649 * CHOOSE(CONTROL!$C$23, $C$12, 100%, $E$12)</f>
        <v>24.264900000000001</v>
      </c>
      <c r="L707" s="66">
        <f>13.0956 * CHOOSE(CONTROL!$C$23, $C$12, 100%, $E$12)</f>
        <v>13.095599999999999</v>
      </c>
      <c r="M707" s="66">
        <f>13.1025 * CHOOSE(CONTROL!$C$23, $C$12, 100%, $E$12)</f>
        <v>13.102499999999999</v>
      </c>
      <c r="N707" s="66">
        <f>13.0956 * CHOOSE(CONTROL!$C$23, $C$12, 100%, $E$12)</f>
        <v>13.095599999999999</v>
      </c>
      <c r="O707" s="66">
        <f>13.1025 * CHOOSE(CONTROL!$C$23, $C$12, 100%, $E$12)</f>
        <v>13.102499999999999</v>
      </c>
    </row>
    <row r="708" spans="1:15" ht="15">
      <c r="A708" s="13">
        <v>62702</v>
      </c>
      <c r="B708" s="65">
        <f>11.4319 * CHOOSE(CONTROL!$C$23, $C$12, 100%, $E$12)</f>
        <v>11.431900000000001</v>
      </c>
      <c r="C708" s="65">
        <f>11.4319 * CHOOSE(CONTROL!$C$23, $C$12, 100%, $E$12)</f>
        <v>11.431900000000001</v>
      </c>
      <c r="D708" s="65">
        <f>11.4376 * CHOOSE(CONTROL!$C$23, $C$12, 100%, $E$12)</f>
        <v>11.4376</v>
      </c>
      <c r="E708" s="66">
        <f>13.0697 * CHOOSE(CONTROL!$C$23, $C$12, 100%, $E$12)</f>
        <v>13.069699999999999</v>
      </c>
      <c r="F708" s="66">
        <f>13.0697 * CHOOSE(CONTROL!$C$23, $C$12, 100%, $E$12)</f>
        <v>13.069699999999999</v>
      </c>
      <c r="G708" s="66">
        <f>13.0766 * CHOOSE(CONTROL!$C$23, $C$12, 100%, $E$12)</f>
        <v>13.076599999999999</v>
      </c>
      <c r="H708" s="66">
        <f>24.3085* CHOOSE(CONTROL!$C$23, $C$12, 100%, $E$12)</f>
        <v>24.308499999999999</v>
      </c>
      <c r="I708" s="66">
        <f>24.3154 * CHOOSE(CONTROL!$C$23, $C$12, 100%, $E$12)</f>
        <v>24.3154</v>
      </c>
      <c r="J708" s="66">
        <f>24.3085 * CHOOSE(CONTROL!$C$23, $C$12, 100%, $E$12)</f>
        <v>24.308499999999999</v>
      </c>
      <c r="K708" s="66">
        <f>24.3154 * CHOOSE(CONTROL!$C$23, $C$12, 100%, $E$12)</f>
        <v>24.3154</v>
      </c>
      <c r="L708" s="66">
        <f>13.0697 * CHOOSE(CONTROL!$C$23, $C$12, 100%, $E$12)</f>
        <v>13.069699999999999</v>
      </c>
      <c r="M708" s="66">
        <f>13.0766 * CHOOSE(CONTROL!$C$23, $C$12, 100%, $E$12)</f>
        <v>13.076599999999999</v>
      </c>
      <c r="N708" s="66">
        <f>13.0697 * CHOOSE(CONTROL!$C$23, $C$12, 100%, $E$12)</f>
        <v>13.069699999999999</v>
      </c>
      <c r="O708" s="66">
        <f>13.0766 * CHOOSE(CONTROL!$C$23, $C$12, 100%, $E$12)</f>
        <v>13.076599999999999</v>
      </c>
    </row>
    <row r="709" spans="1:15" ht="15">
      <c r="A709" s="13">
        <v>62732</v>
      </c>
      <c r="B709" s="65">
        <f>11.451 * CHOOSE(CONTROL!$C$23, $C$12, 100%, $E$12)</f>
        <v>11.451000000000001</v>
      </c>
      <c r="C709" s="65">
        <f>11.451 * CHOOSE(CONTROL!$C$23, $C$12, 100%, $E$12)</f>
        <v>11.451000000000001</v>
      </c>
      <c r="D709" s="65">
        <f>11.455 * CHOOSE(CONTROL!$C$23, $C$12, 100%, $E$12)</f>
        <v>11.455</v>
      </c>
      <c r="E709" s="66">
        <f>13.1516 * CHOOSE(CONTROL!$C$23, $C$12, 100%, $E$12)</f>
        <v>13.1516</v>
      </c>
      <c r="F709" s="66">
        <f>13.1516 * CHOOSE(CONTROL!$C$23, $C$12, 100%, $E$12)</f>
        <v>13.1516</v>
      </c>
      <c r="G709" s="66">
        <f>13.1566 * CHOOSE(CONTROL!$C$23, $C$12, 100%, $E$12)</f>
        <v>13.156599999999999</v>
      </c>
      <c r="H709" s="66">
        <f>24.3592* CHOOSE(CONTROL!$C$23, $C$12, 100%, $E$12)</f>
        <v>24.359200000000001</v>
      </c>
      <c r="I709" s="66">
        <f>24.3641 * CHOOSE(CONTROL!$C$23, $C$12, 100%, $E$12)</f>
        <v>24.364100000000001</v>
      </c>
      <c r="J709" s="66">
        <f>24.3592 * CHOOSE(CONTROL!$C$23, $C$12, 100%, $E$12)</f>
        <v>24.359200000000001</v>
      </c>
      <c r="K709" s="66">
        <f>24.3641 * CHOOSE(CONTROL!$C$23, $C$12, 100%, $E$12)</f>
        <v>24.364100000000001</v>
      </c>
      <c r="L709" s="66">
        <f>13.1516 * CHOOSE(CONTROL!$C$23, $C$12, 100%, $E$12)</f>
        <v>13.1516</v>
      </c>
      <c r="M709" s="66">
        <f>13.1566 * CHOOSE(CONTROL!$C$23, $C$12, 100%, $E$12)</f>
        <v>13.156599999999999</v>
      </c>
      <c r="N709" s="66">
        <f>13.1516 * CHOOSE(CONTROL!$C$23, $C$12, 100%, $E$12)</f>
        <v>13.1516</v>
      </c>
      <c r="O709" s="66">
        <f>13.1566 * CHOOSE(CONTROL!$C$23, $C$12, 100%, $E$12)</f>
        <v>13.156599999999999</v>
      </c>
    </row>
    <row r="710" spans="1:15" ht="15">
      <c r="A710" s="13">
        <v>62763</v>
      </c>
      <c r="B710" s="65">
        <f>11.4541 * CHOOSE(CONTROL!$C$23, $C$12, 100%, $E$12)</f>
        <v>11.4541</v>
      </c>
      <c r="C710" s="65">
        <f>11.4541 * CHOOSE(CONTROL!$C$23, $C$12, 100%, $E$12)</f>
        <v>11.4541</v>
      </c>
      <c r="D710" s="65">
        <f>11.4581 * CHOOSE(CONTROL!$C$23, $C$12, 100%, $E$12)</f>
        <v>11.4581</v>
      </c>
      <c r="E710" s="66">
        <f>13.2015 * CHOOSE(CONTROL!$C$23, $C$12, 100%, $E$12)</f>
        <v>13.201499999999999</v>
      </c>
      <c r="F710" s="66">
        <f>13.2015 * CHOOSE(CONTROL!$C$23, $C$12, 100%, $E$12)</f>
        <v>13.201499999999999</v>
      </c>
      <c r="G710" s="66">
        <f>13.2064 * CHOOSE(CONTROL!$C$23, $C$12, 100%, $E$12)</f>
        <v>13.2064</v>
      </c>
      <c r="H710" s="66">
        <f>24.4099* CHOOSE(CONTROL!$C$23, $C$12, 100%, $E$12)</f>
        <v>24.4099</v>
      </c>
      <c r="I710" s="66">
        <f>24.4149 * CHOOSE(CONTROL!$C$23, $C$12, 100%, $E$12)</f>
        <v>24.414899999999999</v>
      </c>
      <c r="J710" s="66">
        <f>24.4099 * CHOOSE(CONTROL!$C$23, $C$12, 100%, $E$12)</f>
        <v>24.4099</v>
      </c>
      <c r="K710" s="66">
        <f>24.4149 * CHOOSE(CONTROL!$C$23, $C$12, 100%, $E$12)</f>
        <v>24.414899999999999</v>
      </c>
      <c r="L710" s="66">
        <f>13.2015 * CHOOSE(CONTROL!$C$23, $C$12, 100%, $E$12)</f>
        <v>13.201499999999999</v>
      </c>
      <c r="M710" s="66">
        <f>13.2064 * CHOOSE(CONTROL!$C$23, $C$12, 100%, $E$12)</f>
        <v>13.2064</v>
      </c>
      <c r="N710" s="66">
        <f>13.2015 * CHOOSE(CONTROL!$C$23, $C$12, 100%, $E$12)</f>
        <v>13.201499999999999</v>
      </c>
      <c r="O710" s="66">
        <f>13.2064 * CHOOSE(CONTROL!$C$23, $C$12, 100%, $E$12)</f>
        <v>13.2064</v>
      </c>
    </row>
    <row r="711" spans="1:15" ht="15">
      <c r="A711" s="13">
        <v>62793</v>
      </c>
      <c r="B711" s="65">
        <f>11.4541 * CHOOSE(CONTROL!$C$23, $C$12, 100%, $E$12)</f>
        <v>11.4541</v>
      </c>
      <c r="C711" s="65">
        <f>11.4541 * CHOOSE(CONTROL!$C$23, $C$12, 100%, $E$12)</f>
        <v>11.4541</v>
      </c>
      <c r="D711" s="65">
        <f>11.4581 * CHOOSE(CONTROL!$C$23, $C$12, 100%, $E$12)</f>
        <v>11.4581</v>
      </c>
      <c r="E711" s="66">
        <f>13.0822 * CHOOSE(CONTROL!$C$23, $C$12, 100%, $E$12)</f>
        <v>13.0822</v>
      </c>
      <c r="F711" s="66">
        <f>13.0822 * CHOOSE(CONTROL!$C$23, $C$12, 100%, $E$12)</f>
        <v>13.0822</v>
      </c>
      <c r="G711" s="66">
        <f>13.0871 * CHOOSE(CONTROL!$C$23, $C$12, 100%, $E$12)</f>
        <v>13.0871</v>
      </c>
      <c r="H711" s="66">
        <f>24.4608* CHOOSE(CONTROL!$C$23, $C$12, 100%, $E$12)</f>
        <v>24.460799999999999</v>
      </c>
      <c r="I711" s="66">
        <f>24.4657 * CHOOSE(CONTROL!$C$23, $C$12, 100%, $E$12)</f>
        <v>24.465699999999998</v>
      </c>
      <c r="J711" s="66">
        <f>24.4608 * CHOOSE(CONTROL!$C$23, $C$12, 100%, $E$12)</f>
        <v>24.460799999999999</v>
      </c>
      <c r="K711" s="66">
        <f>24.4657 * CHOOSE(CONTROL!$C$23, $C$12, 100%, $E$12)</f>
        <v>24.465699999999998</v>
      </c>
      <c r="L711" s="66">
        <f>13.0822 * CHOOSE(CONTROL!$C$23, $C$12, 100%, $E$12)</f>
        <v>13.0822</v>
      </c>
      <c r="M711" s="66">
        <f>13.0871 * CHOOSE(CONTROL!$C$23, $C$12, 100%, $E$12)</f>
        <v>13.0871</v>
      </c>
      <c r="N711" s="66">
        <f>13.0822 * CHOOSE(CONTROL!$C$23, $C$12, 100%, $E$12)</f>
        <v>13.0822</v>
      </c>
      <c r="O711" s="66">
        <f>13.0871 * CHOOSE(CONTROL!$C$23, $C$12, 100%, $E$12)</f>
        <v>13.0871</v>
      </c>
    </row>
    <row r="712" spans="1:15" ht="15">
      <c r="A712" s="13">
        <v>62824</v>
      </c>
      <c r="B712" s="65">
        <f>11.4875 * CHOOSE(CONTROL!$C$23, $C$12, 100%, $E$12)</f>
        <v>11.487500000000001</v>
      </c>
      <c r="C712" s="65">
        <f>11.4875 * CHOOSE(CONTROL!$C$23, $C$12, 100%, $E$12)</f>
        <v>11.487500000000001</v>
      </c>
      <c r="D712" s="65">
        <f>11.4915 * CHOOSE(CONTROL!$C$23, $C$12, 100%, $E$12)</f>
        <v>11.4915</v>
      </c>
      <c r="E712" s="66">
        <f>13.211 * CHOOSE(CONTROL!$C$23, $C$12, 100%, $E$12)</f>
        <v>13.211</v>
      </c>
      <c r="F712" s="66">
        <f>13.211 * CHOOSE(CONTROL!$C$23, $C$12, 100%, $E$12)</f>
        <v>13.211</v>
      </c>
      <c r="G712" s="66">
        <f>13.2159 * CHOOSE(CONTROL!$C$23, $C$12, 100%, $E$12)</f>
        <v>13.2159</v>
      </c>
      <c r="H712" s="66">
        <f>24.3897* CHOOSE(CONTROL!$C$23, $C$12, 100%, $E$12)</f>
        <v>24.389700000000001</v>
      </c>
      <c r="I712" s="66">
        <f>24.3946 * CHOOSE(CONTROL!$C$23, $C$12, 100%, $E$12)</f>
        <v>24.394600000000001</v>
      </c>
      <c r="J712" s="66">
        <f>24.3897 * CHOOSE(CONTROL!$C$23, $C$12, 100%, $E$12)</f>
        <v>24.389700000000001</v>
      </c>
      <c r="K712" s="66">
        <f>24.3946 * CHOOSE(CONTROL!$C$23, $C$12, 100%, $E$12)</f>
        <v>24.394600000000001</v>
      </c>
      <c r="L712" s="66">
        <f>13.211 * CHOOSE(CONTROL!$C$23, $C$12, 100%, $E$12)</f>
        <v>13.211</v>
      </c>
      <c r="M712" s="66">
        <f>13.2159 * CHOOSE(CONTROL!$C$23, $C$12, 100%, $E$12)</f>
        <v>13.2159</v>
      </c>
      <c r="N712" s="66">
        <f>13.211 * CHOOSE(CONTROL!$C$23, $C$12, 100%, $E$12)</f>
        <v>13.211</v>
      </c>
      <c r="O712" s="66">
        <f>13.2159 * CHOOSE(CONTROL!$C$23, $C$12, 100%, $E$12)</f>
        <v>13.2159</v>
      </c>
    </row>
    <row r="713" spans="1:15" ht="15">
      <c r="A713" s="13">
        <v>62855</v>
      </c>
      <c r="B713" s="65">
        <f>11.4844 * CHOOSE(CONTROL!$C$23, $C$12, 100%, $E$12)</f>
        <v>11.484400000000001</v>
      </c>
      <c r="C713" s="65">
        <f>11.4844 * CHOOSE(CONTROL!$C$23, $C$12, 100%, $E$12)</f>
        <v>11.484400000000001</v>
      </c>
      <c r="D713" s="65">
        <f>11.4884 * CHOOSE(CONTROL!$C$23, $C$12, 100%, $E$12)</f>
        <v>11.4884</v>
      </c>
      <c r="E713" s="66">
        <f>12.9786 * CHOOSE(CONTROL!$C$23, $C$12, 100%, $E$12)</f>
        <v>12.9786</v>
      </c>
      <c r="F713" s="66">
        <f>12.9786 * CHOOSE(CONTROL!$C$23, $C$12, 100%, $E$12)</f>
        <v>12.9786</v>
      </c>
      <c r="G713" s="66">
        <f>12.9835 * CHOOSE(CONTROL!$C$23, $C$12, 100%, $E$12)</f>
        <v>12.983499999999999</v>
      </c>
      <c r="H713" s="66">
        <f>24.4405* CHOOSE(CONTROL!$C$23, $C$12, 100%, $E$12)</f>
        <v>24.4405</v>
      </c>
      <c r="I713" s="66">
        <f>24.4455 * CHOOSE(CONTROL!$C$23, $C$12, 100%, $E$12)</f>
        <v>24.445499999999999</v>
      </c>
      <c r="J713" s="66">
        <f>24.4405 * CHOOSE(CONTROL!$C$23, $C$12, 100%, $E$12)</f>
        <v>24.4405</v>
      </c>
      <c r="K713" s="66">
        <f>24.4455 * CHOOSE(CONTROL!$C$23, $C$12, 100%, $E$12)</f>
        <v>24.445499999999999</v>
      </c>
      <c r="L713" s="66">
        <f>12.9786 * CHOOSE(CONTROL!$C$23, $C$12, 100%, $E$12)</f>
        <v>12.9786</v>
      </c>
      <c r="M713" s="66">
        <f>12.9835 * CHOOSE(CONTROL!$C$23, $C$12, 100%, $E$12)</f>
        <v>12.983499999999999</v>
      </c>
      <c r="N713" s="66">
        <f>12.9786 * CHOOSE(CONTROL!$C$23, $C$12, 100%, $E$12)</f>
        <v>12.9786</v>
      </c>
      <c r="O713" s="66">
        <f>12.9835 * CHOOSE(CONTROL!$C$23, $C$12, 100%, $E$12)</f>
        <v>12.983499999999999</v>
      </c>
    </row>
    <row r="714" spans="1:15" ht="15">
      <c r="A714" s="13">
        <v>62884</v>
      </c>
      <c r="B714" s="65">
        <f>11.4814 * CHOOSE(CONTROL!$C$23, $C$12, 100%, $E$12)</f>
        <v>11.481400000000001</v>
      </c>
      <c r="C714" s="65">
        <f>11.4814 * CHOOSE(CONTROL!$C$23, $C$12, 100%, $E$12)</f>
        <v>11.481400000000001</v>
      </c>
      <c r="D714" s="65">
        <f>11.4854 * CHOOSE(CONTROL!$C$23, $C$12, 100%, $E$12)</f>
        <v>11.4854</v>
      </c>
      <c r="E714" s="66">
        <f>13.158 * CHOOSE(CONTROL!$C$23, $C$12, 100%, $E$12)</f>
        <v>13.157999999999999</v>
      </c>
      <c r="F714" s="66">
        <f>13.158 * CHOOSE(CONTROL!$C$23, $C$12, 100%, $E$12)</f>
        <v>13.157999999999999</v>
      </c>
      <c r="G714" s="66">
        <f>13.1629 * CHOOSE(CONTROL!$C$23, $C$12, 100%, $E$12)</f>
        <v>13.1629</v>
      </c>
      <c r="H714" s="66">
        <f>24.4915* CHOOSE(CONTROL!$C$23, $C$12, 100%, $E$12)</f>
        <v>24.491499999999998</v>
      </c>
      <c r="I714" s="66">
        <f>24.4964 * CHOOSE(CONTROL!$C$23, $C$12, 100%, $E$12)</f>
        <v>24.496400000000001</v>
      </c>
      <c r="J714" s="66">
        <f>24.4915 * CHOOSE(CONTROL!$C$23, $C$12, 100%, $E$12)</f>
        <v>24.491499999999998</v>
      </c>
      <c r="K714" s="66">
        <f>24.4964 * CHOOSE(CONTROL!$C$23, $C$12, 100%, $E$12)</f>
        <v>24.496400000000001</v>
      </c>
      <c r="L714" s="66">
        <f>13.158 * CHOOSE(CONTROL!$C$23, $C$12, 100%, $E$12)</f>
        <v>13.157999999999999</v>
      </c>
      <c r="M714" s="66">
        <f>13.1629 * CHOOSE(CONTROL!$C$23, $C$12, 100%, $E$12)</f>
        <v>13.1629</v>
      </c>
      <c r="N714" s="66">
        <f>13.158 * CHOOSE(CONTROL!$C$23, $C$12, 100%, $E$12)</f>
        <v>13.157999999999999</v>
      </c>
      <c r="O714" s="66">
        <f>13.1629 * CHOOSE(CONTROL!$C$23, $C$12, 100%, $E$12)</f>
        <v>13.1629</v>
      </c>
    </row>
    <row r="715" spans="1:15" ht="15">
      <c r="A715" s="13">
        <v>62915</v>
      </c>
      <c r="B715" s="65">
        <f>11.4853 * CHOOSE(CONTROL!$C$23, $C$12, 100%, $E$12)</f>
        <v>11.485300000000001</v>
      </c>
      <c r="C715" s="65">
        <f>11.4853 * CHOOSE(CONTROL!$C$23, $C$12, 100%, $E$12)</f>
        <v>11.485300000000001</v>
      </c>
      <c r="D715" s="65">
        <f>11.4893 * CHOOSE(CONTROL!$C$23, $C$12, 100%, $E$12)</f>
        <v>11.4893</v>
      </c>
      <c r="E715" s="66">
        <f>13.3487 * CHOOSE(CONTROL!$C$23, $C$12, 100%, $E$12)</f>
        <v>13.348699999999999</v>
      </c>
      <c r="F715" s="66">
        <f>13.3487 * CHOOSE(CONTROL!$C$23, $C$12, 100%, $E$12)</f>
        <v>13.348699999999999</v>
      </c>
      <c r="G715" s="66">
        <f>13.3537 * CHOOSE(CONTROL!$C$23, $C$12, 100%, $E$12)</f>
        <v>13.3537</v>
      </c>
      <c r="H715" s="66">
        <f>24.5425* CHOOSE(CONTROL!$C$23, $C$12, 100%, $E$12)</f>
        <v>24.5425</v>
      </c>
      <c r="I715" s="66">
        <f>24.5474 * CHOOSE(CONTROL!$C$23, $C$12, 100%, $E$12)</f>
        <v>24.5474</v>
      </c>
      <c r="J715" s="66">
        <f>24.5425 * CHOOSE(CONTROL!$C$23, $C$12, 100%, $E$12)</f>
        <v>24.5425</v>
      </c>
      <c r="K715" s="66">
        <f>24.5474 * CHOOSE(CONTROL!$C$23, $C$12, 100%, $E$12)</f>
        <v>24.5474</v>
      </c>
      <c r="L715" s="66">
        <f>13.3487 * CHOOSE(CONTROL!$C$23, $C$12, 100%, $E$12)</f>
        <v>13.348699999999999</v>
      </c>
      <c r="M715" s="66">
        <f>13.3537 * CHOOSE(CONTROL!$C$23, $C$12, 100%, $E$12)</f>
        <v>13.3537</v>
      </c>
      <c r="N715" s="66">
        <f>13.3487 * CHOOSE(CONTROL!$C$23, $C$12, 100%, $E$12)</f>
        <v>13.348699999999999</v>
      </c>
      <c r="O715" s="66">
        <f>13.3537 * CHOOSE(CONTROL!$C$23, $C$12, 100%, $E$12)</f>
        <v>13.3537</v>
      </c>
    </row>
    <row r="716" spans="1:15" ht="15">
      <c r="A716" s="13">
        <v>62945</v>
      </c>
      <c r="B716" s="65">
        <f>11.4853 * CHOOSE(CONTROL!$C$23, $C$12, 100%, $E$12)</f>
        <v>11.485300000000001</v>
      </c>
      <c r="C716" s="65">
        <f>11.4853 * CHOOSE(CONTROL!$C$23, $C$12, 100%, $E$12)</f>
        <v>11.485300000000001</v>
      </c>
      <c r="D716" s="65">
        <f>11.491 * CHOOSE(CONTROL!$C$23, $C$12, 100%, $E$12)</f>
        <v>11.491</v>
      </c>
      <c r="E716" s="66">
        <f>13.4219 * CHOOSE(CONTROL!$C$23, $C$12, 100%, $E$12)</f>
        <v>13.421900000000001</v>
      </c>
      <c r="F716" s="66">
        <f>13.4219 * CHOOSE(CONTROL!$C$23, $C$12, 100%, $E$12)</f>
        <v>13.421900000000001</v>
      </c>
      <c r="G716" s="66">
        <f>13.4287 * CHOOSE(CONTROL!$C$23, $C$12, 100%, $E$12)</f>
        <v>13.428699999999999</v>
      </c>
      <c r="H716" s="66">
        <f>24.5936* CHOOSE(CONTROL!$C$23, $C$12, 100%, $E$12)</f>
        <v>24.593599999999999</v>
      </c>
      <c r="I716" s="66">
        <f>24.6005 * CHOOSE(CONTROL!$C$23, $C$12, 100%, $E$12)</f>
        <v>24.6005</v>
      </c>
      <c r="J716" s="66">
        <f>24.5936 * CHOOSE(CONTROL!$C$23, $C$12, 100%, $E$12)</f>
        <v>24.593599999999999</v>
      </c>
      <c r="K716" s="66">
        <f>24.6005 * CHOOSE(CONTROL!$C$23, $C$12, 100%, $E$12)</f>
        <v>24.6005</v>
      </c>
      <c r="L716" s="66">
        <f>13.4219 * CHOOSE(CONTROL!$C$23, $C$12, 100%, $E$12)</f>
        <v>13.421900000000001</v>
      </c>
      <c r="M716" s="66">
        <f>13.4287 * CHOOSE(CONTROL!$C$23, $C$12, 100%, $E$12)</f>
        <v>13.428699999999999</v>
      </c>
      <c r="N716" s="66">
        <f>13.4219 * CHOOSE(CONTROL!$C$23, $C$12, 100%, $E$12)</f>
        <v>13.421900000000001</v>
      </c>
      <c r="O716" s="66">
        <f>13.4287 * CHOOSE(CONTROL!$C$23, $C$12, 100%, $E$12)</f>
        <v>13.428699999999999</v>
      </c>
    </row>
    <row r="717" spans="1:15" ht="15">
      <c r="A717" s="13">
        <v>62976</v>
      </c>
      <c r="B717" s="65">
        <f>11.4914 * CHOOSE(CONTROL!$C$23, $C$12, 100%, $E$12)</f>
        <v>11.491400000000001</v>
      </c>
      <c r="C717" s="65">
        <f>11.4914 * CHOOSE(CONTROL!$C$23, $C$12, 100%, $E$12)</f>
        <v>11.491400000000001</v>
      </c>
      <c r="D717" s="65">
        <f>11.497 * CHOOSE(CONTROL!$C$23, $C$12, 100%, $E$12)</f>
        <v>11.497</v>
      </c>
      <c r="E717" s="66">
        <f>13.353 * CHOOSE(CONTROL!$C$23, $C$12, 100%, $E$12)</f>
        <v>13.353</v>
      </c>
      <c r="F717" s="66">
        <f>13.353 * CHOOSE(CONTROL!$C$23, $C$12, 100%, $E$12)</f>
        <v>13.353</v>
      </c>
      <c r="G717" s="66">
        <f>13.3599 * CHOOSE(CONTROL!$C$23, $C$12, 100%, $E$12)</f>
        <v>13.3599</v>
      </c>
      <c r="H717" s="66">
        <f>24.6448* CHOOSE(CONTROL!$C$23, $C$12, 100%, $E$12)</f>
        <v>24.6448</v>
      </c>
      <c r="I717" s="66">
        <f>24.6517 * CHOOSE(CONTROL!$C$23, $C$12, 100%, $E$12)</f>
        <v>24.651700000000002</v>
      </c>
      <c r="J717" s="66">
        <f>24.6448 * CHOOSE(CONTROL!$C$23, $C$12, 100%, $E$12)</f>
        <v>24.6448</v>
      </c>
      <c r="K717" s="66">
        <f>24.6517 * CHOOSE(CONTROL!$C$23, $C$12, 100%, $E$12)</f>
        <v>24.651700000000002</v>
      </c>
      <c r="L717" s="66">
        <f>13.353 * CHOOSE(CONTROL!$C$23, $C$12, 100%, $E$12)</f>
        <v>13.353</v>
      </c>
      <c r="M717" s="66">
        <f>13.3599 * CHOOSE(CONTROL!$C$23, $C$12, 100%, $E$12)</f>
        <v>13.3599</v>
      </c>
      <c r="N717" s="66">
        <f>13.353 * CHOOSE(CONTROL!$C$23, $C$12, 100%, $E$12)</f>
        <v>13.353</v>
      </c>
      <c r="O717" s="66">
        <f>13.3599 * CHOOSE(CONTROL!$C$23, $C$12, 100%, $E$12)</f>
        <v>13.3599</v>
      </c>
    </row>
    <row r="718" spans="1:15" ht="15">
      <c r="A718" s="13">
        <v>63006</v>
      </c>
      <c r="B718" s="65">
        <f>11.6674 * CHOOSE(CONTROL!$C$23, $C$12, 100%, $E$12)</f>
        <v>11.667400000000001</v>
      </c>
      <c r="C718" s="65">
        <f>11.6674 * CHOOSE(CONTROL!$C$23, $C$12, 100%, $E$12)</f>
        <v>11.667400000000001</v>
      </c>
      <c r="D718" s="65">
        <f>11.6731 * CHOOSE(CONTROL!$C$23, $C$12, 100%, $E$12)</f>
        <v>11.6731</v>
      </c>
      <c r="E718" s="66">
        <f>13.5674 * CHOOSE(CONTROL!$C$23, $C$12, 100%, $E$12)</f>
        <v>13.567399999999999</v>
      </c>
      <c r="F718" s="66">
        <f>13.5674 * CHOOSE(CONTROL!$C$23, $C$12, 100%, $E$12)</f>
        <v>13.567399999999999</v>
      </c>
      <c r="G718" s="66">
        <f>13.5743 * CHOOSE(CONTROL!$C$23, $C$12, 100%, $E$12)</f>
        <v>13.574299999999999</v>
      </c>
      <c r="H718" s="66">
        <f>24.6962* CHOOSE(CONTROL!$C$23, $C$12, 100%, $E$12)</f>
        <v>24.696200000000001</v>
      </c>
      <c r="I718" s="66">
        <f>24.7031 * CHOOSE(CONTROL!$C$23, $C$12, 100%, $E$12)</f>
        <v>24.703099999999999</v>
      </c>
      <c r="J718" s="66">
        <f>24.6962 * CHOOSE(CONTROL!$C$23, $C$12, 100%, $E$12)</f>
        <v>24.696200000000001</v>
      </c>
      <c r="K718" s="66">
        <f>24.7031 * CHOOSE(CONTROL!$C$23, $C$12, 100%, $E$12)</f>
        <v>24.703099999999999</v>
      </c>
      <c r="L718" s="66">
        <f>13.5674 * CHOOSE(CONTROL!$C$23, $C$12, 100%, $E$12)</f>
        <v>13.567399999999999</v>
      </c>
      <c r="M718" s="66">
        <f>13.5743 * CHOOSE(CONTROL!$C$23, $C$12, 100%, $E$12)</f>
        <v>13.574299999999999</v>
      </c>
      <c r="N718" s="66">
        <f>13.5674 * CHOOSE(CONTROL!$C$23, $C$12, 100%, $E$12)</f>
        <v>13.567399999999999</v>
      </c>
      <c r="O718" s="66">
        <f>13.5743 * CHOOSE(CONTROL!$C$23, $C$12, 100%, $E$12)</f>
        <v>13.574299999999999</v>
      </c>
    </row>
    <row r="719" spans="1:15" ht="15">
      <c r="A719" s="13">
        <v>63037</v>
      </c>
      <c r="B719" s="65">
        <f>11.6741 * CHOOSE(CONTROL!$C$23, $C$12, 100%, $E$12)</f>
        <v>11.674099999999999</v>
      </c>
      <c r="C719" s="65">
        <f>11.6741 * CHOOSE(CONTROL!$C$23, $C$12, 100%, $E$12)</f>
        <v>11.674099999999999</v>
      </c>
      <c r="D719" s="65">
        <f>11.6798 * CHOOSE(CONTROL!$C$23, $C$12, 100%, $E$12)</f>
        <v>11.6798</v>
      </c>
      <c r="E719" s="66">
        <f>13.3527 * CHOOSE(CONTROL!$C$23, $C$12, 100%, $E$12)</f>
        <v>13.3527</v>
      </c>
      <c r="F719" s="66">
        <f>13.3527 * CHOOSE(CONTROL!$C$23, $C$12, 100%, $E$12)</f>
        <v>13.3527</v>
      </c>
      <c r="G719" s="66">
        <f>13.3596 * CHOOSE(CONTROL!$C$23, $C$12, 100%, $E$12)</f>
        <v>13.3596</v>
      </c>
      <c r="H719" s="66">
        <f>24.7476* CHOOSE(CONTROL!$C$23, $C$12, 100%, $E$12)</f>
        <v>24.747599999999998</v>
      </c>
      <c r="I719" s="66">
        <f>24.7545 * CHOOSE(CONTROL!$C$23, $C$12, 100%, $E$12)</f>
        <v>24.7545</v>
      </c>
      <c r="J719" s="66">
        <f>24.7476 * CHOOSE(CONTROL!$C$23, $C$12, 100%, $E$12)</f>
        <v>24.747599999999998</v>
      </c>
      <c r="K719" s="66">
        <f>24.7545 * CHOOSE(CONTROL!$C$23, $C$12, 100%, $E$12)</f>
        <v>24.7545</v>
      </c>
      <c r="L719" s="66">
        <f>13.3527 * CHOOSE(CONTROL!$C$23, $C$12, 100%, $E$12)</f>
        <v>13.3527</v>
      </c>
      <c r="M719" s="66">
        <f>13.3596 * CHOOSE(CONTROL!$C$23, $C$12, 100%, $E$12)</f>
        <v>13.3596</v>
      </c>
      <c r="N719" s="66">
        <f>13.3527 * CHOOSE(CONTROL!$C$23, $C$12, 100%, $E$12)</f>
        <v>13.3527</v>
      </c>
      <c r="O719" s="66">
        <f>13.3596 * CHOOSE(CONTROL!$C$23, $C$12, 100%, $E$12)</f>
        <v>13.3596</v>
      </c>
    </row>
    <row r="720" spans="1:15" ht="15">
      <c r="A720" s="13">
        <v>63068</v>
      </c>
      <c r="B720" s="65">
        <f>11.6711 * CHOOSE(CONTROL!$C$23, $C$12, 100%, $E$12)</f>
        <v>11.671099999999999</v>
      </c>
      <c r="C720" s="65">
        <f>11.6711 * CHOOSE(CONTROL!$C$23, $C$12, 100%, $E$12)</f>
        <v>11.671099999999999</v>
      </c>
      <c r="D720" s="65">
        <f>11.6767 * CHOOSE(CONTROL!$C$23, $C$12, 100%, $E$12)</f>
        <v>11.6767</v>
      </c>
      <c r="E720" s="66">
        <f>13.3262 * CHOOSE(CONTROL!$C$23, $C$12, 100%, $E$12)</f>
        <v>13.3262</v>
      </c>
      <c r="F720" s="66">
        <f>13.3262 * CHOOSE(CONTROL!$C$23, $C$12, 100%, $E$12)</f>
        <v>13.3262</v>
      </c>
      <c r="G720" s="66">
        <f>13.3331 * CHOOSE(CONTROL!$C$23, $C$12, 100%, $E$12)</f>
        <v>13.3331</v>
      </c>
      <c r="H720" s="66">
        <f>24.7992* CHOOSE(CONTROL!$C$23, $C$12, 100%, $E$12)</f>
        <v>24.799199999999999</v>
      </c>
      <c r="I720" s="66">
        <f>24.8061 * CHOOSE(CONTROL!$C$23, $C$12, 100%, $E$12)</f>
        <v>24.806100000000001</v>
      </c>
      <c r="J720" s="66">
        <f>24.7992 * CHOOSE(CONTROL!$C$23, $C$12, 100%, $E$12)</f>
        <v>24.799199999999999</v>
      </c>
      <c r="K720" s="66">
        <f>24.8061 * CHOOSE(CONTROL!$C$23, $C$12, 100%, $E$12)</f>
        <v>24.806100000000001</v>
      </c>
      <c r="L720" s="66">
        <f>13.3262 * CHOOSE(CONTROL!$C$23, $C$12, 100%, $E$12)</f>
        <v>13.3262</v>
      </c>
      <c r="M720" s="66">
        <f>13.3331 * CHOOSE(CONTROL!$C$23, $C$12, 100%, $E$12)</f>
        <v>13.3331</v>
      </c>
      <c r="N720" s="66">
        <f>13.3262 * CHOOSE(CONTROL!$C$23, $C$12, 100%, $E$12)</f>
        <v>13.3262</v>
      </c>
      <c r="O720" s="66">
        <f>13.3331 * CHOOSE(CONTROL!$C$23, $C$12, 100%, $E$12)</f>
        <v>13.3331</v>
      </c>
    </row>
    <row r="721" spans="1:15" ht="15">
      <c r="A721" s="13">
        <v>63098</v>
      </c>
      <c r="B721" s="65">
        <f>11.691 * CHOOSE(CONTROL!$C$23, $C$12, 100%, $E$12)</f>
        <v>11.691000000000001</v>
      </c>
      <c r="C721" s="65">
        <f>11.691 * CHOOSE(CONTROL!$C$23, $C$12, 100%, $E$12)</f>
        <v>11.691000000000001</v>
      </c>
      <c r="D721" s="65">
        <f>11.695 * CHOOSE(CONTROL!$C$23, $C$12, 100%, $E$12)</f>
        <v>11.695</v>
      </c>
      <c r="E721" s="66">
        <f>13.4103 * CHOOSE(CONTROL!$C$23, $C$12, 100%, $E$12)</f>
        <v>13.410299999999999</v>
      </c>
      <c r="F721" s="66">
        <f>13.4103 * CHOOSE(CONTROL!$C$23, $C$12, 100%, $E$12)</f>
        <v>13.410299999999999</v>
      </c>
      <c r="G721" s="66">
        <f>13.4152 * CHOOSE(CONTROL!$C$23, $C$12, 100%, $E$12)</f>
        <v>13.4152</v>
      </c>
      <c r="H721" s="66">
        <f>24.8509* CHOOSE(CONTROL!$C$23, $C$12, 100%, $E$12)</f>
        <v>24.850899999999999</v>
      </c>
      <c r="I721" s="66">
        <f>24.8558 * CHOOSE(CONTROL!$C$23, $C$12, 100%, $E$12)</f>
        <v>24.855799999999999</v>
      </c>
      <c r="J721" s="66">
        <f>24.8509 * CHOOSE(CONTROL!$C$23, $C$12, 100%, $E$12)</f>
        <v>24.850899999999999</v>
      </c>
      <c r="K721" s="66">
        <f>24.8558 * CHOOSE(CONTROL!$C$23, $C$12, 100%, $E$12)</f>
        <v>24.855799999999999</v>
      </c>
      <c r="L721" s="66">
        <f>13.4103 * CHOOSE(CONTROL!$C$23, $C$12, 100%, $E$12)</f>
        <v>13.410299999999999</v>
      </c>
      <c r="M721" s="66">
        <f>13.4152 * CHOOSE(CONTROL!$C$23, $C$12, 100%, $E$12)</f>
        <v>13.4152</v>
      </c>
      <c r="N721" s="66">
        <f>13.4103 * CHOOSE(CONTROL!$C$23, $C$12, 100%, $E$12)</f>
        <v>13.410299999999999</v>
      </c>
      <c r="O721" s="66">
        <f>13.4152 * CHOOSE(CONTROL!$C$23, $C$12, 100%, $E$12)</f>
        <v>13.4152</v>
      </c>
    </row>
    <row r="722" spans="1:15" ht="15">
      <c r="A722" s="13">
        <v>63129</v>
      </c>
      <c r="B722" s="65">
        <f>11.694 * CHOOSE(CONTROL!$C$23, $C$12, 100%, $E$12)</f>
        <v>11.694000000000001</v>
      </c>
      <c r="C722" s="65">
        <f>11.694 * CHOOSE(CONTROL!$C$23, $C$12, 100%, $E$12)</f>
        <v>11.694000000000001</v>
      </c>
      <c r="D722" s="65">
        <f>11.698 * CHOOSE(CONTROL!$C$23, $C$12, 100%, $E$12)</f>
        <v>11.698</v>
      </c>
      <c r="E722" s="66">
        <f>13.4611 * CHOOSE(CONTROL!$C$23, $C$12, 100%, $E$12)</f>
        <v>13.4611</v>
      </c>
      <c r="F722" s="66">
        <f>13.4611 * CHOOSE(CONTROL!$C$23, $C$12, 100%, $E$12)</f>
        <v>13.4611</v>
      </c>
      <c r="G722" s="66">
        <f>13.4661 * CHOOSE(CONTROL!$C$23, $C$12, 100%, $E$12)</f>
        <v>13.466100000000001</v>
      </c>
      <c r="H722" s="66">
        <f>24.9026* CHOOSE(CONTROL!$C$23, $C$12, 100%, $E$12)</f>
        <v>24.9026</v>
      </c>
      <c r="I722" s="66">
        <f>24.9076 * CHOOSE(CONTROL!$C$23, $C$12, 100%, $E$12)</f>
        <v>24.907599999999999</v>
      </c>
      <c r="J722" s="66">
        <f>24.9026 * CHOOSE(CONTROL!$C$23, $C$12, 100%, $E$12)</f>
        <v>24.9026</v>
      </c>
      <c r="K722" s="66">
        <f>24.9076 * CHOOSE(CONTROL!$C$23, $C$12, 100%, $E$12)</f>
        <v>24.907599999999999</v>
      </c>
      <c r="L722" s="66">
        <f>13.4611 * CHOOSE(CONTROL!$C$23, $C$12, 100%, $E$12)</f>
        <v>13.4611</v>
      </c>
      <c r="M722" s="66">
        <f>13.4661 * CHOOSE(CONTROL!$C$23, $C$12, 100%, $E$12)</f>
        <v>13.466100000000001</v>
      </c>
      <c r="N722" s="66">
        <f>13.4611 * CHOOSE(CONTROL!$C$23, $C$12, 100%, $E$12)</f>
        <v>13.4611</v>
      </c>
      <c r="O722" s="66">
        <f>13.4661 * CHOOSE(CONTROL!$C$23, $C$12, 100%, $E$12)</f>
        <v>13.466100000000001</v>
      </c>
    </row>
    <row r="723" spans="1:15" ht="15">
      <c r="A723" s="13">
        <v>63159</v>
      </c>
      <c r="B723" s="65">
        <f>11.694 * CHOOSE(CONTROL!$C$23, $C$12, 100%, $E$12)</f>
        <v>11.694000000000001</v>
      </c>
      <c r="C723" s="65">
        <f>11.694 * CHOOSE(CONTROL!$C$23, $C$12, 100%, $E$12)</f>
        <v>11.694000000000001</v>
      </c>
      <c r="D723" s="65">
        <f>11.698 * CHOOSE(CONTROL!$C$23, $C$12, 100%, $E$12)</f>
        <v>11.698</v>
      </c>
      <c r="E723" s="66">
        <f>13.3393 * CHOOSE(CONTROL!$C$23, $C$12, 100%, $E$12)</f>
        <v>13.3393</v>
      </c>
      <c r="F723" s="66">
        <f>13.3393 * CHOOSE(CONTROL!$C$23, $C$12, 100%, $E$12)</f>
        <v>13.3393</v>
      </c>
      <c r="G723" s="66">
        <f>13.3442 * CHOOSE(CONTROL!$C$23, $C$12, 100%, $E$12)</f>
        <v>13.344200000000001</v>
      </c>
      <c r="H723" s="66">
        <f>24.9545* CHOOSE(CONTROL!$C$23, $C$12, 100%, $E$12)</f>
        <v>24.954499999999999</v>
      </c>
      <c r="I723" s="66">
        <f>24.9594 * CHOOSE(CONTROL!$C$23, $C$12, 100%, $E$12)</f>
        <v>24.959399999999999</v>
      </c>
      <c r="J723" s="66">
        <f>24.9545 * CHOOSE(CONTROL!$C$23, $C$12, 100%, $E$12)</f>
        <v>24.954499999999999</v>
      </c>
      <c r="K723" s="66">
        <f>24.9594 * CHOOSE(CONTROL!$C$23, $C$12, 100%, $E$12)</f>
        <v>24.959399999999999</v>
      </c>
      <c r="L723" s="66">
        <f>13.3393 * CHOOSE(CONTROL!$C$23, $C$12, 100%, $E$12)</f>
        <v>13.3393</v>
      </c>
      <c r="M723" s="66">
        <f>13.3442 * CHOOSE(CONTROL!$C$23, $C$12, 100%, $E$12)</f>
        <v>13.344200000000001</v>
      </c>
      <c r="N723" s="66">
        <f>13.3393 * CHOOSE(CONTROL!$C$23, $C$12, 100%, $E$12)</f>
        <v>13.3393</v>
      </c>
      <c r="O723" s="66">
        <f>13.3442 * CHOOSE(CONTROL!$C$23, $C$12, 100%, $E$12)</f>
        <v>13.344200000000001</v>
      </c>
    </row>
    <row r="724" spans="1:15" ht="15">
      <c r="A724" s="13">
        <v>63190</v>
      </c>
      <c r="B724" s="65">
        <f>11.723 * CHOOSE(CONTROL!$C$23, $C$12, 100%, $E$12)</f>
        <v>11.723000000000001</v>
      </c>
      <c r="C724" s="65">
        <f>11.723 * CHOOSE(CONTROL!$C$23, $C$12, 100%, $E$12)</f>
        <v>11.723000000000001</v>
      </c>
      <c r="D724" s="65">
        <f>11.727 * CHOOSE(CONTROL!$C$23, $C$12, 100%, $E$12)</f>
        <v>11.727</v>
      </c>
      <c r="E724" s="66">
        <f>13.4657 * CHOOSE(CONTROL!$C$23, $C$12, 100%, $E$12)</f>
        <v>13.4657</v>
      </c>
      <c r="F724" s="66">
        <f>13.4657 * CHOOSE(CONTROL!$C$23, $C$12, 100%, $E$12)</f>
        <v>13.4657</v>
      </c>
      <c r="G724" s="66">
        <f>13.4706 * CHOOSE(CONTROL!$C$23, $C$12, 100%, $E$12)</f>
        <v>13.470599999999999</v>
      </c>
      <c r="H724" s="66">
        <f>24.8723* CHOOSE(CONTROL!$C$23, $C$12, 100%, $E$12)</f>
        <v>24.872299999999999</v>
      </c>
      <c r="I724" s="66">
        <f>24.8772 * CHOOSE(CONTROL!$C$23, $C$12, 100%, $E$12)</f>
        <v>24.877199999999998</v>
      </c>
      <c r="J724" s="66">
        <f>24.8723 * CHOOSE(CONTROL!$C$23, $C$12, 100%, $E$12)</f>
        <v>24.872299999999999</v>
      </c>
      <c r="K724" s="66">
        <f>24.8772 * CHOOSE(CONTROL!$C$23, $C$12, 100%, $E$12)</f>
        <v>24.877199999999998</v>
      </c>
      <c r="L724" s="66">
        <f>13.4657 * CHOOSE(CONTROL!$C$23, $C$12, 100%, $E$12)</f>
        <v>13.4657</v>
      </c>
      <c r="M724" s="66">
        <f>13.4706 * CHOOSE(CONTROL!$C$23, $C$12, 100%, $E$12)</f>
        <v>13.470599999999999</v>
      </c>
      <c r="N724" s="66">
        <f>13.4657 * CHOOSE(CONTROL!$C$23, $C$12, 100%, $E$12)</f>
        <v>13.4657</v>
      </c>
      <c r="O724" s="66">
        <f>13.4706 * CHOOSE(CONTROL!$C$23, $C$12, 100%, $E$12)</f>
        <v>13.470599999999999</v>
      </c>
    </row>
    <row r="725" spans="1:15" ht="15">
      <c r="A725" s="13">
        <v>63221</v>
      </c>
      <c r="B725" s="65">
        <f>11.72 * CHOOSE(CONTROL!$C$23, $C$12, 100%, $E$12)</f>
        <v>11.72</v>
      </c>
      <c r="C725" s="65">
        <f>11.72 * CHOOSE(CONTROL!$C$23, $C$12, 100%, $E$12)</f>
        <v>11.72</v>
      </c>
      <c r="D725" s="65">
        <f>11.724 * CHOOSE(CONTROL!$C$23, $C$12, 100%, $E$12)</f>
        <v>11.724</v>
      </c>
      <c r="E725" s="66">
        <f>13.2284 * CHOOSE(CONTROL!$C$23, $C$12, 100%, $E$12)</f>
        <v>13.228400000000001</v>
      </c>
      <c r="F725" s="66">
        <f>13.2284 * CHOOSE(CONTROL!$C$23, $C$12, 100%, $E$12)</f>
        <v>13.228400000000001</v>
      </c>
      <c r="G725" s="66">
        <f>13.2333 * CHOOSE(CONTROL!$C$23, $C$12, 100%, $E$12)</f>
        <v>13.2333</v>
      </c>
      <c r="H725" s="66">
        <f>24.9241* CHOOSE(CONTROL!$C$23, $C$12, 100%, $E$12)</f>
        <v>24.924099999999999</v>
      </c>
      <c r="I725" s="66">
        <f>24.929 * CHOOSE(CONTROL!$C$23, $C$12, 100%, $E$12)</f>
        <v>24.928999999999998</v>
      </c>
      <c r="J725" s="66">
        <f>24.9241 * CHOOSE(CONTROL!$C$23, $C$12, 100%, $E$12)</f>
        <v>24.924099999999999</v>
      </c>
      <c r="K725" s="66">
        <f>24.929 * CHOOSE(CONTROL!$C$23, $C$12, 100%, $E$12)</f>
        <v>24.928999999999998</v>
      </c>
      <c r="L725" s="66">
        <f>13.2284 * CHOOSE(CONTROL!$C$23, $C$12, 100%, $E$12)</f>
        <v>13.228400000000001</v>
      </c>
      <c r="M725" s="66">
        <f>13.2333 * CHOOSE(CONTROL!$C$23, $C$12, 100%, $E$12)</f>
        <v>13.2333</v>
      </c>
      <c r="N725" s="66">
        <f>13.2284 * CHOOSE(CONTROL!$C$23, $C$12, 100%, $E$12)</f>
        <v>13.228400000000001</v>
      </c>
      <c r="O725" s="66">
        <f>13.2333 * CHOOSE(CONTROL!$C$23, $C$12, 100%, $E$12)</f>
        <v>13.2333</v>
      </c>
    </row>
    <row r="726" spans="1:15" ht="15">
      <c r="A726" s="13">
        <v>63249</v>
      </c>
      <c r="B726" s="65">
        <f>11.717 * CHOOSE(CONTROL!$C$23, $C$12, 100%, $E$12)</f>
        <v>11.717000000000001</v>
      </c>
      <c r="C726" s="65">
        <f>11.717 * CHOOSE(CONTROL!$C$23, $C$12, 100%, $E$12)</f>
        <v>11.717000000000001</v>
      </c>
      <c r="D726" s="65">
        <f>11.7209 * CHOOSE(CONTROL!$C$23, $C$12, 100%, $E$12)</f>
        <v>11.7209</v>
      </c>
      <c r="E726" s="66">
        <f>13.4117 * CHOOSE(CONTROL!$C$23, $C$12, 100%, $E$12)</f>
        <v>13.4117</v>
      </c>
      <c r="F726" s="66">
        <f>13.4117 * CHOOSE(CONTROL!$C$23, $C$12, 100%, $E$12)</f>
        <v>13.4117</v>
      </c>
      <c r="G726" s="66">
        <f>13.4166 * CHOOSE(CONTROL!$C$23, $C$12, 100%, $E$12)</f>
        <v>13.416600000000001</v>
      </c>
      <c r="H726" s="66">
        <f>24.976* CHOOSE(CONTROL!$C$23, $C$12, 100%, $E$12)</f>
        <v>24.975999999999999</v>
      </c>
      <c r="I726" s="66">
        <f>24.9809 * CHOOSE(CONTROL!$C$23, $C$12, 100%, $E$12)</f>
        <v>24.980899999999998</v>
      </c>
      <c r="J726" s="66">
        <f>24.976 * CHOOSE(CONTROL!$C$23, $C$12, 100%, $E$12)</f>
        <v>24.975999999999999</v>
      </c>
      <c r="K726" s="66">
        <f>24.9809 * CHOOSE(CONTROL!$C$23, $C$12, 100%, $E$12)</f>
        <v>24.980899999999998</v>
      </c>
      <c r="L726" s="66">
        <f>13.4117 * CHOOSE(CONTROL!$C$23, $C$12, 100%, $E$12)</f>
        <v>13.4117</v>
      </c>
      <c r="M726" s="66">
        <f>13.4166 * CHOOSE(CONTROL!$C$23, $C$12, 100%, $E$12)</f>
        <v>13.416600000000001</v>
      </c>
      <c r="N726" s="66">
        <f>13.4117 * CHOOSE(CONTROL!$C$23, $C$12, 100%, $E$12)</f>
        <v>13.4117</v>
      </c>
      <c r="O726" s="66">
        <f>13.4166 * CHOOSE(CONTROL!$C$23, $C$12, 100%, $E$12)</f>
        <v>13.416600000000001</v>
      </c>
    </row>
    <row r="727" spans="1:15" ht="15">
      <c r="A727" s="13">
        <v>63280</v>
      </c>
      <c r="B727" s="65">
        <f>11.7211 * CHOOSE(CONTROL!$C$23, $C$12, 100%, $E$12)</f>
        <v>11.7211</v>
      </c>
      <c r="C727" s="65">
        <f>11.7211 * CHOOSE(CONTROL!$C$23, $C$12, 100%, $E$12)</f>
        <v>11.7211</v>
      </c>
      <c r="D727" s="65">
        <f>11.7251 * CHOOSE(CONTROL!$C$23, $C$12, 100%, $E$12)</f>
        <v>11.725099999999999</v>
      </c>
      <c r="E727" s="66">
        <f>13.6066 * CHOOSE(CONTROL!$C$23, $C$12, 100%, $E$12)</f>
        <v>13.6066</v>
      </c>
      <c r="F727" s="66">
        <f>13.6066 * CHOOSE(CONTROL!$C$23, $C$12, 100%, $E$12)</f>
        <v>13.6066</v>
      </c>
      <c r="G727" s="66">
        <f>13.6115 * CHOOSE(CONTROL!$C$23, $C$12, 100%, $E$12)</f>
        <v>13.611499999999999</v>
      </c>
      <c r="H727" s="66">
        <f>25.028* CHOOSE(CONTROL!$C$23, $C$12, 100%, $E$12)</f>
        <v>25.027999999999999</v>
      </c>
      <c r="I727" s="66">
        <f>25.033 * CHOOSE(CONTROL!$C$23, $C$12, 100%, $E$12)</f>
        <v>25.033000000000001</v>
      </c>
      <c r="J727" s="66">
        <f>25.028 * CHOOSE(CONTROL!$C$23, $C$12, 100%, $E$12)</f>
        <v>25.027999999999999</v>
      </c>
      <c r="K727" s="66">
        <f>25.033 * CHOOSE(CONTROL!$C$23, $C$12, 100%, $E$12)</f>
        <v>25.033000000000001</v>
      </c>
      <c r="L727" s="66">
        <f>13.6066 * CHOOSE(CONTROL!$C$23, $C$12, 100%, $E$12)</f>
        <v>13.6066</v>
      </c>
      <c r="M727" s="66">
        <f>13.6115 * CHOOSE(CONTROL!$C$23, $C$12, 100%, $E$12)</f>
        <v>13.611499999999999</v>
      </c>
      <c r="N727" s="66">
        <f>13.6066 * CHOOSE(CONTROL!$C$23, $C$12, 100%, $E$12)</f>
        <v>13.6066</v>
      </c>
      <c r="O727" s="66">
        <f>13.6115 * CHOOSE(CONTROL!$C$23, $C$12, 100%, $E$12)</f>
        <v>13.611499999999999</v>
      </c>
    </row>
    <row r="728" spans="1:15" ht="15">
      <c r="A728" s="13">
        <v>63310</v>
      </c>
      <c r="B728" s="65">
        <f>11.7211 * CHOOSE(CONTROL!$C$23, $C$12, 100%, $E$12)</f>
        <v>11.7211</v>
      </c>
      <c r="C728" s="65">
        <f>11.7211 * CHOOSE(CONTROL!$C$23, $C$12, 100%, $E$12)</f>
        <v>11.7211</v>
      </c>
      <c r="D728" s="65">
        <f>11.7267 * CHOOSE(CONTROL!$C$23, $C$12, 100%, $E$12)</f>
        <v>11.726699999999999</v>
      </c>
      <c r="E728" s="66">
        <f>13.6813 * CHOOSE(CONTROL!$C$23, $C$12, 100%, $E$12)</f>
        <v>13.6813</v>
      </c>
      <c r="F728" s="66">
        <f>13.6813 * CHOOSE(CONTROL!$C$23, $C$12, 100%, $E$12)</f>
        <v>13.6813</v>
      </c>
      <c r="G728" s="66">
        <f>13.6882 * CHOOSE(CONTROL!$C$23, $C$12, 100%, $E$12)</f>
        <v>13.6882</v>
      </c>
      <c r="H728" s="66">
        <f>25.0802* CHOOSE(CONTROL!$C$23, $C$12, 100%, $E$12)</f>
        <v>25.080200000000001</v>
      </c>
      <c r="I728" s="66">
        <f>25.0871 * CHOOSE(CONTROL!$C$23, $C$12, 100%, $E$12)</f>
        <v>25.0871</v>
      </c>
      <c r="J728" s="66">
        <f>25.0802 * CHOOSE(CONTROL!$C$23, $C$12, 100%, $E$12)</f>
        <v>25.080200000000001</v>
      </c>
      <c r="K728" s="66">
        <f>25.0871 * CHOOSE(CONTROL!$C$23, $C$12, 100%, $E$12)</f>
        <v>25.0871</v>
      </c>
      <c r="L728" s="66">
        <f>13.6813 * CHOOSE(CONTROL!$C$23, $C$12, 100%, $E$12)</f>
        <v>13.6813</v>
      </c>
      <c r="M728" s="66">
        <f>13.6882 * CHOOSE(CONTROL!$C$23, $C$12, 100%, $E$12)</f>
        <v>13.6882</v>
      </c>
      <c r="N728" s="66">
        <f>13.6813 * CHOOSE(CONTROL!$C$23, $C$12, 100%, $E$12)</f>
        <v>13.6813</v>
      </c>
      <c r="O728" s="66">
        <f>13.6882 * CHOOSE(CONTROL!$C$23, $C$12, 100%, $E$12)</f>
        <v>13.6882</v>
      </c>
    </row>
    <row r="729" spans="1:15" ht="15">
      <c r="A729" s="13">
        <v>63341</v>
      </c>
      <c r="B729" s="65">
        <f>11.7272 * CHOOSE(CONTROL!$C$23, $C$12, 100%, $E$12)</f>
        <v>11.7272</v>
      </c>
      <c r="C729" s="65">
        <f>11.7272 * CHOOSE(CONTROL!$C$23, $C$12, 100%, $E$12)</f>
        <v>11.7272</v>
      </c>
      <c r="D729" s="65">
        <f>11.7328 * CHOOSE(CONTROL!$C$23, $C$12, 100%, $E$12)</f>
        <v>11.732799999999999</v>
      </c>
      <c r="E729" s="66">
        <f>13.6108 * CHOOSE(CONTROL!$C$23, $C$12, 100%, $E$12)</f>
        <v>13.610799999999999</v>
      </c>
      <c r="F729" s="66">
        <f>13.6108 * CHOOSE(CONTROL!$C$23, $C$12, 100%, $E$12)</f>
        <v>13.610799999999999</v>
      </c>
      <c r="G729" s="66">
        <f>13.6177 * CHOOSE(CONTROL!$C$23, $C$12, 100%, $E$12)</f>
        <v>13.617699999999999</v>
      </c>
      <c r="H729" s="66">
        <f>25.1324* CHOOSE(CONTROL!$C$23, $C$12, 100%, $E$12)</f>
        <v>25.132400000000001</v>
      </c>
      <c r="I729" s="66">
        <f>25.1393 * CHOOSE(CONTROL!$C$23, $C$12, 100%, $E$12)</f>
        <v>25.139299999999999</v>
      </c>
      <c r="J729" s="66">
        <f>25.1324 * CHOOSE(CONTROL!$C$23, $C$12, 100%, $E$12)</f>
        <v>25.132400000000001</v>
      </c>
      <c r="K729" s="66">
        <f>25.1393 * CHOOSE(CONTROL!$C$23, $C$12, 100%, $E$12)</f>
        <v>25.139299999999999</v>
      </c>
      <c r="L729" s="66">
        <f>13.6108 * CHOOSE(CONTROL!$C$23, $C$12, 100%, $E$12)</f>
        <v>13.610799999999999</v>
      </c>
      <c r="M729" s="66">
        <f>13.6177 * CHOOSE(CONTROL!$C$23, $C$12, 100%, $E$12)</f>
        <v>13.617699999999999</v>
      </c>
      <c r="N729" s="66">
        <f>13.6108 * CHOOSE(CONTROL!$C$23, $C$12, 100%, $E$12)</f>
        <v>13.610799999999999</v>
      </c>
      <c r="O729" s="66">
        <f>13.6177 * CHOOSE(CONTROL!$C$23, $C$12, 100%, $E$12)</f>
        <v>13.617699999999999</v>
      </c>
    </row>
    <row r="730" spans="1:15" ht="15">
      <c r="A730" s="13">
        <v>63371</v>
      </c>
      <c r="B730" s="65">
        <f>11.9066 * CHOOSE(CONTROL!$C$23, $C$12, 100%, $E$12)</f>
        <v>11.906599999999999</v>
      </c>
      <c r="C730" s="65">
        <f>11.9066 * CHOOSE(CONTROL!$C$23, $C$12, 100%, $E$12)</f>
        <v>11.906599999999999</v>
      </c>
      <c r="D730" s="65">
        <f>11.9123 * CHOOSE(CONTROL!$C$23, $C$12, 100%, $E$12)</f>
        <v>11.9123</v>
      </c>
      <c r="E730" s="66">
        <f>13.8292 * CHOOSE(CONTROL!$C$23, $C$12, 100%, $E$12)</f>
        <v>13.8292</v>
      </c>
      <c r="F730" s="66">
        <f>13.8292 * CHOOSE(CONTROL!$C$23, $C$12, 100%, $E$12)</f>
        <v>13.8292</v>
      </c>
      <c r="G730" s="66">
        <f>13.836 * CHOOSE(CONTROL!$C$23, $C$12, 100%, $E$12)</f>
        <v>13.836</v>
      </c>
      <c r="H730" s="66">
        <f>25.1848* CHOOSE(CONTROL!$C$23, $C$12, 100%, $E$12)</f>
        <v>25.184799999999999</v>
      </c>
      <c r="I730" s="66">
        <f>25.1917 * CHOOSE(CONTROL!$C$23, $C$12, 100%, $E$12)</f>
        <v>25.191700000000001</v>
      </c>
      <c r="J730" s="66">
        <f>25.1848 * CHOOSE(CONTROL!$C$23, $C$12, 100%, $E$12)</f>
        <v>25.184799999999999</v>
      </c>
      <c r="K730" s="66">
        <f>25.1917 * CHOOSE(CONTROL!$C$23, $C$12, 100%, $E$12)</f>
        <v>25.191700000000001</v>
      </c>
      <c r="L730" s="66">
        <f>13.8292 * CHOOSE(CONTROL!$C$23, $C$12, 100%, $E$12)</f>
        <v>13.8292</v>
      </c>
      <c r="M730" s="66">
        <f>13.836 * CHOOSE(CONTROL!$C$23, $C$12, 100%, $E$12)</f>
        <v>13.836</v>
      </c>
      <c r="N730" s="66">
        <f>13.8292 * CHOOSE(CONTROL!$C$23, $C$12, 100%, $E$12)</f>
        <v>13.8292</v>
      </c>
      <c r="O730" s="66">
        <f>13.836 * CHOOSE(CONTROL!$C$23, $C$12, 100%, $E$12)</f>
        <v>13.836</v>
      </c>
    </row>
    <row r="731" spans="1:15" ht="15">
      <c r="A731" s="13">
        <v>63402</v>
      </c>
      <c r="B731" s="65">
        <f>11.9133 * CHOOSE(CONTROL!$C$23, $C$12, 100%, $E$12)</f>
        <v>11.9133</v>
      </c>
      <c r="C731" s="65">
        <f>11.9133 * CHOOSE(CONTROL!$C$23, $C$12, 100%, $E$12)</f>
        <v>11.9133</v>
      </c>
      <c r="D731" s="65">
        <f>11.9189 * CHOOSE(CONTROL!$C$23, $C$12, 100%, $E$12)</f>
        <v>11.918900000000001</v>
      </c>
      <c r="E731" s="66">
        <f>13.6098 * CHOOSE(CONTROL!$C$23, $C$12, 100%, $E$12)</f>
        <v>13.6098</v>
      </c>
      <c r="F731" s="66">
        <f>13.6098 * CHOOSE(CONTROL!$C$23, $C$12, 100%, $E$12)</f>
        <v>13.6098</v>
      </c>
      <c r="G731" s="66">
        <f>13.6167 * CHOOSE(CONTROL!$C$23, $C$12, 100%, $E$12)</f>
        <v>13.6167</v>
      </c>
      <c r="H731" s="66">
        <f>25.2373* CHOOSE(CONTROL!$C$23, $C$12, 100%, $E$12)</f>
        <v>25.237300000000001</v>
      </c>
      <c r="I731" s="66">
        <f>25.2442 * CHOOSE(CONTROL!$C$23, $C$12, 100%, $E$12)</f>
        <v>25.244199999999999</v>
      </c>
      <c r="J731" s="66">
        <f>25.2373 * CHOOSE(CONTROL!$C$23, $C$12, 100%, $E$12)</f>
        <v>25.237300000000001</v>
      </c>
      <c r="K731" s="66">
        <f>25.2442 * CHOOSE(CONTROL!$C$23, $C$12, 100%, $E$12)</f>
        <v>25.244199999999999</v>
      </c>
      <c r="L731" s="66">
        <f>13.6098 * CHOOSE(CONTROL!$C$23, $C$12, 100%, $E$12)</f>
        <v>13.6098</v>
      </c>
      <c r="M731" s="66">
        <f>13.6167 * CHOOSE(CONTROL!$C$23, $C$12, 100%, $E$12)</f>
        <v>13.6167</v>
      </c>
      <c r="N731" s="66">
        <f>13.6098 * CHOOSE(CONTROL!$C$23, $C$12, 100%, $E$12)</f>
        <v>13.6098</v>
      </c>
      <c r="O731" s="66">
        <f>13.6167 * CHOOSE(CONTROL!$C$23, $C$12, 100%, $E$12)</f>
        <v>13.6167</v>
      </c>
    </row>
    <row r="732" spans="1:15" ht="15">
      <c r="A732" s="13">
        <v>63433</v>
      </c>
      <c r="B732" s="65">
        <f>11.9103 * CHOOSE(CONTROL!$C$23, $C$12, 100%, $E$12)</f>
        <v>11.910299999999999</v>
      </c>
      <c r="C732" s="65">
        <f>11.9103 * CHOOSE(CONTROL!$C$23, $C$12, 100%, $E$12)</f>
        <v>11.910299999999999</v>
      </c>
      <c r="D732" s="65">
        <f>11.9159 * CHOOSE(CONTROL!$C$23, $C$12, 100%, $E$12)</f>
        <v>11.915900000000001</v>
      </c>
      <c r="E732" s="66">
        <f>13.5828 * CHOOSE(CONTROL!$C$23, $C$12, 100%, $E$12)</f>
        <v>13.582800000000001</v>
      </c>
      <c r="F732" s="66">
        <f>13.5828 * CHOOSE(CONTROL!$C$23, $C$12, 100%, $E$12)</f>
        <v>13.582800000000001</v>
      </c>
      <c r="G732" s="66">
        <f>13.5897 * CHOOSE(CONTROL!$C$23, $C$12, 100%, $E$12)</f>
        <v>13.589700000000001</v>
      </c>
      <c r="H732" s="66">
        <f>25.2898* CHOOSE(CONTROL!$C$23, $C$12, 100%, $E$12)</f>
        <v>25.2898</v>
      </c>
      <c r="I732" s="66">
        <f>25.2967 * CHOOSE(CONTROL!$C$23, $C$12, 100%, $E$12)</f>
        <v>25.296700000000001</v>
      </c>
      <c r="J732" s="66">
        <f>25.2898 * CHOOSE(CONTROL!$C$23, $C$12, 100%, $E$12)</f>
        <v>25.2898</v>
      </c>
      <c r="K732" s="66">
        <f>25.2967 * CHOOSE(CONTROL!$C$23, $C$12, 100%, $E$12)</f>
        <v>25.296700000000001</v>
      </c>
      <c r="L732" s="66">
        <f>13.5828 * CHOOSE(CONTROL!$C$23, $C$12, 100%, $E$12)</f>
        <v>13.582800000000001</v>
      </c>
      <c r="M732" s="66">
        <f>13.5897 * CHOOSE(CONTROL!$C$23, $C$12, 100%, $E$12)</f>
        <v>13.589700000000001</v>
      </c>
      <c r="N732" s="66">
        <f>13.5828 * CHOOSE(CONTROL!$C$23, $C$12, 100%, $E$12)</f>
        <v>13.582800000000001</v>
      </c>
      <c r="O732" s="66">
        <f>13.5897 * CHOOSE(CONTROL!$C$23, $C$12, 100%, $E$12)</f>
        <v>13.589700000000001</v>
      </c>
    </row>
    <row r="733" spans="1:15" ht="15">
      <c r="A733" s="13">
        <v>63463</v>
      </c>
      <c r="B733" s="65">
        <f>11.9309 * CHOOSE(CONTROL!$C$23, $C$12, 100%, $E$12)</f>
        <v>11.930899999999999</v>
      </c>
      <c r="C733" s="65">
        <f>11.9309 * CHOOSE(CONTROL!$C$23, $C$12, 100%, $E$12)</f>
        <v>11.930899999999999</v>
      </c>
      <c r="D733" s="65">
        <f>11.9349 * CHOOSE(CONTROL!$C$23, $C$12, 100%, $E$12)</f>
        <v>11.934900000000001</v>
      </c>
      <c r="E733" s="66">
        <f>13.6689 * CHOOSE(CONTROL!$C$23, $C$12, 100%, $E$12)</f>
        <v>13.668900000000001</v>
      </c>
      <c r="F733" s="66">
        <f>13.6689 * CHOOSE(CONTROL!$C$23, $C$12, 100%, $E$12)</f>
        <v>13.668900000000001</v>
      </c>
      <c r="G733" s="66">
        <f>13.6738 * CHOOSE(CONTROL!$C$23, $C$12, 100%, $E$12)</f>
        <v>13.6738</v>
      </c>
      <c r="H733" s="66">
        <f>25.3425* CHOOSE(CONTROL!$C$23, $C$12, 100%, $E$12)</f>
        <v>25.342500000000001</v>
      </c>
      <c r="I733" s="66">
        <f>25.3475 * CHOOSE(CONTROL!$C$23, $C$12, 100%, $E$12)</f>
        <v>25.3475</v>
      </c>
      <c r="J733" s="66">
        <f>25.3425 * CHOOSE(CONTROL!$C$23, $C$12, 100%, $E$12)</f>
        <v>25.342500000000001</v>
      </c>
      <c r="K733" s="66">
        <f>25.3475 * CHOOSE(CONTROL!$C$23, $C$12, 100%, $E$12)</f>
        <v>25.3475</v>
      </c>
      <c r="L733" s="66">
        <f>13.6689 * CHOOSE(CONTROL!$C$23, $C$12, 100%, $E$12)</f>
        <v>13.668900000000001</v>
      </c>
      <c r="M733" s="66">
        <f>13.6738 * CHOOSE(CONTROL!$C$23, $C$12, 100%, $E$12)</f>
        <v>13.6738</v>
      </c>
      <c r="N733" s="66">
        <f>13.6689 * CHOOSE(CONTROL!$C$23, $C$12, 100%, $E$12)</f>
        <v>13.668900000000001</v>
      </c>
      <c r="O733" s="66">
        <f>13.6738 * CHOOSE(CONTROL!$C$23, $C$12, 100%, $E$12)</f>
        <v>13.6738</v>
      </c>
    </row>
    <row r="734" spans="1:15" ht="15">
      <c r="A734" s="13">
        <v>63494</v>
      </c>
      <c r="B734" s="65">
        <f>11.9339 * CHOOSE(CONTROL!$C$23, $C$12, 100%, $E$12)</f>
        <v>11.9339</v>
      </c>
      <c r="C734" s="65">
        <f>11.9339 * CHOOSE(CONTROL!$C$23, $C$12, 100%, $E$12)</f>
        <v>11.9339</v>
      </c>
      <c r="D734" s="65">
        <f>11.9379 * CHOOSE(CONTROL!$C$23, $C$12, 100%, $E$12)</f>
        <v>11.937900000000001</v>
      </c>
      <c r="E734" s="66">
        <f>13.7208 * CHOOSE(CONTROL!$C$23, $C$12, 100%, $E$12)</f>
        <v>13.720800000000001</v>
      </c>
      <c r="F734" s="66">
        <f>13.7208 * CHOOSE(CONTROL!$C$23, $C$12, 100%, $E$12)</f>
        <v>13.720800000000001</v>
      </c>
      <c r="G734" s="66">
        <f>13.7257 * CHOOSE(CONTROL!$C$23, $C$12, 100%, $E$12)</f>
        <v>13.7257</v>
      </c>
      <c r="H734" s="66">
        <f>25.3953* CHOOSE(CONTROL!$C$23, $C$12, 100%, $E$12)</f>
        <v>25.395299999999999</v>
      </c>
      <c r="I734" s="66">
        <f>25.4002 * CHOOSE(CONTROL!$C$23, $C$12, 100%, $E$12)</f>
        <v>25.400200000000002</v>
      </c>
      <c r="J734" s="66">
        <f>25.3953 * CHOOSE(CONTROL!$C$23, $C$12, 100%, $E$12)</f>
        <v>25.395299999999999</v>
      </c>
      <c r="K734" s="66">
        <f>25.4002 * CHOOSE(CONTROL!$C$23, $C$12, 100%, $E$12)</f>
        <v>25.400200000000002</v>
      </c>
      <c r="L734" s="66">
        <f>13.7208 * CHOOSE(CONTROL!$C$23, $C$12, 100%, $E$12)</f>
        <v>13.720800000000001</v>
      </c>
      <c r="M734" s="66">
        <f>13.7257 * CHOOSE(CONTROL!$C$23, $C$12, 100%, $E$12)</f>
        <v>13.7257</v>
      </c>
      <c r="N734" s="66">
        <f>13.7208 * CHOOSE(CONTROL!$C$23, $C$12, 100%, $E$12)</f>
        <v>13.720800000000001</v>
      </c>
      <c r="O734" s="66">
        <f>13.7257 * CHOOSE(CONTROL!$C$23, $C$12, 100%, $E$12)</f>
        <v>13.7257</v>
      </c>
    </row>
    <row r="735" spans="1:15" ht="15">
      <c r="A735" s="13">
        <v>63524</v>
      </c>
      <c r="B735" s="65">
        <f>11.9339 * CHOOSE(CONTROL!$C$23, $C$12, 100%, $E$12)</f>
        <v>11.9339</v>
      </c>
      <c r="C735" s="65">
        <f>11.9339 * CHOOSE(CONTROL!$C$23, $C$12, 100%, $E$12)</f>
        <v>11.9339</v>
      </c>
      <c r="D735" s="65">
        <f>11.9379 * CHOOSE(CONTROL!$C$23, $C$12, 100%, $E$12)</f>
        <v>11.937900000000001</v>
      </c>
      <c r="E735" s="66">
        <f>13.5964 * CHOOSE(CONTROL!$C$23, $C$12, 100%, $E$12)</f>
        <v>13.596399999999999</v>
      </c>
      <c r="F735" s="66">
        <f>13.5964 * CHOOSE(CONTROL!$C$23, $C$12, 100%, $E$12)</f>
        <v>13.596399999999999</v>
      </c>
      <c r="G735" s="66">
        <f>13.6013 * CHOOSE(CONTROL!$C$23, $C$12, 100%, $E$12)</f>
        <v>13.6013</v>
      </c>
      <c r="H735" s="66">
        <f>25.4482* CHOOSE(CONTROL!$C$23, $C$12, 100%, $E$12)</f>
        <v>25.4482</v>
      </c>
      <c r="I735" s="66">
        <f>25.4532 * CHOOSE(CONTROL!$C$23, $C$12, 100%, $E$12)</f>
        <v>25.453199999999999</v>
      </c>
      <c r="J735" s="66">
        <f>25.4482 * CHOOSE(CONTROL!$C$23, $C$12, 100%, $E$12)</f>
        <v>25.4482</v>
      </c>
      <c r="K735" s="66">
        <f>25.4532 * CHOOSE(CONTROL!$C$23, $C$12, 100%, $E$12)</f>
        <v>25.453199999999999</v>
      </c>
      <c r="L735" s="66">
        <f>13.5964 * CHOOSE(CONTROL!$C$23, $C$12, 100%, $E$12)</f>
        <v>13.596399999999999</v>
      </c>
      <c r="M735" s="66">
        <f>13.6013 * CHOOSE(CONTROL!$C$23, $C$12, 100%, $E$12)</f>
        <v>13.6013</v>
      </c>
      <c r="N735" s="66">
        <f>13.5964 * CHOOSE(CONTROL!$C$23, $C$12, 100%, $E$12)</f>
        <v>13.596399999999999</v>
      </c>
      <c r="O735" s="66">
        <f>13.6013 * CHOOSE(CONTROL!$C$23, $C$12, 100%, $E$12)</f>
        <v>13.6013</v>
      </c>
    </row>
    <row r="736" spans="1:15" ht="15">
      <c r="A736" s="13">
        <v>63555</v>
      </c>
      <c r="B736" s="65">
        <f>11.9586 * CHOOSE(CONTROL!$C$23, $C$12, 100%, $E$12)</f>
        <v>11.958600000000001</v>
      </c>
      <c r="C736" s="65">
        <f>11.9586 * CHOOSE(CONTROL!$C$23, $C$12, 100%, $E$12)</f>
        <v>11.958600000000001</v>
      </c>
      <c r="D736" s="65">
        <f>11.9626 * CHOOSE(CONTROL!$C$23, $C$12, 100%, $E$12)</f>
        <v>11.9626</v>
      </c>
      <c r="E736" s="66">
        <f>13.7204 * CHOOSE(CONTROL!$C$23, $C$12, 100%, $E$12)</f>
        <v>13.7204</v>
      </c>
      <c r="F736" s="66">
        <f>13.7204 * CHOOSE(CONTROL!$C$23, $C$12, 100%, $E$12)</f>
        <v>13.7204</v>
      </c>
      <c r="G736" s="66">
        <f>13.7254 * CHOOSE(CONTROL!$C$23, $C$12, 100%, $E$12)</f>
        <v>13.7254</v>
      </c>
      <c r="H736" s="66">
        <f>25.3548* CHOOSE(CONTROL!$C$23, $C$12, 100%, $E$12)</f>
        <v>25.354800000000001</v>
      </c>
      <c r="I736" s="66">
        <f>25.3597 * CHOOSE(CONTROL!$C$23, $C$12, 100%, $E$12)</f>
        <v>25.3597</v>
      </c>
      <c r="J736" s="66">
        <f>25.3548 * CHOOSE(CONTROL!$C$23, $C$12, 100%, $E$12)</f>
        <v>25.354800000000001</v>
      </c>
      <c r="K736" s="66">
        <f>25.3597 * CHOOSE(CONTROL!$C$23, $C$12, 100%, $E$12)</f>
        <v>25.3597</v>
      </c>
      <c r="L736" s="66">
        <f>13.7204 * CHOOSE(CONTROL!$C$23, $C$12, 100%, $E$12)</f>
        <v>13.7204</v>
      </c>
      <c r="M736" s="66">
        <f>13.7254 * CHOOSE(CONTROL!$C$23, $C$12, 100%, $E$12)</f>
        <v>13.7254</v>
      </c>
      <c r="N736" s="66">
        <f>13.7204 * CHOOSE(CONTROL!$C$23, $C$12, 100%, $E$12)</f>
        <v>13.7204</v>
      </c>
      <c r="O736" s="66">
        <f>13.7254 * CHOOSE(CONTROL!$C$23, $C$12, 100%, $E$12)</f>
        <v>13.7254</v>
      </c>
    </row>
    <row r="737" spans="1:15" ht="15">
      <c r="A737" s="13">
        <v>63586</v>
      </c>
      <c r="B737" s="65">
        <f>11.9556 * CHOOSE(CONTROL!$C$23, $C$12, 100%, $E$12)</f>
        <v>11.9556</v>
      </c>
      <c r="C737" s="65">
        <f>11.9556 * CHOOSE(CONTROL!$C$23, $C$12, 100%, $E$12)</f>
        <v>11.9556</v>
      </c>
      <c r="D737" s="65">
        <f>11.9596 * CHOOSE(CONTROL!$C$23, $C$12, 100%, $E$12)</f>
        <v>11.9596</v>
      </c>
      <c r="E737" s="66">
        <f>13.4782 * CHOOSE(CONTROL!$C$23, $C$12, 100%, $E$12)</f>
        <v>13.478199999999999</v>
      </c>
      <c r="F737" s="66">
        <f>13.4782 * CHOOSE(CONTROL!$C$23, $C$12, 100%, $E$12)</f>
        <v>13.478199999999999</v>
      </c>
      <c r="G737" s="66">
        <f>13.4831 * CHOOSE(CONTROL!$C$23, $C$12, 100%, $E$12)</f>
        <v>13.4831</v>
      </c>
      <c r="H737" s="66">
        <f>25.4076* CHOOSE(CONTROL!$C$23, $C$12, 100%, $E$12)</f>
        <v>25.407599999999999</v>
      </c>
      <c r="I737" s="66">
        <f>25.4126 * CHOOSE(CONTROL!$C$23, $C$12, 100%, $E$12)</f>
        <v>25.412600000000001</v>
      </c>
      <c r="J737" s="66">
        <f>25.4076 * CHOOSE(CONTROL!$C$23, $C$12, 100%, $E$12)</f>
        <v>25.407599999999999</v>
      </c>
      <c r="K737" s="66">
        <f>25.4126 * CHOOSE(CONTROL!$C$23, $C$12, 100%, $E$12)</f>
        <v>25.412600000000001</v>
      </c>
      <c r="L737" s="66">
        <f>13.4782 * CHOOSE(CONTROL!$C$23, $C$12, 100%, $E$12)</f>
        <v>13.478199999999999</v>
      </c>
      <c r="M737" s="66">
        <f>13.4831 * CHOOSE(CONTROL!$C$23, $C$12, 100%, $E$12)</f>
        <v>13.4831</v>
      </c>
      <c r="N737" s="66">
        <f>13.4782 * CHOOSE(CONTROL!$C$23, $C$12, 100%, $E$12)</f>
        <v>13.478199999999999</v>
      </c>
      <c r="O737" s="66">
        <f>13.4831 * CHOOSE(CONTROL!$C$23, $C$12, 100%, $E$12)</f>
        <v>13.4831</v>
      </c>
    </row>
    <row r="738" spans="1:15" ht="15">
      <c r="A738" s="13">
        <v>63614</v>
      </c>
      <c r="B738" s="65">
        <f>11.9525 * CHOOSE(CONTROL!$C$23, $C$12, 100%, $E$12)</f>
        <v>11.952500000000001</v>
      </c>
      <c r="C738" s="65">
        <f>11.9525 * CHOOSE(CONTROL!$C$23, $C$12, 100%, $E$12)</f>
        <v>11.952500000000001</v>
      </c>
      <c r="D738" s="65">
        <f>11.9565 * CHOOSE(CONTROL!$C$23, $C$12, 100%, $E$12)</f>
        <v>11.9565</v>
      </c>
      <c r="E738" s="66">
        <f>13.6654 * CHOOSE(CONTROL!$C$23, $C$12, 100%, $E$12)</f>
        <v>13.6654</v>
      </c>
      <c r="F738" s="66">
        <f>13.6654 * CHOOSE(CONTROL!$C$23, $C$12, 100%, $E$12)</f>
        <v>13.6654</v>
      </c>
      <c r="G738" s="66">
        <f>13.6703 * CHOOSE(CONTROL!$C$23, $C$12, 100%, $E$12)</f>
        <v>13.670299999999999</v>
      </c>
      <c r="H738" s="66">
        <f>25.4606* CHOOSE(CONTROL!$C$23, $C$12, 100%, $E$12)</f>
        <v>25.460599999999999</v>
      </c>
      <c r="I738" s="66">
        <f>25.4655 * CHOOSE(CONTROL!$C$23, $C$12, 100%, $E$12)</f>
        <v>25.465499999999999</v>
      </c>
      <c r="J738" s="66">
        <f>25.4606 * CHOOSE(CONTROL!$C$23, $C$12, 100%, $E$12)</f>
        <v>25.460599999999999</v>
      </c>
      <c r="K738" s="66">
        <f>25.4655 * CHOOSE(CONTROL!$C$23, $C$12, 100%, $E$12)</f>
        <v>25.465499999999999</v>
      </c>
      <c r="L738" s="66">
        <f>13.6654 * CHOOSE(CONTROL!$C$23, $C$12, 100%, $E$12)</f>
        <v>13.6654</v>
      </c>
      <c r="M738" s="66">
        <f>13.6703 * CHOOSE(CONTROL!$C$23, $C$12, 100%, $E$12)</f>
        <v>13.670299999999999</v>
      </c>
      <c r="N738" s="66">
        <f>13.6654 * CHOOSE(CONTROL!$C$23, $C$12, 100%, $E$12)</f>
        <v>13.6654</v>
      </c>
      <c r="O738" s="66">
        <f>13.6703 * CHOOSE(CONTROL!$C$23, $C$12, 100%, $E$12)</f>
        <v>13.670299999999999</v>
      </c>
    </row>
    <row r="739" spans="1:15" ht="15">
      <c r="A739" s="13">
        <v>63645</v>
      </c>
      <c r="B739" s="65">
        <f>11.9569 * CHOOSE(CONTROL!$C$23, $C$12, 100%, $E$12)</f>
        <v>11.956899999999999</v>
      </c>
      <c r="C739" s="65">
        <f>11.9569 * CHOOSE(CONTROL!$C$23, $C$12, 100%, $E$12)</f>
        <v>11.956899999999999</v>
      </c>
      <c r="D739" s="65">
        <f>11.9609 * CHOOSE(CONTROL!$C$23, $C$12, 100%, $E$12)</f>
        <v>11.960900000000001</v>
      </c>
      <c r="E739" s="66">
        <f>13.8645 * CHOOSE(CONTROL!$C$23, $C$12, 100%, $E$12)</f>
        <v>13.8645</v>
      </c>
      <c r="F739" s="66">
        <f>13.8645 * CHOOSE(CONTROL!$C$23, $C$12, 100%, $E$12)</f>
        <v>13.8645</v>
      </c>
      <c r="G739" s="66">
        <f>13.8694 * CHOOSE(CONTROL!$C$23, $C$12, 100%, $E$12)</f>
        <v>13.869400000000001</v>
      </c>
      <c r="H739" s="66">
        <f>25.5136* CHOOSE(CONTROL!$C$23, $C$12, 100%, $E$12)</f>
        <v>25.5136</v>
      </c>
      <c r="I739" s="66">
        <f>25.5185 * CHOOSE(CONTROL!$C$23, $C$12, 100%, $E$12)</f>
        <v>25.5185</v>
      </c>
      <c r="J739" s="66">
        <f>25.5136 * CHOOSE(CONTROL!$C$23, $C$12, 100%, $E$12)</f>
        <v>25.5136</v>
      </c>
      <c r="K739" s="66">
        <f>25.5185 * CHOOSE(CONTROL!$C$23, $C$12, 100%, $E$12)</f>
        <v>25.5185</v>
      </c>
      <c r="L739" s="66">
        <f>13.8645 * CHOOSE(CONTROL!$C$23, $C$12, 100%, $E$12)</f>
        <v>13.8645</v>
      </c>
      <c r="M739" s="66">
        <f>13.8694 * CHOOSE(CONTROL!$C$23, $C$12, 100%, $E$12)</f>
        <v>13.869400000000001</v>
      </c>
      <c r="N739" s="66">
        <f>13.8645 * CHOOSE(CONTROL!$C$23, $C$12, 100%, $E$12)</f>
        <v>13.8645</v>
      </c>
      <c r="O739" s="66">
        <f>13.8694 * CHOOSE(CONTROL!$C$23, $C$12, 100%, $E$12)</f>
        <v>13.869400000000001</v>
      </c>
    </row>
    <row r="740" spans="1:15" ht="15">
      <c r="A740" s="13">
        <v>63675</v>
      </c>
      <c r="B740" s="65">
        <f>11.9569 * CHOOSE(CONTROL!$C$23, $C$12, 100%, $E$12)</f>
        <v>11.956899999999999</v>
      </c>
      <c r="C740" s="65">
        <f>11.9569 * CHOOSE(CONTROL!$C$23, $C$12, 100%, $E$12)</f>
        <v>11.956899999999999</v>
      </c>
      <c r="D740" s="65">
        <f>11.9625 * CHOOSE(CONTROL!$C$23, $C$12, 100%, $E$12)</f>
        <v>11.9625</v>
      </c>
      <c r="E740" s="66">
        <f>13.9407 * CHOOSE(CONTROL!$C$23, $C$12, 100%, $E$12)</f>
        <v>13.9407</v>
      </c>
      <c r="F740" s="66">
        <f>13.9407 * CHOOSE(CONTROL!$C$23, $C$12, 100%, $E$12)</f>
        <v>13.9407</v>
      </c>
      <c r="G740" s="66">
        <f>13.9476 * CHOOSE(CONTROL!$C$23, $C$12, 100%, $E$12)</f>
        <v>13.9476</v>
      </c>
      <c r="H740" s="66">
        <f>25.5668* CHOOSE(CONTROL!$C$23, $C$12, 100%, $E$12)</f>
        <v>25.566800000000001</v>
      </c>
      <c r="I740" s="66">
        <f>25.5737 * CHOOSE(CONTROL!$C$23, $C$12, 100%, $E$12)</f>
        <v>25.573699999999999</v>
      </c>
      <c r="J740" s="66">
        <f>25.5668 * CHOOSE(CONTROL!$C$23, $C$12, 100%, $E$12)</f>
        <v>25.566800000000001</v>
      </c>
      <c r="K740" s="66">
        <f>25.5737 * CHOOSE(CONTROL!$C$23, $C$12, 100%, $E$12)</f>
        <v>25.573699999999999</v>
      </c>
      <c r="L740" s="66">
        <f>13.9407 * CHOOSE(CONTROL!$C$23, $C$12, 100%, $E$12)</f>
        <v>13.9407</v>
      </c>
      <c r="M740" s="66">
        <f>13.9476 * CHOOSE(CONTROL!$C$23, $C$12, 100%, $E$12)</f>
        <v>13.9476</v>
      </c>
      <c r="N740" s="66">
        <f>13.9407 * CHOOSE(CONTROL!$C$23, $C$12, 100%, $E$12)</f>
        <v>13.9407</v>
      </c>
      <c r="O740" s="66">
        <f>13.9476 * CHOOSE(CONTROL!$C$23, $C$12, 100%, $E$12)</f>
        <v>13.9476</v>
      </c>
    </row>
    <row r="741" spans="1:15" ht="15">
      <c r="A741" s="13">
        <v>63706</v>
      </c>
      <c r="B741" s="65">
        <f>11.9629 * CHOOSE(CONTROL!$C$23, $C$12, 100%, $E$12)</f>
        <v>11.962899999999999</v>
      </c>
      <c r="C741" s="65">
        <f>11.9629 * CHOOSE(CONTROL!$C$23, $C$12, 100%, $E$12)</f>
        <v>11.962899999999999</v>
      </c>
      <c r="D741" s="65">
        <f>11.9686 * CHOOSE(CONTROL!$C$23, $C$12, 100%, $E$12)</f>
        <v>11.9686</v>
      </c>
      <c r="E741" s="66">
        <f>13.8687 * CHOOSE(CONTROL!$C$23, $C$12, 100%, $E$12)</f>
        <v>13.8687</v>
      </c>
      <c r="F741" s="66">
        <f>13.8687 * CHOOSE(CONTROL!$C$23, $C$12, 100%, $E$12)</f>
        <v>13.8687</v>
      </c>
      <c r="G741" s="66">
        <f>13.8756 * CHOOSE(CONTROL!$C$23, $C$12, 100%, $E$12)</f>
        <v>13.8756</v>
      </c>
      <c r="H741" s="66">
        <f>25.62* CHOOSE(CONTROL!$C$23, $C$12, 100%, $E$12)</f>
        <v>25.62</v>
      </c>
      <c r="I741" s="66">
        <f>25.6269 * CHOOSE(CONTROL!$C$23, $C$12, 100%, $E$12)</f>
        <v>25.626899999999999</v>
      </c>
      <c r="J741" s="66">
        <f>25.62 * CHOOSE(CONTROL!$C$23, $C$12, 100%, $E$12)</f>
        <v>25.62</v>
      </c>
      <c r="K741" s="66">
        <f>25.6269 * CHOOSE(CONTROL!$C$23, $C$12, 100%, $E$12)</f>
        <v>25.626899999999999</v>
      </c>
      <c r="L741" s="66">
        <f>13.8687 * CHOOSE(CONTROL!$C$23, $C$12, 100%, $E$12)</f>
        <v>13.8687</v>
      </c>
      <c r="M741" s="66">
        <f>13.8756 * CHOOSE(CONTROL!$C$23, $C$12, 100%, $E$12)</f>
        <v>13.8756</v>
      </c>
      <c r="N741" s="66">
        <f>13.8687 * CHOOSE(CONTROL!$C$23, $C$12, 100%, $E$12)</f>
        <v>13.8687</v>
      </c>
      <c r="O741" s="66">
        <f>13.8756 * CHOOSE(CONTROL!$C$23, $C$12, 100%, $E$12)</f>
        <v>13.8756</v>
      </c>
    </row>
    <row r="742" spans="1:15" ht="15">
      <c r="A742" s="13">
        <v>63736</v>
      </c>
      <c r="B742" s="65">
        <f>12.1458 * CHOOSE(CONTROL!$C$23, $C$12, 100%, $E$12)</f>
        <v>12.145799999999999</v>
      </c>
      <c r="C742" s="65">
        <f>12.1458 * CHOOSE(CONTROL!$C$23, $C$12, 100%, $E$12)</f>
        <v>12.145799999999999</v>
      </c>
      <c r="D742" s="65">
        <f>12.1514 * CHOOSE(CONTROL!$C$23, $C$12, 100%, $E$12)</f>
        <v>12.151400000000001</v>
      </c>
      <c r="E742" s="66">
        <f>14.0909 * CHOOSE(CONTROL!$C$23, $C$12, 100%, $E$12)</f>
        <v>14.0909</v>
      </c>
      <c r="F742" s="66">
        <f>14.0909 * CHOOSE(CONTROL!$C$23, $C$12, 100%, $E$12)</f>
        <v>14.0909</v>
      </c>
      <c r="G742" s="66">
        <f>14.0978 * CHOOSE(CONTROL!$C$23, $C$12, 100%, $E$12)</f>
        <v>14.097799999999999</v>
      </c>
      <c r="H742" s="66">
        <f>25.6734* CHOOSE(CONTROL!$C$23, $C$12, 100%, $E$12)</f>
        <v>25.673400000000001</v>
      </c>
      <c r="I742" s="66">
        <f>25.6803 * CHOOSE(CONTROL!$C$23, $C$12, 100%, $E$12)</f>
        <v>25.680299999999999</v>
      </c>
      <c r="J742" s="66">
        <f>25.6734 * CHOOSE(CONTROL!$C$23, $C$12, 100%, $E$12)</f>
        <v>25.673400000000001</v>
      </c>
      <c r="K742" s="66">
        <f>25.6803 * CHOOSE(CONTROL!$C$23, $C$12, 100%, $E$12)</f>
        <v>25.680299999999999</v>
      </c>
      <c r="L742" s="66">
        <f>14.0909 * CHOOSE(CONTROL!$C$23, $C$12, 100%, $E$12)</f>
        <v>14.0909</v>
      </c>
      <c r="M742" s="66">
        <f>14.0978 * CHOOSE(CONTROL!$C$23, $C$12, 100%, $E$12)</f>
        <v>14.097799999999999</v>
      </c>
      <c r="N742" s="66">
        <f>14.0909 * CHOOSE(CONTROL!$C$23, $C$12, 100%, $E$12)</f>
        <v>14.0909</v>
      </c>
      <c r="O742" s="66">
        <f>14.0978 * CHOOSE(CONTROL!$C$23, $C$12, 100%, $E$12)</f>
        <v>14.097799999999999</v>
      </c>
    </row>
    <row r="743" spans="1:15" ht="15">
      <c r="A743" s="13">
        <v>63767</v>
      </c>
      <c r="B743" s="65">
        <f>12.1525 * CHOOSE(CONTROL!$C$23, $C$12, 100%, $E$12)</f>
        <v>12.1525</v>
      </c>
      <c r="C743" s="65">
        <f>12.1525 * CHOOSE(CONTROL!$C$23, $C$12, 100%, $E$12)</f>
        <v>12.1525</v>
      </c>
      <c r="D743" s="65">
        <f>12.1581 * CHOOSE(CONTROL!$C$23, $C$12, 100%, $E$12)</f>
        <v>12.158099999999999</v>
      </c>
      <c r="E743" s="66">
        <f>13.8668 * CHOOSE(CONTROL!$C$23, $C$12, 100%, $E$12)</f>
        <v>13.8668</v>
      </c>
      <c r="F743" s="66">
        <f>13.8668 * CHOOSE(CONTROL!$C$23, $C$12, 100%, $E$12)</f>
        <v>13.8668</v>
      </c>
      <c r="G743" s="66">
        <f>13.8737 * CHOOSE(CONTROL!$C$23, $C$12, 100%, $E$12)</f>
        <v>13.873699999999999</v>
      </c>
      <c r="H743" s="66">
        <f>25.7269* CHOOSE(CONTROL!$C$23, $C$12, 100%, $E$12)</f>
        <v>25.726900000000001</v>
      </c>
      <c r="I743" s="66">
        <f>25.7338 * CHOOSE(CONTROL!$C$23, $C$12, 100%, $E$12)</f>
        <v>25.733799999999999</v>
      </c>
      <c r="J743" s="66">
        <f>25.7269 * CHOOSE(CONTROL!$C$23, $C$12, 100%, $E$12)</f>
        <v>25.726900000000001</v>
      </c>
      <c r="K743" s="66">
        <f>25.7338 * CHOOSE(CONTROL!$C$23, $C$12, 100%, $E$12)</f>
        <v>25.733799999999999</v>
      </c>
      <c r="L743" s="66">
        <f>13.8668 * CHOOSE(CONTROL!$C$23, $C$12, 100%, $E$12)</f>
        <v>13.8668</v>
      </c>
      <c r="M743" s="66">
        <f>13.8737 * CHOOSE(CONTROL!$C$23, $C$12, 100%, $E$12)</f>
        <v>13.873699999999999</v>
      </c>
      <c r="N743" s="66">
        <f>13.8668 * CHOOSE(CONTROL!$C$23, $C$12, 100%, $E$12)</f>
        <v>13.8668</v>
      </c>
      <c r="O743" s="66">
        <f>13.8737 * CHOOSE(CONTROL!$C$23, $C$12, 100%, $E$12)</f>
        <v>13.873699999999999</v>
      </c>
    </row>
    <row r="744" spans="1:15" ht="15">
      <c r="A744" s="13">
        <v>63798</v>
      </c>
      <c r="B744" s="65">
        <f>12.1495 * CHOOSE(CONTROL!$C$23, $C$12, 100%, $E$12)</f>
        <v>12.1495</v>
      </c>
      <c r="C744" s="65">
        <f>12.1495 * CHOOSE(CONTROL!$C$23, $C$12, 100%, $E$12)</f>
        <v>12.1495</v>
      </c>
      <c r="D744" s="65">
        <f>12.1551 * CHOOSE(CONTROL!$C$23, $C$12, 100%, $E$12)</f>
        <v>12.155099999999999</v>
      </c>
      <c r="E744" s="66">
        <f>13.8393 * CHOOSE(CONTROL!$C$23, $C$12, 100%, $E$12)</f>
        <v>13.8393</v>
      </c>
      <c r="F744" s="66">
        <f>13.8393 * CHOOSE(CONTROL!$C$23, $C$12, 100%, $E$12)</f>
        <v>13.8393</v>
      </c>
      <c r="G744" s="66">
        <f>13.8462 * CHOOSE(CONTROL!$C$23, $C$12, 100%, $E$12)</f>
        <v>13.8462</v>
      </c>
      <c r="H744" s="66">
        <f>25.7805* CHOOSE(CONTROL!$C$23, $C$12, 100%, $E$12)</f>
        <v>25.7805</v>
      </c>
      <c r="I744" s="66">
        <f>25.7874 * CHOOSE(CONTROL!$C$23, $C$12, 100%, $E$12)</f>
        <v>25.787400000000002</v>
      </c>
      <c r="J744" s="66">
        <f>25.7805 * CHOOSE(CONTROL!$C$23, $C$12, 100%, $E$12)</f>
        <v>25.7805</v>
      </c>
      <c r="K744" s="66">
        <f>25.7874 * CHOOSE(CONTROL!$C$23, $C$12, 100%, $E$12)</f>
        <v>25.787400000000002</v>
      </c>
      <c r="L744" s="66">
        <f>13.8393 * CHOOSE(CONTROL!$C$23, $C$12, 100%, $E$12)</f>
        <v>13.8393</v>
      </c>
      <c r="M744" s="66">
        <f>13.8462 * CHOOSE(CONTROL!$C$23, $C$12, 100%, $E$12)</f>
        <v>13.8462</v>
      </c>
      <c r="N744" s="66">
        <f>13.8393 * CHOOSE(CONTROL!$C$23, $C$12, 100%, $E$12)</f>
        <v>13.8393</v>
      </c>
      <c r="O744" s="66">
        <f>13.8462 * CHOOSE(CONTROL!$C$23, $C$12, 100%, $E$12)</f>
        <v>13.8462</v>
      </c>
    </row>
    <row r="745" spans="1:15" ht="15">
      <c r="A745" s="13">
        <v>63828</v>
      </c>
      <c r="B745" s="65">
        <f>12.1708 * CHOOSE(CONTROL!$C$23, $C$12, 100%, $E$12)</f>
        <v>12.1708</v>
      </c>
      <c r="C745" s="65">
        <f>12.1708 * CHOOSE(CONTROL!$C$23, $C$12, 100%, $E$12)</f>
        <v>12.1708</v>
      </c>
      <c r="D745" s="65">
        <f>12.1748 * CHOOSE(CONTROL!$C$23, $C$12, 100%, $E$12)</f>
        <v>12.174799999999999</v>
      </c>
      <c r="E745" s="66">
        <f>13.9276 * CHOOSE(CONTROL!$C$23, $C$12, 100%, $E$12)</f>
        <v>13.9276</v>
      </c>
      <c r="F745" s="66">
        <f>13.9276 * CHOOSE(CONTROL!$C$23, $C$12, 100%, $E$12)</f>
        <v>13.9276</v>
      </c>
      <c r="G745" s="66">
        <f>13.9325 * CHOOSE(CONTROL!$C$23, $C$12, 100%, $E$12)</f>
        <v>13.932499999999999</v>
      </c>
      <c r="H745" s="66">
        <f>25.8342* CHOOSE(CONTROL!$C$23, $C$12, 100%, $E$12)</f>
        <v>25.834199999999999</v>
      </c>
      <c r="I745" s="66">
        <f>25.8391 * CHOOSE(CONTROL!$C$23, $C$12, 100%, $E$12)</f>
        <v>25.839099999999998</v>
      </c>
      <c r="J745" s="66">
        <f>25.8342 * CHOOSE(CONTROL!$C$23, $C$12, 100%, $E$12)</f>
        <v>25.834199999999999</v>
      </c>
      <c r="K745" s="66">
        <f>25.8391 * CHOOSE(CONTROL!$C$23, $C$12, 100%, $E$12)</f>
        <v>25.839099999999998</v>
      </c>
      <c r="L745" s="66">
        <f>13.9276 * CHOOSE(CONTROL!$C$23, $C$12, 100%, $E$12)</f>
        <v>13.9276</v>
      </c>
      <c r="M745" s="66">
        <f>13.9325 * CHOOSE(CONTROL!$C$23, $C$12, 100%, $E$12)</f>
        <v>13.932499999999999</v>
      </c>
      <c r="N745" s="66">
        <f>13.9276 * CHOOSE(CONTROL!$C$23, $C$12, 100%, $E$12)</f>
        <v>13.9276</v>
      </c>
      <c r="O745" s="66">
        <f>13.9325 * CHOOSE(CONTROL!$C$23, $C$12, 100%, $E$12)</f>
        <v>13.932499999999999</v>
      </c>
    </row>
    <row r="746" spans="1:15" ht="15">
      <c r="A746" s="13">
        <v>63859</v>
      </c>
      <c r="B746" s="65">
        <f>12.1739 * CHOOSE(CONTROL!$C$23, $C$12, 100%, $E$12)</f>
        <v>12.1739</v>
      </c>
      <c r="C746" s="65">
        <f>12.1739 * CHOOSE(CONTROL!$C$23, $C$12, 100%, $E$12)</f>
        <v>12.1739</v>
      </c>
      <c r="D746" s="65">
        <f>12.1779 * CHOOSE(CONTROL!$C$23, $C$12, 100%, $E$12)</f>
        <v>12.177899999999999</v>
      </c>
      <c r="E746" s="66">
        <f>13.9805 * CHOOSE(CONTROL!$C$23, $C$12, 100%, $E$12)</f>
        <v>13.980499999999999</v>
      </c>
      <c r="F746" s="66">
        <f>13.9805 * CHOOSE(CONTROL!$C$23, $C$12, 100%, $E$12)</f>
        <v>13.980499999999999</v>
      </c>
      <c r="G746" s="66">
        <f>13.9854 * CHOOSE(CONTROL!$C$23, $C$12, 100%, $E$12)</f>
        <v>13.9854</v>
      </c>
      <c r="H746" s="66">
        <f>25.888* CHOOSE(CONTROL!$C$23, $C$12, 100%, $E$12)</f>
        <v>25.888000000000002</v>
      </c>
      <c r="I746" s="66">
        <f>25.8929 * CHOOSE(CONTROL!$C$23, $C$12, 100%, $E$12)</f>
        <v>25.892900000000001</v>
      </c>
      <c r="J746" s="66">
        <f>25.888 * CHOOSE(CONTROL!$C$23, $C$12, 100%, $E$12)</f>
        <v>25.888000000000002</v>
      </c>
      <c r="K746" s="66">
        <f>25.8929 * CHOOSE(CONTROL!$C$23, $C$12, 100%, $E$12)</f>
        <v>25.892900000000001</v>
      </c>
      <c r="L746" s="66">
        <f>13.9805 * CHOOSE(CONTROL!$C$23, $C$12, 100%, $E$12)</f>
        <v>13.980499999999999</v>
      </c>
      <c r="M746" s="66">
        <f>13.9854 * CHOOSE(CONTROL!$C$23, $C$12, 100%, $E$12)</f>
        <v>13.9854</v>
      </c>
      <c r="N746" s="66">
        <f>13.9805 * CHOOSE(CONTROL!$C$23, $C$12, 100%, $E$12)</f>
        <v>13.980499999999999</v>
      </c>
      <c r="O746" s="66">
        <f>13.9854 * CHOOSE(CONTROL!$C$23, $C$12, 100%, $E$12)</f>
        <v>13.9854</v>
      </c>
    </row>
    <row r="747" spans="1:15" ht="15">
      <c r="A747" s="13">
        <v>63889</v>
      </c>
      <c r="B747" s="65">
        <f>12.1739 * CHOOSE(CONTROL!$C$23, $C$12, 100%, $E$12)</f>
        <v>12.1739</v>
      </c>
      <c r="C747" s="65">
        <f>12.1739 * CHOOSE(CONTROL!$C$23, $C$12, 100%, $E$12)</f>
        <v>12.1739</v>
      </c>
      <c r="D747" s="65">
        <f>12.1779 * CHOOSE(CONTROL!$C$23, $C$12, 100%, $E$12)</f>
        <v>12.177899999999999</v>
      </c>
      <c r="E747" s="66">
        <f>13.8534 * CHOOSE(CONTROL!$C$23, $C$12, 100%, $E$12)</f>
        <v>13.853400000000001</v>
      </c>
      <c r="F747" s="66">
        <f>13.8534 * CHOOSE(CONTROL!$C$23, $C$12, 100%, $E$12)</f>
        <v>13.853400000000001</v>
      </c>
      <c r="G747" s="66">
        <f>13.8584 * CHOOSE(CONTROL!$C$23, $C$12, 100%, $E$12)</f>
        <v>13.8584</v>
      </c>
      <c r="H747" s="66">
        <f>25.942* CHOOSE(CONTROL!$C$23, $C$12, 100%, $E$12)</f>
        <v>25.942</v>
      </c>
      <c r="I747" s="66">
        <f>25.9469 * CHOOSE(CONTROL!$C$23, $C$12, 100%, $E$12)</f>
        <v>25.946899999999999</v>
      </c>
      <c r="J747" s="66">
        <f>25.942 * CHOOSE(CONTROL!$C$23, $C$12, 100%, $E$12)</f>
        <v>25.942</v>
      </c>
      <c r="K747" s="66">
        <f>25.9469 * CHOOSE(CONTROL!$C$23, $C$12, 100%, $E$12)</f>
        <v>25.946899999999999</v>
      </c>
      <c r="L747" s="66">
        <f>13.8534 * CHOOSE(CONTROL!$C$23, $C$12, 100%, $E$12)</f>
        <v>13.853400000000001</v>
      </c>
      <c r="M747" s="66">
        <f>13.8584 * CHOOSE(CONTROL!$C$23, $C$12, 100%, $E$12)</f>
        <v>13.8584</v>
      </c>
      <c r="N747" s="66">
        <f>13.8534 * CHOOSE(CONTROL!$C$23, $C$12, 100%, $E$12)</f>
        <v>13.853400000000001</v>
      </c>
      <c r="O747" s="66">
        <f>13.8584 * CHOOSE(CONTROL!$C$23, $C$12, 100%, $E$12)</f>
        <v>13.8584</v>
      </c>
    </row>
    <row r="748" spans="1:15" ht="15">
      <c r="A748" s="13">
        <v>63920</v>
      </c>
      <c r="B748" s="65">
        <f>12.1942 * CHOOSE(CONTROL!$C$23, $C$12, 100%, $E$12)</f>
        <v>12.1942</v>
      </c>
      <c r="C748" s="65">
        <f>12.1942 * CHOOSE(CONTROL!$C$23, $C$12, 100%, $E$12)</f>
        <v>12.1942</v>
      </c>
      <c r="D748" s="65">
        <f>12.1982 * CHOOSE(CONTROL!$C$23, $C$12, 100%, $E$12)</f>
        <v>12.1982</v>
      </c>
      <c r="E748" s="66">
        <f>13.9752 * CHOOSE(CONTROL!$C$23, $C$12, 100%, $E$12)</f>
        <v>13.975199999999999</v>
      </c>
      <c r="F748" s="66">
        <f>13.9752 * CHOOSE(CONTROL!$C$23, $C$12, 100%, $E$12)</f>
        <v>13.975199999999999</v>
      </c>
      <c r="G748" s="66">
        <f>13.9801 * CHOOSE(CONTROL!$C$23, $C$12, 100%, $E$12)</f>
        <v>13.9801</v>
      </c>
      <c r="H748" s="66">
        <f>25.8374* CHOOSE(CONTROL!$C$23, $C$12, 100%, $E$12)</f>
        <v>25.837399999999999</v>
      </c>
      <c r="I748" s="66">
        <f>25.8423 * CHOOSE(CONTROL!$C$23, $C$12, 100%, $E$12)</f>
        <v>25.842300000000002</v>
      </c>
      <c r="J748" s="66">
        <f>25.8374 * CHOOSE(CONTROL!$C$23, $C$12, 100%, $E$12)</f>
        <v>25.837399999999999</v>
      </c>
      <c r="K748" s="66">
        <f>25.8423 * CHOOSE(CONTROL!$C$23, $C$12, 100%, $E$12)</f>
        <v>25.842300000000002</v>
      </c>
      <c r="L748" s="66">
        <f>13.9752 * CHOOSE(CONTROL!$C$23, $C$12, 100%, $E$12)</f>
        <v>13.975199999999999</v>
      </c>
      <c r="M748" s="66">
        <f>13.9801 * CHOOSE(CONTROL!$C$23, $C$12, 100%, $E$12)</f>
        <v>13.9801</v>
      </c>
      <c r="N748" s="66">
        <f>13.9752 * CHOOSE(CONTROL!$C$23, $C$12, 100%, $E$12)</f>
        <v>13.975199999999999</v>
      </c>
      <c r="O748" s="66">
        <f>13.9801 * CHOOSE(CONTROL!$C$23, $C$12, 100%, $E$12)</f>
        <v>13.9801</v>
      </c>
    </row>
    <row r="749" spans="1:15" ht="15">
      <c r="A749" s="13">
        <v>63951</v>
      </c>
      <c r="B749" s="65">
        <f>12.1911 * CHOOSE(CONTROL!$C$23, $C$12, 100%, $E$12)</f>
        <v>12.1911</v>
      </c>
      <c r="C749" s="65">
        <f>12.1911 * CHOOSE(CONTROL!$C$23, $C$12, 100%, $E$12)</f>
        <v>12.1911</v>
      </c>
      <c r="D749" s="65">
        <f>12.1951 * CHOOSE(CONTROL!$C$23, $C$12, 100%, $E$12)</f>
        <v>12.1951</v>
      </c>
      <c r="E749" s="66">
        <f>13.728 * CHOOSE(CONTROL!$C$23, $C$12, 100%, $E$12)</f>
        <v>13.728</v>
      </c>
      <c r="F749" s="66">
        <f>13.728 * CHOOSE(CONTROL!$C$23, $C$12, 100%, $E$12)</f>
        <v>13.728</v>
      </c>
      <c r="G749" s="66">
        <f>13.7329 * CHOOSE(CONTROL!$C$23, $C$12, 100%, $E$12)</f>
        <v>13.732900000000001</v>
      </c>
      <c r="H749" s="66">
        <f>25.8912* CHOOSE(CONTROL!$C$23, $C$12, 100%, $E$12)</f>
        <v>25.891200000000001</v>
      </c>
      <c r="I749" s="66">
        <f>25.8961 * CHOOSE(CONTROL!$C$23, $C$12, 100%, $E$12)</f>
        <v>25.896100000000001</v>
      </c>
      <c r="J749" s="66">
        <f>25.8912 * CHOOSE(CONTROL!$C$23, $C$12, 100%, $E$12)</f>
        <v>25.891200000000001</v>
      </c>
      <c r="K749" s="66">
        <f>25.8961 * CHOOSE(CONTROL!$C$23, $C$12, 100%, $E$12)</f>
        <v>25.896100000000001</v>
      </c>
      <c r="L749" s="66">
        <f>13.728 * CHOOSE(CONTROL!$C$23, $C$12, 100%, $E$12)</f>
        <v>13.728</v>
      </c>
      <c r="M749" s="66">
        <f>13.7329 * CHOOSE(CONTROL!$C$23, $C$12, 100%, $E$12)</f>
        <v>13.732900000000001</v>
      </c>
      <c r="N749" s="66">
        <f>13.728 * CHOOSE(CONTROL!$C$23, $C$12, 100%, $E$12)</f>
        <v>13.728</v>
      </c>
      <c r="O749" s="66">
        <f>13.7329 * CHOOSE(CONTROL!$C$23, $C$12, 100%, $E$12)</f>
        <v>13.732900000000001</v>
      </c>
    </row>
    <row r="750" spans="1:15" ht="15">
      <c r="A750" s="13">
        <v>63979</v>
      </c>
      <c r="B750" s="65">
        <f>12.1881 * CHOOSE(CONTROL!$C$23, $C$12, 100%, $E$12)</f>
        <v>12.1881</v>
      </c>
      <c r="C750" s="65">
        <f>12.1881 * CHOOSE(CONTROL!$C$23, $C$12, 100%, $E$12)</f>
        <v>12.1881</v>
      </c>
      <c r="D750" s="65">
        <f>12.1921 * CHOOSE(CONTROL!$C$23, $C$12, 100%, $E$12)</f>
        <v>12.1921</v>
      </c>
      <c r="E750" s="66">
        <f>13.9191 * CHOOSE(CONTROL!$C$23, $C$12, 100%, $E$12)</f>
        <v>13.9191</v>
      </c>
      <c r="F750" s="66">
        <f>13.9191 * CHOOSE(CONTROL!$C$23, $C$12, 100%, $E$12)</f>
        <v>13.9191</v>
      </c>
      <c r="G750" s="66">
        <f>13.924 * CHOOSE(CONTROL!$C$23, $C$12, 100%, $E$12)</f>
        <v>13.923999999999999</v>
      </c>
      <c r="H750" s="66">
        <f>25.9451* CHOOSE(CONTROL!$C$23, $C$12, 100%, $E$12)</f>
        <v>25.9451</v>
      </c>
      <c r="I750" s="66">
        <f>25.9501 * CHOOSE(CONTROL!$C$23, $C$12, 100%, $E$12)</f>
        <v>25.950099999999999</v>
      </c>
      <c r="J750" s="66">
        <f>25.9451 * CHOOSE(CONTROL!$C$23, $C$12, 100%, $E$12)</f>
        <v>25.9451</v>
      </c>
      <c r="K750" s="66">
        <f>25.9501 * CHOOSE(CONTROL!$C$23, $C$12, 100%, $E$12)</f>
        <v>25.950099999999999</v>
      </c>
      <c r="L750" s="66">
        <f>13.9191 * CHOOSE(CONTROL!$C$23, $C$12, 100%, $E$12)</f>
        <v>13.9191</v>
      </c>
      <c r="M750" s="66">
        <f>13.924 * CHOOSE(CONTROL!$C$23, $C$12, 100%, $E$12)</f>
        <v>13.923999999999999</v>
      </c>
      <c r="N750" s="66">
        <f>13.9191 * CHOOSE(CONTROL!$C$23, $C$12, 100%, $E$12)</f>
        <v>13.9191</v>
      </c>
      <c r="O750" s="66">
        <f>13.924 * CHOOSE(CONTROL!$C$23, $C$12, 100%, $E$12)</f>
        <v>13.923999999999999</v>
      </c>
    </row>
    <row r="751" spans="1:15" ht="15">
      <c r="A751" s="13">
        <v>64010</v>
      </c>
      <c r="B751" s="65">
        <f>12.1926 * CHOOSE(CONTROL!$C$23, $C$12, 100%, $E$12)</f>
        <v>12.192600000000001</v>
      </c>
      <c r="C751" s="65">
        <f>12.1926 * CHOOSE(CONTROL!$C$23, $C$12, 100%, $E$12)</f>
        <v>12.192600000000001</v>
      </c>
      <c r="D751" s="65">
        <f>12.1966 * CHOOSE(CONTROL!$C$23, $C$12, 100%, $E$12)</f>
        <v>12.1966</v>
      </c>
      <c r="E751" s="66">
        <f>14.1223 * CHOOSE(CONTROL!$C$23, $C$12, 100%, $E$12)</f>
        <v>14.122299999999999</v>
      </c>
      <c r="F751" s="66">
        <f>14.1223 * CHOOSE(CONTROL!$C$23, $C$12, 100%, $E$12)</f>
        <v>14.122299999999999</v>
      </c>
      <c r="G751" s="66">
        <f>14.1272 * CHOOSE(CONTROL!$C$23, $C$12, 100%, $E$12)</f>
        <v>14.1272</v>
      </c>
      <c r="H751" s="66">
        <f>25.9992* CHOOSE(CONTROL!$C$23, $C$12, 100%, $E$12)</f>
        <v>25.999199999999998</v>
      </c>
      <c r="I751" s="66">
        <f>26.0041 * CHOOSE(CONTROL!$C$23, $C$12, 100%, $E$12)</f>
        <v>26.004100000000001</v>
      </c>
      <c r="J751" s="66">
        <f>25.9992 * CHOOSE(CONTROL!$C$23, $C$12, 100%, $E$12)</f>
        <v>25.999199999999998</v>
      </c>
      <c r="K751" s="66">
        <f>26.0041 * CHOOSE(CONTROL!$C$23, $C$12, 100%, $E$12)</f>
        <v>26.004100000000001</v>
      </c>
      <c r="L751" s="66">
        <f>14.1223 * CHOOSE(CONTROL!$C$23, $C$12, 100%, $E$12)</f>
        <v>14.122299999999999</v>
      </c>
      <c r="M751" s="66">
        <f>14.1272 * CHOOSE(CONTROL!$C$23, $C$12, 100%, $E$12)</f>
        <v>14.1272</v>
      </c>
      <c r="N751" s="66">
        <f>14.1223 * CHOOSE(CONTROL!$C$23, $C$12, 100%, $E$12)</f>
        <v>14.122299999999999</v>
      </c>
      <c r="O751" s="66">
        <f>14.1272 * CHOOSE(CONTROL!$C$23, $C$12, 100%, $E$12)</f>
        <v>14.1272</v>
      </c>
    </row>
    <row r="752" spans="1:15" ht="15">
      <c r="A752" s="13">
        <v>64040</v>
      </c>
      <c r="B752" s="65">
        <f>12.1926 * CHOOSE(CONTROL!$C$23, $C$12, 100%, $E$12)</f>
        <v>12.192600000000001</v>
      </c>
      <c r="C752" s="65">
        <f>12.1926 * CHOOSE(CONTROL!$C$23, $C$12, 100%, $E$12)</f>
        <v>12.192600000000001</v>
      </c>
      <c r="D752" s="65">
        <f>12.1983 * CHOOSE(CONTROL!$C$23, $C$12, 100%, $E$12)</f>
        <v>12.1983</v>
      </c>
      <c r="E752" s="66">
        <f>14.2001 * CHOOSE(CONTROL!$C$23, $C$12, 100%, $E$12)</f>
        <v>14.200100000000001</v>
      </c>
      <c r="F752" s="66">
        <f>14.2001 * CHOOSE(CONTROL!$C$23, $C$12, 100%, $E$12)</f>
        <v>14.200100000000001</v>
      </c>
      <c r="G752" s="66">
        <f>14.207 * CHOOSE(CONTROL!$C$23, $C$12, 100%, $E$12)</f>
        <v>14.207000000000001</v>
      </c>
      <c r="H752" s="66">
        <f>26.0533* CHOOSE(CONTROL!$C$23, $C$12, 100%, $E$12)</f>
        <v>26.0533</v>
      </c>
      <c r="I752" s="66">
        <f>26.0602 * CHOOSE(CONTROL!$C$23, $C$12, 100%, $E$12)</f>
        <v>26.060199999999998</v>
      </c>
      <c r="J752" s="66">
        <f>26.0533 * CHOOSE(CONTROL!$C$23, $C$12, 100%, $E$12)</f>
        <v>26.0533</v>
      </c>
      <c r="K752" s="66">
        <f>26.0602 * CHOOSE(CONTROL!$C$23, $C$12, 100%, $E$12)</f>
        <v>26.060199999999998</v>
      </c>
      <c r="L752" s="66">
        <f>14.2001 * CHOOSE(CONTROL!$C$23, $C$12, 100%, $E$12)</f>
        <v>14.200100000000001</v>
      </c>
      <c r="M752" s="66">
        <f>14.207 * CHOOSE(CONTROL!$C$23, $C$12, 100%, $E$12)</f>
        <v>14.207000000000001</v>
      </c>
      <c r="N752" s="66">
        <f>14.2001 * CHOOSE(CONTROL!$C$23, $C$12, 100%, $E$12)</f>
        <v>14.200100000000001</v>
      </c>
      <c r="O752" s="66">
        <f>14.207 * CHOOSE(CONTROL!$C$23, $C$12, 100%, $E$12)</f>
        <v>14.207000000000001</v>
      </c>
    </row>
    <row r="753" spans="1:15" ht="15">
      <c r="A753" s="13">
        <v>64071</v>
      </c>
      <c r="B753" s="65">
        <f>12.1987 * CHOOSE(CONTROL!$C$23, $C$12, 100%, $E$12)</f>
        <v>12.198700000000001</v>
      </c>
      <c r="C753" s="65">
        <f>12.1987 * CHOOSE(CONTROL!$C$23, $C$12, 100%, $E$12)</f>
        <v>12.198700000000001</v>
      </c>
      <c r="D753" s="65">
        <f>12.2043 * CHOOSE(CONTROL!$C$23, $C$12, 100%, $E$12)</f>
        <v>12.2043</v>
      </c>
      <c r="E753" s="66">
        <f>14.1266 * CHOOSE(CONTROL!$C$23, $C$12, 100%, $E$12)</f>
        <v>14.1266</v>
      </c>
      <c r="F753" s="66">
        <f>14.1266 * CHOOSE(CONTROL!$C$23, $C$12, 100%, $E$12)</f>
        <v>14.1266</v>
      </c>
      <c r="G753" s="66">
        <f>14.1334 * CHOOSE(CONTROL!$C$23, $C$12, 100%, $E$12)</f>
        <v>14.1334</v>
      </c>
      <c r="H753" s="66">
        <f>26.1076* CHOOSE(CONTROL!$C$23, $C$12, 100%, $E$12)</f>
        <v>26.107600000000001</v>
      </c>
      <c r="I753" s="66">
        <f>26.1145 * CHOOSE(CONTROL!$C$23, $C$12, 100%, $E$12)</f>
        <v>26.1145</v>
      </c>
      <c r="J753" s="66">
        <f>26.1076 * CHOOSE(CONTROL!$C$23, $C$12, 100%, $E$12)</f>
        <v>26.107600000000001</v>
      </c>
      <c r="K753" s="66">
        <f>26.1145 * CHOOSE(CONTROL!$C$23, $C$12, 100%, $E$12)</f>
        <v>26.1145</v>
      </c>
      <c r="L753" s="66">
        <f>14.1266 * CHOOSE(CONTROL!$C$23, $C$12, 100%, $E$12)</f>
        <v>14.1266</v>
      </c>
      <c r="M753" s="66">
        <f>14.1334 * CHOOSE(CONTROL!$C$23, $C$12, 100%, $E$12)</f>
        <v>14.1334</v>
      </c>
      <c r="N753" s="66">
        <f>14.1266 * CHOOSE(CONTROL!$C$23, $C$12, 100%, $E$12)</f>
        <v>14.1266</v>
      </c>
      <c r="O753" s="66">
        <f>14.1334 * CHOOSE(CONTROL!$C$23, $C$12, 100%, $E$12)</f>
        <v>14.1334</v>
      </c>
    </row>
    <row r="754" spans="1:15" ht="15">
      <c r="A754" s="13">
        <v>64101</v>
      </c>
      <c r="B754" s="65">
        <f>12.385 * CHOOSE(CONTROL!$C$23, $C$12, 100%, $E$12)</f>
        <v>12.385</v>
      </c>
      <c r="C754" s="65">
        <f>12.385 * CHOOSE(CONTROL!$C$23, $C$12, 100%, $E$12)</f>
        <v>12.385</v>
      </c>
      <c r="D754" s="65">
        <f>12.3906 * CHOOSE(CONTROL!$C$23, $C$12, 100%, $E$12)</f>
        <v>12.390599999999999</v>
      </c>
      <c r="E754" s="66">
        <f>14.3527 * CHOOSE(CONTROL!$C$23, $C$12, 100%, $E$12)</f>
        <v>14.3527</v>
      </c>
      <c r="F754" s="66">
        <f>14.3527 * CHOOSE(CONTROL!$C$23, $C$12, 100%, $E$12)</f>
        <v>14.3527</v>
      </c>
      <c r="G754" s="66">
        <f>14.3596 * CHOOSE(CONTROL!$C$23, $C$12, 100%, $E$12)</f>
        <v>14.3596</v>
      </c>
      <c r="H754" s="66">
        <f>26.162* CHOOSE(CONTROL!$C$23, $C$12, 100%, $E$12)</f>
        <v>26.161999999999999</v>
      </c>
      <c r="I754" s="66">
        <f>26.1689 * CHOOSE(CONTROL!$C$23, $C$12, 100%, $E$12)</f>
        <v>26.168900000000001</v>
      </c>
      <c r="J754" s="66">
        <f>26.162 * CHOOSE(CONTROL!$C$23, $C$12, 100%, $E$12)</f>
        <v>26.161999999999999</v>
      </c>
      <c r="K754" s="66">
        <f>26.1689 * CHOOSE(CONTROL!$C$23, $C$12, 100%, $E$12)</f>
        <v>26.168900000000001</v>
      </c>
      <c r="L754" s="66">
        <f>14.3527 * CHOOSE(CONTROL!$C$23, $C$12, 100%, $E$12)</f>
        <v>14.3527</v>
      </c>
      <c r="M754" s="66">
        <f>14.3596 * CHOOSE(CONTROL!$C$23, $C$12, 100%, $E$12)</f>
        <v>14.3596</v>
      </c>
      <c r="N754" s="66">
        <f>14.3527 * CHOOSE(CONTROL!$C$23, $C$12, 100%, $E$12)</f>
        <v>14.3527</v>
      </c>
      <c r="O754" s="66">
        <f>14.3596 * CHOOSE(CONTROL!$C$23, $C$12, 100%, $E$12)</f>
        <v>14.3596</v>
      </c>
    </row>
    <row r="755" spans="1:15" ht="15">
      <c r="A755" s="13">
        <v>64132</v>
      </c>
      <c r="B755" s="65">
        <f>12.3917 * CHOOSE(CONTROL!$C$23, $C$12, 100%, $E$12)</f>
        <v>12.3917</v>
      </c>
      <c r="C755" s="65">
        <f>12.3917 * CHOOSE(CONTROL!$C$23, $C$12, 100%, $E$12)</f>
        <v>12.3917</v>
      </c>
      <c r="D755" s="65">
        <f>12.3973 * CHOOSE(CONTROL!$C$23, $C$12, 100%, $E$12)</f>
        <v>12.3973</v>
      </c>
      <c r="E755" s="66">
        <f>14.1239 * CHOOSE(CONTROL!$C$23, $C$12, 100%, $E$12)</f>
        <v>14.123900000000001</v>
      </c>
      <c r="F755" s="66">
        <f>14.1239 * CHOOSE(CONTROL!$C$23, $C$12, 100%, $E$12)</f>
        <v>14.123900000000001</v>
      </c>
      <c r="G755" s="66">
        <f>14.1308 * CHOOSE(CONTROL!$C$23, $C$12, 100%, $E$12)</f>
        <v>14.130800000000001</v>
      </c>
      <c r="H755" s="66">
        <f>26.2165* CHOOSE(CONTROL!$C$23, $C$12, 100%, $E$12)</f>
        <v>26.2165</v>
      </c>
      <c r="I755" s="66">
        <f>26.2234 * CHOOSE(CONTROL!$C$23, $C$12, 100%, $E$12)</f>
        <v>26.223400000000002</v>
      </c>
      <c r="J755" s="66">
        <f>26.2165 * CHOOSE(CONTROL!$C$23, $C$12, 100%, $E$12)</f>
        <v>26.2165</v>
      </c>
      <c r="K755" s="66">
        <f>26.2234 * CHOOSE(CONTROL!$C$23, $C$12, 100%, $E$12)</f>
        <v>26.223400000000002</v>
      </c>
      <c r="L755" s="66">
        <f>14.1239 * CHOOSE(CONTROL!$C$23, $C$12, 100%, $E$12)</f>
        <v>14.123900000000001</v>
      </c>
      <c r="M755" s="66">
        <f>14.1308 * CHOOSE(CONTROL!$C$23, $C$12, 100%, $E$12)</f>
        <v>14.130800000000001</v>
      </c>
      <c r="N755" s="66">
        <f>14.1239 * CHOOSE(CONTROL!$C$23, $C$12, 100%, $E$12)</f>
        <v>14.123900000000001</v>
      </c>
      <c r="O755" s="66">
        <f>14.1308 * CHOOSE(CONTROL!$C$23, $C$12, 100%, $E$12)</f>
        <v>14.130800000000001</v>
      </c>
    </row>
    <row r="756" spans="1:15" ht="15">
      <c r="A756" s="13">
        <v>64163</v>
      </c>
      <c r="B756" s="65">
        <f>12.3886 * CHOOSE(CONTROL!$C$23, $C$12, 100%, $E$12)</f>
        <v>12.3886</v>
      </c>
      <c r="C756" s="65">
        <f>12.3886 * CHOOSE(CONTROL!$C$23, $C$12, 100%, $E$12)</f>
        <v>12.3886</v>
      </c>
      <c r="D756" s="65">
        <f>12.3943 * CHOOSE(CONTROL!$C$23, $C$12, 100%, $E$12)</f>
        <v>12.394299999999999</v>
      </c>
      <c r="E756" s="66">
        <f>14.0959 * CHOOSE(CONTROL!$C$23, $C$12, 100%, $E$12)</f>
        <v>14.0959</v>
      </c>
      <c r="F756" s="66">
        <f>14.0959 * CHOOSE(CONTROL!$C$23, $C$12, 100%, $E$12)</f>
        <v>14.0959</v>
      </c>
      <c r="G756" s="66">
        <f>14.1028 * CHOOSE(CONTROL!$C$23, $C$12, 100%, $E$12)</f>
        <v>14.1028</v>
      </c>
      <c r="H756" s="66">
        <f>26.2711* CHOOSE(CONTROL!$C$23, $C$12, 100%, $E$12)</f>
        <v>26.271100000000001</v>
      </c>
      <c r="I756" s="66">
        <f>26.278 * CHOOSE(CONTROL!$C$23, $C$12, 100%, $E$12)</f>
        <v>26.277999999999999</v>
      </c>
      <c r="J756" s="66">
        <f>26.2711 * CHOOSE(CONTROL!$C$23, $C$12, 100%, $E$12)</f>
        <v>26.271100000000001</v>
      </c>
      <c r="K756" s="66">
        <f>26.278 * CHOOSE(CONTROL!$C$23, $C$12, 100%, $E$12)</f>
        <v>26.277999999999999</v>
      </c>
      <c r="L756" s="66">
        <f>14.0959 * CHOOSE(CONTROL!$C$23, $C$12, 100%, $E$12)</f>
        <v>14.0959</v>
      </c>
      <c r="M756" s="66">
        <f>14.1028 * CHOOSE(CONTROL!$C$23, $C$12, 100%, $E$12)</f>
        <v>14.1028</v>
      </c>
      <c r="N756" s="66">
        <f>14.0959 * CHOOSE(CONTROL!$C$23, $C$12, 100%, $E$12)</f>
        <v>14.0959</v>
      </c>
      <c r="O756" s="66">
        <f>14.1028 * CHOOSE(CONTROL!$C$23, $C$12, 100%, $E$12)</f>
        <v>14.1028</v>
      </c>
    </row>
    <row r="757" spans="1:15" ht="15">
      <c r="A757" s="13">
        <v>64193</v>
      </c>
      <c r="B757" s="65">
        <f>12.4108 * CHOOSE(CONTROL!$C$23, $C$12, 100%, $E$12)</f>
        <v>12.4108</v>
      </c>
      <c r="C757" s="65">
        <f>12.4108 * CHOOSE(CONTROL!$C$23, $C$12, 100%, $E$12)</f>
        <v>12.4108</v>
      </c>
      <c r="D757" s="65">
        <f>12.4148 * CHOOSE(CONTROL!$C$23, $C$12, 100%, $E$12)</f>
        <v>12.4148</v>
      </c>
      <c r="E757" s="66">
        <f>14.1862 * CHOOSE(CONTROL!$C$23, $C$12, 100%, $E$12)</f>
        <v>14.186199999999999</v>
      </c>
      <c r="F757" s="66">
        <f>14.1862 * CHOOSE(CONTROL!$C$23, $C$12, 100%, $E$12)</f>
        <v>14.186199999999999</v>
      </c>
      <c r="G757" s="66">
        <f>14.1911 * CHOOSE(CONTROL!$C$23, $C$12, 100%, $E$12)</f>
        <v>14.1911</v>
      </c>
      <c r="H757" s="66">
        <f>26.3259* CHOOSE(CONTROL!$C$23, $C$12, 100%, $E$12)</f>
        <v>26.325900000000001</v>
      </c>
      <c r="I757" s="66">
        <f>26.3308 * CHOOSE(CONTROL!$C$23, $C$12, 100%, $E$12)</f>
        <v>26.3308</v>
      </c>
      <c r="J757" s="66">
        <f>26.3259 * CHOOSE(CONTROL!$C$23, $C$12, 100%, $E$12)</f>
        <v>26.325900000000001</v>
      </c>
      <c r="K757" s="66">
        <f>26.3308 * CHOOSE(CONTROL!$C$23, $C$12, 100%, $E$12)</f>
        <v>26.3308</v>
      </c>
      <c r="L757" s="66">
        <f>14.1862 * CHOOSE(CONTROL!$C$23, $C$12, 100%, $E$12)</f>
        <v>14.186199999999999</v>
      </c>
      <c r="M757" s="66">
        <f>14.1911 * CHOOSE(CONTROL!$C$23, $C$12, 100%, $E$12)</f>
        <v>14.1911</v>
      </c>
      <c r="N757" s="66">
        <f>14.1862 * CHOOSE(CONTROL!$C$23, $C$12, 100%, $E$12)</f>
        <v>14.186199999999999</v>
      </c>
      <c r="O757" s="66">
        <f>14.1911 * CHOOSE(CONTROL!$C$23, $C$12, 100%, $E$12)</f>
        <v>14.1911</v>
      </c>
    </row>
    <row r="758" spans="1:15" ht="15">
      <c r="A758" s="13">
        <v>64224</v>
      </c>
      <c r="B758" s="65">
        <f>12.4138 * CHOOSE(CONTROL!$C$23, $C$12, 100%, $E$12)</f>
        <v>12.4138</v>
      </c>
      <c r="C758" s="65">
        <f>12.4138 * CHOOSE(CONTROL!$C$23, $C$12, 100%, $E$12)</f>
        <v>12.4138</v>
      </c>
      <c r="D758" s="65">
        <f>12.4178 * CHOOSE(CONTROL!$C$23, $C$12, 100%, $E$12)</f>
        <v>12.4178</v>
      </c>
      <c r="E758" s="66">
        <f>14.2402 * CHOOSE(CONTROL!$C$23, $C$12, 100%, $E$12)</f>
        <v>14.2402</v>
      </c>
      <c r="F758" s="66">
        <f>14.2402 * CHOOSE(CONTROL!$C$23, $C$12, 100%, $E$12)</f>
        <v>14.2402</v>
      </c>
      <c r="G758" s="66">
        <f>14.2451 * CHOOSE(CONTROL!$C$23, $C$12, 100%, $E$12)</f>
        <v>14.245100000000001</v>
      </c>
      <c r="H758" s="66">
        <f>26.3807* CHOOSE(CONTROL!$C$23, $C$12, 100%, $E$12)</f>
        <v>26.380700000000001</v>
      </c>
      <c r="I758" s="66">
        <f>26.3856 * CHOOSE(CONTROL!$C$23, $C$12, 100%, $E$12)</f>
        <v>26.3856</v>
      </c>
      <c r="J758" s="66">
        <f>26.3807 * CHOOSE(CONTROL!$C$23, $C$12, 100%, $E$12)</f>
        <v>26.380700000000001</v>
      </c>
      <c r="K758" s="66">
        <f>26.3856 * CHOOSE(CONTROL!$C$23, $C$12, 100%, $E$12)</f>
        <v>26.3856</v>
      </c>
      <c r="L758" s="66">
        <f>14.2402 * CHOOSE(CONTROL!$C$23, $C$12, 100%, $E$12)</f>
        <v>14.2402</v>
      </c>
      <c r="M758" s="66">
        <f>14.2451 * CHOOSE(CONTROL!$C$23, $C$12, 100%, $E$12)</f>
        <v>14.245100000000001</v>
      </c>
      <c r="N758" s="66">
        <f>14.2402 * CHOOSE(CONTROL!$C$23, $C$12, 100%, $E$12)</f>
        <v>14.2402</v>
      </c>
      <c r="O758" s="66">
        <f>14.2451 * CHOOSE(CONTROL!$C$23, $C$12, 100%, $E$12)</f>
        <v>14.245100000000001</v>
      </c>
    </row>
    <row r="759" spans="1:15" ht="15">
      <c r="A759" s="13">
        <v>64254</v>
      </c>
      <c r="B759" s="65">
        <f>12.4138 * CHOOSE(CONTROL!$C$23, $C$12, 100%, $E$12)</f>
        <v>12.4138</v>
      </c>
      <c r="C759" s="65">
        <f>12.4138 * CHOOSE(CONTROL!$C$23, $C$12, 100%, $E$12)</f>
        <v>12.4138</v>
      </c>
      <c r="D759" s="65">
        <f>12.4178 * CHOOSE(CONTROL!$C$23, $C$12, 100%, $E$12)</f>
        <v>12.4178</v>
      </c>
      <c r="E759" s="66">
        <f>14.1105 * CHOOSE(CONTROL!$C$23, $C$12, 100%, $E$12)</f>
        <v>14.1105</v>
      </c>
      <c r="F759" s="66">
        <f>14.1105 * CHOOSE(CONTROL!$C$23, $C$12, 100%, $E$12)</f>
        <v>14.1105</v>
      </c>
      <c r="G759" s="66">
        <f>14.1154 * CHOOSE(CONTROL!$C$23, $C$12, 100%, $E$12)</f>
        <v>14.115399999999999</v>
      </c>
      <c r="H759" s="66">
        <f>26.4357* CHOOSE(CONTROL!$C$23, $C$12, 100%, $E$12)</f>
        <v>26.435700000000001</v>
      </c>
      <c r="I759" s="66">
        <f>26.4406 * CHOOSE(CONTROL!$C$23, $C$12, 100%, $E$12)</f>
        <v>26.4406</v>
      </c>
      <c r="J759" s="66">
        <f>26.4357 * CHOOSE(CONTROL!$C$23, $C$12, 100%, $E$12)</f>
        <v>26.435700000000001</v>
      </c>
      <c r="K759" s="66">
        <f>26.4406 * CHOOSE(CONTROL!$C$23, $C$12, 100%, $E$12)</f>
        <v>26.4406</v>
      </c>
      <c r="L759" s="66">
        <f>14.1105 * CHOOSE(CONTROL!$C$23, $C$12, 100%, $E$12)</f>
        <v>14.1105</v>
      </c>
      <c r="M759" s="66">
        <f>14.1154 * CHOOSE(CONTROL!$C$23, $C$12, 100%, $E$12)</f>
        <v>14.115399999999999</v>
      </c>
      <c r="N759" s="66">
        <f>14.1105 * CHOOSE(CONTROL!$C$23, $C$12, 100%, $E$12)</f>
        <v>14.1105</v>
      </c>
      <c r="O759" s="66">
        <f>14.1154 * CHOOSE(CONTROL!$C$23, $C$12, 100%, $E$12)</f>
        <v>14.115399999999999</v>
      </c>
    </row>
    <row r="760" spans="1:15" ht="15">
      <c r="A760" s="13">
        <v>64285</v>
      </c>
      <c r="B760" s="65">
        <f>12.4297 * CHOOSE(CONTROL!$C$23, $C$12, 100%, $E$12)</f>
        <v>12.4297</v>
      </c>
      <c r="C760" s="65">
        <f>12.4297 * CHOOSE(CONTROL!$C$23, $C$12, 100%, $E$12)</f>
        <v>12.4297</v>
      </c>
      <c r="D760" s="65">
        <f>12.4337 * CHOOSE(CONTROL!$C$23, $C$12, 100%, $E$12)</f>
        <v>12.4337</v>
      </c>
      <c r="E760" s="66">
        <f>14.2299 * CHOOSE(CONTROL!$C$23, $C$12, 100%, $E$12)</f>
        <v>14.229900000000001</v>
      </c>
      <c r="F760" s="66">
        <f>14.2299 * CHOOSE(CONTROL!$C$23, $C$12, 100%, $E$12)</f>
        <v>14.229900000000001</v>
      </c>
      <c r="G760" s="66">
        <f>14.2348 * CHOOSE(CONTROL!$C$23, $C$12, 100%, $E$12)</f>
        <v>14.2348</v>
      </c>
      <c r="H760" s="66">
        <f>26.3199* CHOOSE(CONTROL!$C$23, $C$12, 100%, $E$12)</f>
        <v>26.319900000000001</v>
      </c>
      <c r="I760" s="66">
        <f>26.3248 * CHOOSE(CONTROL!$C$23, $C$12, 100%, $E$12)</f>
        <v>26.3248</v>
      </c>
      <c r="J760" s="66">
        <f>26.3199 * CHOOSE(CONTROL!$C$23, $C$12, 100%, $E$12)</f>
        <v>26.319900000000001</v>
      </c>
      <c r="K760" s="66">
        <f>26.3248 * CHOOSE(CONTROL!$C$23, $C$12, 100%, $E$12)</f>
        <v>26.3248</v>
      </c>
      <c r="L760" s="66">
        <f>14.2299 * CHOOSE(CONTROL!$C$23, $C$12, 100%, $E$12)</f>
        <v>14.229900000000001</v>
      </c>
      <c r="M760" s="66">
        <f>14.2348 * CHOOSE(CONTROL!$C$23, $C$12, 100%, $E$12)</f>
        <v>14.2348</v>
      </c>
      <c r="N760" s="66">
        <f>14.2299 * CHOOSE(CONTROL!$C$23, $C$12, 100%, $E$12)</f>
        <v>14.229900000000001</v>
      </c>
      <c r="O760" s="66">
        <f>14.2348 * CHOOSE(CONTROL!$C$23, $C$12, 100%, $E$12)</f>
        <v>14.2348</v>
      </c>
    </row>
    <row r="761" spans="1:15" ht="15">
      <c r="A761" s="13">
        <v>64316</v>
      </c>
      <c r="B761" s="65">
        <f>12.4267 * CHOOSE(CONTROL!$C$23, $C$12, 100%, $E$12)</f>
        <v>12.4267</v>
      </c>
      <c r="C761" s="65">
        <f>12.4267 * CHOOSE(CONTROL!$C$23, $C$12, 100%, $E$12)</f>
        <v>12.4267</v>
      </c>
      <c r="D761" s="65">
        <f>12.4307 * CHOOSE(CONTROL!$C$23, $C$12, 100%, $E$12)</f>
        <v>12.4307</v>
      </c>
      <c r="E761" s="66">
        <f>13.9777 * CHOOSE(CONTROL!$C$23, $C$12, 100%, $E$12)</f>
        <v>13.9777</v>
      </c>
      <c r="F761" s="66">
        <f>13.9777 * CHOOSE(CONTROL!$C$23, $C$12, 100%, $E$12)</f>
        <v>13.9777</v>
      </c>
      <c r="G761" s="66">
        <f>13.9827 * CHOOSE(CONTROL!$C$23, $C$12, 100%, $E$12)</f>
        <v>13.982699999999999</v>
      </c>
      <c r="H761" s="66">
        <f>26.3747* CHOOSE(CONTROL!$C$23, $C$12, 100%, $E$12)</f>
        <v>26.374700000000001</v>
      </c>
      <c r="I761" s="66">
        <f>26.3797 * CHOOSE(CONTROL!$C$23, $C$12, 100%, $E$12)</f>
        <v>26.3797</v>
      </c>
      <c r="J761" s="66">
        <f>26.3747 * CHOOSE(CONTROL!$C$23, $C$12, 100%, $E$12)</f>
        <v>26.374700000000001</v>
      </c>
      <c r="K761" s="66">
        <f>26.3797 * CHOOSE(CONTROL!$C$23, $C$12, 100%, $E$12)</f>
        <v>26.3797</v>
      </c>
      <c r="L761" s="66">
        <f>13.9777 * CHOOSE(CONTROL!$C$23, $C$12, 100%, $E$12)</f>
        <v>13.9777</v>
      </c>
      <c r="M761" s="66">
        <f>13.9827 * CHOOSE(CONTROL!$C$23, $C$12, 100%, $E$12)</f>
        <v>13.982699999999999</v>
      </c>
      <c r="N761" s="66">
        <f>13.9777 * CHOOSE(CONTROL!$C$23, $C$12, 100%, $E$12)</f>
        <v>13.9777</v>
      </c>
      <c r="O761" s="66">
        <f>13.9827 * CHOOSE(CONTROL!$C$23, $C$12, 100%, $E$12)</f>
        <v>13.982699999999999</v>
      </c>
    </row>
    <row r="762" spans="1:15" ht="15">
      <c r="A762" s="13">
        <v>64345</v>
      </c>
      <c r="B762" s="65">
        <f>12.4237 * CHOOSE(CONTROL!$C$23, $C$12, 100%, $E$12)</f>
        <v>12.4237</v>
      </c>
      <c r="C762" s="65">
        <f>12.4237 * CHOOSE(CONTROL!$C$23, $C$12, 100%, $E$12)</f>
        <v>12.4237</v>
      </c>
      <c r="D762" s="65">
        <f>12.4277 * CHOOSE(CONTROL!$C$23, $C$12, 100%, $E$12)</f>
        <v>12.4277</v>
      </c>
      <c r="E762" s="66">
        <f>14.1727 * CHOOSE(CONTROL!$C$23, $C$12, 100%, $E$12)</f>
        <v>14.172700000000001</v>
      </c>
      <c r="F762" s="66">
        <f>14.1727 * CHOOSE(CONTROL!$C$23, $C$12, 100%, $E$12)</f>
        <v>14.172700000000001</v>
      </c>
      <c r="G762" s="66">
        <f>14.1777 * CHOOSE(CONTROL!$C$23, $C$12, 100%, $E$12)</f>
        <v>14.1777</v>
      </c>
      <c r="H762" s="66">
        <f>26.4297* CHOOSE(CONTROL!$C$23, $C$12, 100%, $E$12)</f>
        <v>26.4297</v>
      </c>
      <c r="I762" s="66">
        <f>26.4346 * CHOOSE(CONTROL!$C$23, $C$12, 100%, $E$12)</f>
        <v>26.4346</v>
      </c>
      <c r="J762" s="66">
        <f>26.4297 * CHOOSE(CONTROL!$C$23, $C$12, 100%, $E$12)</f>
        <v>26.4297</v>
      </c>
      <c r="K762" s="66">
        <f>26.4346 * CHOOSE(CONTROL!$C$23, $C$12, 100%, $E$12)</f>
        <v>26.4346</v>
      </c>
      <c r="L762" s="66">
        <f>14.1727 * CHOOSE(CONTROL!$C$23, $C$12, 100%, $E$12)</f>
        <v>14.172700000000001</v>
      </c>
      <c r="M762" s="66">
        <f>14.1777 * CHOOSE(CONTROL!$C$23, $C$12, 100%, $E$12)</f>
        <v>14.1777</v>
      </c>
      <c r="N762" s="66">
        <f>14.1727 * CHOOSE(CONTROL!$C$23, $C$12, 100%, $E$12)</f>
        <v>14.172700000000001</v>
      </c>
      <c r="O762" s="66">
        <f>14.1777 * CHOOSE(CONTROL!$C$23, $C$12, 100%, $E$12)</f>
        <v>14.1777</v>
      </c>
    </row>
    <row r="763" spans="1:15" ht="15">
      <c r="A763" s="13">
        <v>64376</v>
      </c>
      <c r="B763" s="65">
        <f>12.4284 * CHOOSE(CONTROL!$C$23, $C$12, 100%, $E$12)</f>
        <v>12.4284</v>
      </c>
      <c r="C763" s="65">
        <f>12.4284 * CHOOSE(CONTROL!$C$23, $C$12, 100%, $E$12)</f>
        <v>12.4284</v>
      </c>
      <c r="D763" s="65">
        <f>12.4324 * CHOOSE(CONTROL!$C$23, $C$12, 100%, $E$12)</f>
        <v>12.432399999999999</v>
      </c>
      <c r="E763" s="66">
        <f>14.3802 * CHOOSE(CONTROL!$C$23, $C$12, 100%, $E$12)</f>
        <v>14.3802</v>
      </c>
      <c r="F763" s="66">
        <f>14.3802 * CHOOSE(CONTROL!$C$23, $C$12, 100%, $E$12)</f>
        <v>14.3802</v>
      </c>
      <c r="G763" s="66">
        <f>14.3851 * CHOOSE(CONTROL!$C$23, $C$12, 100%, $E$12)</f>
        <v>14.3851</v>
      </c>
      <c r="H763" s="66">
        <f>26.4848* CHOOSE(CONTROL!$C$23, $C$12, 100%, $E$12)</f>
        <v>26.4848</v>
      </c>
      <c r="I763" s="66">
        <f>26.4897 * CHOOSE(CONTROL!$C$23, $C$12, 100%, $E$12)</f>
        <v>26.489699999999999</v>
      </c>
      <c r="J763" s="66">
        <f>26.4848 * CHOOSE(CONTROL!$C$23, $C$12, 100%, $E$12)</f>
        <v>26.4848</v>
      </c>
      <c r="K763" s="66">
        <f>26.4897 * CHOOSE(CONTROL!$C$23, $C$12, 100%, $E$12)</f>
        <v>26.489699999999999</v>
      </c>
      <c r="L763" s="66">
        <f>14.3802 * CHOOSE(CONTROL!$C$23, $C$12, 100%, $E$12)</f>
        <v>14.3802</v>
      </c>
      <c r="M763" s="66">
        <f>14.3851 * CHOOSE(CONTROL!$C$23, $C$12, 100%, $E$12)</f>
        <v>14.3851</v>
      </c>
      <c r="N763" s="66">
        <f>14.3802 * CHOOSE(CONTROL!$C$23, $C$12, 100%, $E$12)</f>
        <v>14.3802</v>
      </c>
      <c r="O763" s="66">
        <f>14.3851 * CHOOSE(CONTROL!$C$23, $C$12, 100%, $E$12)</f>
        <v>14.3851</v>
      </c>
    </row>
    <row r="764" spans="1:15" ht="15">
      <c r="A764" s="13">
        <v>64406</v>
      </c>
      <c r="B764" s="65">
        <f>12.4284 * CHOOSE(CONTROL!$C$23, $C$12, 100%, $E$12)</f>
        <v>12.4284</v>
      </c>
      <c r="C764" s="65">
        <f>12.4284 * CHOOSE(CONTROL!$C$23, $C$12, 100%, $E$12)</f>
        <v>12.4284</v>
      </c>
      <c r="D764" s="65">
        <f>12.434 * CHOOSE(CONTROL!$C$23, $C$12, 100%, $E$12)</f>
        <v>12.433999999999999</v>
      </c>
      <c r="E764" s="66">
        <f>14.4596 * CHOOSE(CONTROL!$C$23, $C$12, 100%, $E$12)</f>
        <v>14.4596</v>
      </c>
      <c r="F764" s="66">
        <f>14.4596 * CHOOSE(CONTROL!$C$23, $C$12, 100%, $E$12)</f>
        <v>14.4596</v>
      </c>
      <c r="G764" s="66">
        <f>14.4665 * CHOOSE(CONTROL!$C$23, $C$12, 100%, $E$12)</f>
        <v>14.4665</v>
      </c>
      <c r="H764" s="66">
        <f>26.5399* CHOOSE(CONTROL!$C$23, $C$12, 100%, $E$12)</f>
        <v>26.539899999999999</v>
      </c>
      <c r="I764" s="66">
        <f>26.5468 * CHOOSE(CONTROL!$C$23, $C$12, 100%, $E$12)</f>
        <v>26.546800000000001</v>
      </c>
      <c r="J764" s="66">
        <f>26.5399 * CHOOSE(CONTROL!$C$23, $C$12, 100%, $E$12)</f>
        <v>26.539899999999999</v>
      </c>
      <c r="K764" s="66">
        <f>26.5468 * CHOOSE(CONTROL!$C$23, $C$12, 100%, $E$12)</f>
        <v>26.546800000000001</v>
      </c>
      <c r="L764" s="66">
        <f>14.4596 * CHOOSE(CONTROL!$C$23, $C$12, 100%, $E$12)</f>
        <v>14.4596</v>
      </c>
      <c r="M764" s="66">
        <f>14.4665 * CHOOSE(CONTROL!$C$23, $C$12, 100%, $E$12)</f>
        <v>14.4665</v>
      </c>
      <c r="N764" s="66">
        <f>14.4596 * CHOOSE(CONTROL!$C$23, $C$12, 100%, $E$12)</f>
        <v>14.4596</v>
      </c>
      <c r="O764" s="66">
        <f>14.4665 * CHOOSE(CONTROL!$C$23, $C$12, 100%, $E$12)</f>
        <v>14.4665</v>
      </c>
    </row>
    <row r="765" spans="1:15" ht="15">
      <c r="A765" s="13">
        <v>64437</v>
      </c>
      <c r="B765" s="65">
        <f>12.4345 * CHOOSE(CONTROL!$C$23, $C$12, 100%, $E$12)</f>
        <v>12.4345</v>
      </c>
      <c r="C765" s="65">
        <f>12.4345 * CHOOSE(CONTROL!$C$23, $C$12, 100%, $E$12)</f>
        <v>12.4345</v>
      </c>
      <c r="D765" s="65">
        <f>12.4401 * CHOOSE(CONTROL!$C$23, $C$12, 100%, $E$12)</f>
        <v>12.440099999999999</v>
      </c>
      <c r="E765" s="66">
        <f>14.3844 * CHOOSE(CONTROL!$C$23, $C$12, 100%, $E$12)</f>
        <v>14.384399999999999</v>
      </c>
      <c r="F765" s="66">
        <f>14.3844 * CHOOSE(CONTROL!$C$23, $C$12, 100%, $E$12)</f>
        <v>14.384399999999999</v>
      </c>
      <c r="G765" s="66">
        <f>14.3913 * CHOOSE(CONTROL!$C$23, $C$12, 100%, $E$12)</f>
        <v>14.391299999999999</v>
      </c>
      <c r="H765" s="66">
        <f>26.5952* CHOOSE(CONTROL!$C$23, $C$12, 100%, $E$12)</f>
        <v>26.595199999999998</v>
      </c>
      <c r="I765" s="66">
        <f>26.6021 * CHOOSE(CONTROL!$C$23, $C$12, 100%, $E$12)</f>
        <v>26.6021</v>
      </c>
      <c r="J765" s="66">
        <f>26.5952 * CHOOSE(CONTROL!$C$23, $C$12, 100%, $E$12)</f>
        <v>26.595199999999998</v>
      </c>
      <c r="K765" s="66">
        <f>26.6021 * CHOOSE(CONTROL!$C$23, $C$12, 100%, $E$12)</f>
        <v>26.6021</v>
      </c>
      <c r="L765" s="66">
        <f>14.3844 * CHOOSE(CONTROL!$C$23, $C$12, 100%, $E$12)</f>
        <v>14.384399999999999</v>
      </c>
      <c r="M765" s="66">
        <f>14.3913 * CHOOSE(CONTROL!$C$23, $C$12, 100%, $E$12)</f>
        <v>14.391299999999999</v>
      </c>
      <c r="N765" s="66">
        <f>14.3844 * CHOOSE(CONTROL!$C$23, $C$12, 100%, $E$12)</f>
        <v>14.384399999999999</v>
      </c>
      <c r="O765" s="66">
        <f>14.3913 * CHOOSE(CONTROL!$C$23, $C$12, 100%, $E$12)</f>
        <v>14.391299999999999</v>
      </c>
    </row>
    <row r="766" spans="1:15" ht="15">
      <c r="A766" s="13">
        <v>64467</v>
      </c>
      <c r="B766" s="65">
        <f>12.6242 * CHOOSE(CONTROL!$C$23, $C$12, 100%, $E$12)</f>
        <v>12.6242</v>
      </c>
      <c r="C766" s="65">
        <f>12.6242 * CHOOSE(CONTROL!$C$23, $C$12, 100%, $E$12)</f>
        <v>12.6242</v>
      </c>
      <c r="D766" s="65">
        <f>12.6298 * CHOOSE(CONTROL!$C$23, $C$12, 100%, $E$12)</f>
        <v>12.629799999999999</v>
      </c>
      <c r="E766" s="66">
        <f>14.6145 * CHOOSE(CONTROL!$C$23, $C$12, 100%, $E$12)</f>
        <v>14.6145</v>
      </c>
      <c r="F766" s="66">
        <f>14.6145 * CHOOSE(CONTROL!$C$23, $C$12, 100%, $E$12)</f>
        <v>14.6145</v>
      </c>
      <c r="G766" s="66">
        <f>14.6214 * CHOOSE(CONTROL!$C$23, $C$12, 100%, $E$12)</f>
        <v>14.6214</v>
      </c>
      <c r="H766" s="66">
        <f>26.6506* CHOOSE(CONTROL!$C$23, $C$12, 100%, $E$12)</f>
        <v>26.650600000000001</v>
      </c>
      <c r="I766" s="66">
        <f>26.6575 * CHOOSE(CONTROL!$C$23, $C$12, 100%, $E$12)</f>
        <v>26.657499999999999</v>
      </c>
      <c r="J766" s="66">
        <f>26.6506 * CHOOSE(CONTROL!$C$23, $C$12, 100%, $E$12)</f>
        <v>26.650600000000001</v>
      </c>
      <c r="K766" s="66">
        <f>26.6575 * CHOOSE(CONTROL!$C$23, $C$12, 100%, $E$12)</f>
        <v>26.657499999999999</v>
      </c>
      <c r="L766" s="66">
        <f>14.6145 * CHOOSE(CONTROL!$C$23, $C$12, 100%, $E$12)</f>
        <v>14.6145</v>
      </c>
      <c r="M766" s="66">
        <f>14.6214 * CHOOSE(CONTROL!$C$23, $C$12, 100%, $E$12)</f>
        <v>14.6214</v>
      </c>
      <c r="N766" s="66">
        <f>14.6145 * CHOOSE(CONTROL!$C$23, $C$12, 100%, $E$12)</f>
        <v>14.6145</v>
      </c>
      <c r="O766" s="66">
        <f>14.6214 * CHOOSE(CONTROL!$C$23, $C$12, 100%, $E$12)</f>
        <v>14.6214</v>
      </c>
    </row>
    <row r="767" spans="1:15" ht="15">
      <c r="A767" s="13">
        <v>64498</v>
      </c>
      <c r="B767" s="65">
        <f>12.6309 * CHOOSE(CONTROL!$C$23, $C$12, 100%, $E$12)</f>
        <v>12.6309</v>
      </c>
      <c r="C767" s="65">
        <f>12.6309 * CHOOSE(CONTROL!$C$23, $C$12, 100%, $E$12)</f>
        <v>12.6309</v>
      </c>
      <c r="D767" s="65">
        <f>12.6365 * CHOOSE(CONTROL!$C$23, $C$12, 100%, $E$12)</f>
        <v>12.6365</v>
      </c>
      <c r="E767" s="66">
        <f>14.381 * CHOOSE(CONTROL!$C$23, $C$12, 100%, $E$12)</f>
        <v>14.381</v>
      </c>
      <c r="F767" s="66">
        <f>14.381 * CHOOSE(CONTROL!$C$23, $C$12, 100%, $E$12)</f>
        <v>14.381</v>
      </c>
      <c r="G767" s="66">
        <f>14.3879 * CHOOSE(CONTROL!$C$23, $C$12, 100%, $E$12)</f>
        <v>14.3879</v>
      </c>
      <c r="H767" s="66">
        <f>26.7061* CHOOSE(CONTROL!$C$23, $C$12, 100%, $E$12)</f>
        <v>26.706099999999999</v>
      </c>
      <c r="I767" s="66">
        <f>26.713 * CHOOSE(CONTROL!$C$23, $C$12, 100%, $E$12)</f>
        <v>26.713000000000001</v>
      </c>
      <c r="J767" s="66">
        <f>26.7061 * CHOOSE(CONTROL!$C$23, $C$12, 100%, $E$12)</f>
        <v>26.706099999999999</v>
      </c>
      <c r="K767" s="66">
        <f>26.713 * CHOOSE(CONTROL!$C$23, $C$12, 100%, $E$12)</f>
        <v>26.713000000000001</v>
      </c>
      <c r="L767" s="66">
        <f>14.381 * CHOOSE(CONTROL!$C$23, $C$12, 100%, $E$12)</f>
        <v>14.381</v>
      </c>
      <c r="M767" s="66">
        <f>14.3879 * CHOOSE(CONTROL!$C$23, $C$12, 100%, $E$12)</f>
        <v>14.3879</v>
      </c>
      <c r="N767" s="66">
        <f>14.381 * CHOOSE(CONTROL!$C$23, $C$12, 100%, $E$12)</f>
        <v>14.381</v>
      </c>
      <c r="O767" s="66">
        <f>14.3879 * CHOOSE(CONTROL!$C$23, $C$12, 100%, $E$12)</f>
        <v>14.3879</v>
      </c>
    </row>
    <row r="768" spans="1:15" ht="15">
      <c r="A768" s="13">
        <v>64529</v>
      </c>
      <c r="B768" s="65">
        <f>12.6278 * CHOOSE(CONTROL!$C$23, $C$12, 100%, $E$12)</f>
        <v>12.627800000000001</v>
      </c>
      <c r="C768" s="65">
        <f>12.6278 * CHOOSE(CONTROL!$C$23, $C$12, 100%, $E$12)</f>
        <v>12.627800000000001</v>
      </c>
      <c r="D768" s="65">
        <f>12.6334 * CHOOSE(CONTROL!$C$23, $C$12, 100%, $E$12)</f>
        <v>12.6334</v>
      </c>
      <c r="E768" s="66">
        <f>14.3524 * CHOOSE(CONTROL!$C$23, $C$12, 100%, $E$12)</f>
        <v>14.352399999999999</v>
      </c>
      <c r="F768" s="66">
        <f>14.3524 * CHOOSE(CONTROL!$C$23, $C$12, 100%, $E$12)</f>
        <v>14.352399999999999</v>
      </c>
      <c r="G768" s="66">
        <f>14.3593 * CHOOSE(CONTROL!$C$23, $C$12, 100%, $E$12)</f>
        <v>14.359299999999999</v>
      </c>
      <c r="H768" s="66">
        <f>26.7618* CHOOSE(CONTROL!$C$23, $C$12, 100%, $E$12)</f>
        <v>26.761800000000001</v>
      </c>
      <c r="I768" s="66">
        <f>26.7687 * CHOOSE(CONTROL!$C$23, $C$12, 100%, $E$12)</f>
        <v>26.768699999999999</v>
      </c>
      <c r="J768" s="66">
        <f>26.7618 * CHOOSE(CONTROL!$C$23, $C$12, 100%, $E$12)</f>
        <v>26.761800000000001</v>
      </c>
      <c r="K768" s="66">
        <f>26.7687 * CHOOSE(CONTROL!$C$23, $C$12, 100%, $E$12)</f>
        <v>26.768699999999999</v>
      </c>
      <c r="L768" s="66">
        <f>14.3524 * CHOOSE(CONTROL!$C$23, $C$12, 100%, $E$12)</f>
        <v>14.352399999999999</v>
      </c>
      <c r="M768" s="66">
        <f>14.3593 * CHOOSE(CONTROL!$C$23, $C$12, 100%, $E$12)</f>
        <v>14.359299999999999</v>
      </c>
      <c r="N768" s="66">
        <f>14.3524 * CHOOSE(CONTROL!$C$23, $C$12, 100%, $E$12)</f>
        <v>14.352399999999999</v>
      </c>
      <c r="O768" s="66">
        <f>14.3593 * CHOOSE(CONTROL!$C$23, $C$12, 100%, $E$12)</f>
        <v>14.359299999999999</v>
      </c>
    </row>
    <row r="769" spans="1:15" ht="15">
      <c r="A769" s="13">
        <v>64559</v>
      </c>
      <c r="B769" s="65">
        <f>12.6507 * CHOOSE(CONTROL!$C$23, $C$12, 100%, $E$12)</f>
        <v>12.650700000000001</v>
      </c>
      <c r="C769" s="65">
        <f>12.6507 * CHOOSE(CONTROL!$C$23, $C$12, 100%, $E$12)</f>
        <v>12.650700000000001</v>
      </c>
      <c r="D769" s="65">
        <f>12.6547 * CHOOSE(CONTROL!$C$23, $C$12, 100%, $E$12)</f>
        <v>12.6547</v>
      </c>
      <c r="E769" s="66">
        <f>14.4448 * CHOOSE(CONTROL!$C$23, $C$12, 100%, $E$12)</f>
        <v>14.444800000000001</v>
      </c>
      <c r="F769" s="66">
        <f>14.4448 * CHOOSE(CONTROL!$C$23, $C$12, 100%, $E$12)</f>
        <v>14.444800000000001</v>
      </c>
      <c r="G769" s="66">
        <f>14.4498 * CHOOSE(CONTROL!$C$23, $C$12, 100%, $E$12)</f>
        <v>14.4498</v>
      </c>
      <c r="H769" s="66">
        <f>26.8175* CHOOSE(CONTROL!$C$23, $C$12, 100%, $E$12)</f>
        <v>26.817499999999999</v>
      </c>
      <c r="I769" s="66">
        <f>26.8225 * CHOOSE(CONTROL!$C$23, $C$12, 100%, $E$12)</f>
        <v>26.822500000000002</v>
      </c>
      <c r="J769" s="66">
        <f>26.8175 * CHOOSE(CONTROL!$C$23, $C$12, 100%, $E$12)</f>
        <v>26.817499999999999</v>
      </c>
      <c r="K769" s="66">
        <f>26.8225 * CHOOSE(CONTROL!$C$23, $C$12, 100%, $E$12)</f>
        <v>26.822500000000002</v>
      </c>
      <c r="L769" s="66">
        <f>14.4448 * CHOOSE(CONTROL!$C$23, $C$12, 100%, $E$12)</f>
        <v>14.444800000000001</v>
      </c>
      <c r="M769" s="66">
        <f>14.4498 * CHOOSE(CONTROL!$C$23, $C$12, 100%, $E$12)</f>
        <v>14.4498</v>
      </c>
      <c r="N769" s="66">
        <f>14.4448 * CHOOSE(CONTROL!$C$23, $C$12, 100%, $E$12)</f>
        <v>14.444800000000001</v>
      </c>
      <c r="O769" s="66">
        <f>14.4498 * CHOOSE(CONTROL!$C$23, $C$12, 100%, $E$12)</f>
        <v>14.4498</v>
      </c>
    </row>
    <row r="770" spans="1:15" ht="15">
      <c r="A770" s="13">
        <v>64590</v>
      </c>
      <c r="B770" s="65">
        <f>12.6538 * CHOOSE(CONTROL!$C$23, $C$12, 100%, $E$12)</f>
        <v>12.6538</v>
      </c>
      <c r="C770" s="65">
        <f>12.6538 * CHOOSE(CONTROL!$C$23, $C$12, 100%, $E$12)</f>
        <v>12.6538</v>
      </c>
      <c r="D770" s="65">
        <f>12.6578 * CHOOSE(CONTROL!$C$23, $C$12, 100%, $E$12)</f>
        <v>12.6578</v>
      </c>
      <c r="E770" s="66">
        <f>14.4999 * CHOOSE(CONTROL!$C$23, $C$12, 100%, $E$12)</f>
        <v>14.4999</v>
      </c>
      <c r="F770" s="66">
        <f>14.4999 * CHOOSE(CONTROL!$C$23, $C$12, 100%, $E$12)</f>
        <v>14.4999</v>
      </c>
      <c r="G770" s="66">
        <f>14.5048 * CHOOSE(CONTROL!$C$23, $C$12, 100%, $E$12)</f>
        <v>14.504799999999999</v>
      </c>
      <c r="H770" s="66">
        <f>26.8734* CHOOSE(CONTROL!$C$23, $C$12, 100%, $E$12)</f>
        <v>26.8734</v>
      </c>
      <c r="I770" s="66">
        <f>26.8783 * CHOOSE(CONTROL!$C$23, $C$12, 100%, $E$12)</f>
        <v>26.878299999999999</v>
      </c>
      <c r="J770" s="66">
        <f>26.8734 * CHOOSE(CONTROL!$C$23, $C$12, 100%, $E$12)</f>
        <v>26.8734</v>
      </c>
      <c r="K770" s="66">
        <f>26.8783 * CHOOSE(CONTROL!$C$23, $C$12, 100%, $E$12)</f>
        <v>26.878299999999999</v>
      </c>
      <c r="L770" s="66">
        <f>14.4999 * CHOOSE(CONTROL!$C$23, $C$12, 100%, $E$12)</f>
        <v>14.4999</v>
      </c>
      <c r="M770" s="66">
        <f>14.5048 * CHOOSE(CONTROL!$C$23, $C$12, 100%, $E$12)</f>
        <v>14.504799999999999</v>
      </c>
      <c r="N770" s="66">
        <f>14.4999 * CHOOSE(CONTROL!$C$23, $C$12, 100%, $E$12)</f>
        <v>14.4999</v>
      </c>
      <c r="O770" s="66">
        <f>14.5048 * CHOOSE(CONTROL!$C$23, $C$12, 100%, $E$12)</f>
        <v>14.504799999999999</v>
      </c>
    </row>
    <row r="771" spans="1:15" ht="15">
      <c r="A771" s="13">
        <v>64620</v>
      </c>
      <c r="B771" s="65">
        <f>12.6538 * CHOOSE(CONTROL!$C$23, $C$12, 100%, $E$12)</f>
        <v>12.6538</v>
      </c>
      <c r="C771" s="65">
        <f>12.6538 * CHOOSE(CONTROL!$C$23, $C$12, 100%, $E$12)</f>
        <v>12.6538</v>
      </c>
      <c r="D771" s="65">
        <f>12.6578 * CHOOSE(CONTROL!$C$23, $C$12, 100%, $E$12)</f>
        <v>12.6578</v>
      </c>
      <c r="E771" s="66">
        <f>14.3676 * CHOOSE(CONTROL!$C$23, $C$12, 100%, $E$12)</f>
        <v>14.367599999999999</v>
      </c>
      <c r="F771" s="66">
        <f>14.3676 * CHOOSE(CONTROL!$C$23, $C$12, 100%, $E$12)</f>
        <v>14.367599999999999</v>
      </c>
      <c r="G771" s="66">
        <f>14.3725 * CHOOSE(CONTROL!$C$23, $C$12, 100%, $E$12)</f>
        <v>14.3725</v>
      </c>
      <c r="H771" s="66">
        <f>26.9294* CHOOSE(CONTROL!$C$23, $C$12, 100%, $E$12)</f>
        <v>26.929400000000001</v>
      </c>
      <c r="I771" s="66">
        <f>26.9343 * CHOOSE(CONTROL!$C$23, $C$12, 100%, $E$12)</f>
        <v>26.9343</v>
      </c>
      <c r="J771" s="66">
        <f>26.9294 * CHOOSE(CONTROL!$C$23, $C$12, 100%, $E$12)</f>
        <v>26.929400000000001</v>
      </c>
      <c r="K771" s="66">
        <f>26.9343 * CHOOSE(CONTROL!$C$23, $C$12, 100%, $E$12)</f>
        <v>26.9343</v>
      </c>
      <c r="L771" s="66">
        <f>14.3676 * CHOOSE(CONTROL!$C$23, $C$12, 100%, $E$12)</f>
        <v>14.367599999999999</v>
      </c>
      <c r="M771" s="66">
        <f>14.3725 * CHOOSE(CONTROL!$C$23, $C$12, 100%, $E$12)</f>
        <v>14.3725</v>
      </c>
      <c r="N771" s="66">
        <f>14.3676 * CHOOSE(CONTROL!$C$23, $C$12, 100%, $E$12)</f>
        <v>14.367599999999999</v>
      </c>
      <c r="O771" s="66">
        <f>14.3725 * CHOOSE(CONTROL!$C$23, $C$12, 100%, $E$12)</f>
        <v>14.3725</v>
      </c>
    </row>
    <row r="772" spans="1:15" ht="15">
      <c r="A772" s="13">
        <v>64651</v>
      </c>
      <c r="B772" s="65">
        <f>12.6653 * CHOOSE(CONTROL!$C$23, $C$12, 100%, $E$12)</f>
        <v>12.6653</v>
      </c>
      <c r="C772" s="65">
        <f>12.6653 * CHOOSE(CONTROL!$C$23, $C$12, 100%, $E$12)</f>
        <v>12.6653</v>
      </c>
      <c r="D772" s="65">
        <f>12.6693 * CHOOSE(CONTROL!$C$23, $C$12, 100%, $E$12)</f>
        <v>12.6693</v>
      </c>
      <c r="E772" s="66">
        <f>14.4846 * CHOOSE(CONTROL!$C$23, $C$12, 100%, $E$12)</f>
        <v>14.4846</v>
      </c>
      <c r="F772" s="66">
        <f>14.4846 * CHOOSE(CONTROL!$C$23, $C$12, 100%, $E$12)</f>
        <v>14.4846</v>
      </c>
      <c r="G772" s="66">
        <f>14.4895 * CHOOSE(CONTROL!$C$23, $C$12, 100%, $E$12)</f>
        <v>14.4895</v>
      </c>
      <c r="H772" s="66">
        <f>26.8025* CHOOSE(CONTROL!$C$23, $C$12, 100%, $E$12)</f>
        <v>26.802499999999998</v>
      </c>
      <c r="I772" s="66">
        <f>26.8074 * CHOOSE(CONTROL!$C$23, $C$12, 100%, $E$12)</f>
        <v>26.807400000000001</v>
      </c>
      <c r="J772" s="66">
        <f>26.8025 * CHOOSE(CONTROL!$C$23, $C$12, 100%, $E$12)</f>
        <v>26.802499999999998</v>
      </c>
      <c r="K772" s="66">
        <f>26.8074 * CHOOSE(CONTROL!$C$23, $C$12, 100%, $E$12)</f>
        <v>26.807400000000001</v>
      </c>
      <c r="L772" s="66">
        <f>14.4846 * CHOOSE(CONTROL!$C$23, $C$12, 100%, $E$12)</f>
        <v>14.4846</v>
      </c>
      <c r="M772" s="66">
        <f>14.4895 * CHOOSE(CONTROL!$C$23, $C$12, 100%, $E$12)</f>
        <v>14.4895</v>
      </c>
      <c r="N772" s="66">
        <f>14.4846 * CHOOSE(CONTROL!$C$23, $C$12, 100%, $E$12)</f>
        <v>14.4846</v>
      </c>
      <c r="O772" s="66">
        <f>14.4895 * CHOOSE(CONTROL!$C$23, $C$12, 100%, $E$12)</f>
        <v>14.4895</v>
      </c>
    </row>
    <row r="773" spans="1:15" ht="15">
      <c r="A773" s="13">
        <v>64682</v>
      </c>
      <c r="B773" s="65">
        <f>12.6623 * CHOOSE(CONTROL!$C$23, $C$12, 100%, $E$12)</f>
        <v>12.6623</v>
      </c>
      <c r="C773" s="65">
        <f>12.6623 * CHOOSE(CONTROL!$C$23, $C$12, 100%, $E$12)</f>
        <v>12.6623</v>
      </c>
      <c r="D773" s="65">
        <f>12.6663 * CHOOSE(CONTROL!$C$23, $C$12, 100%, $E$12)</f>
        <v>12.6663</v>
      </c>
      <c r="E773" s="66">
        <f>14.2275 * CHOOSE(CONTROL!$C$23, $C$12, 100%, $E$12)</f>
        <v>14.227499999999999</v>
      </c>
      <c r="F773" s="66">
        <f>14.2275 * CHOOSE(CONTROL!$C$23, $C$12, 100%, $E$12)</f>
        <v>14.227499999999999</v>
      </c>
      <c r="G773" s="66">
        <f>14.2324 * CHOOSE(CONTROL!$C$23, $C$12, 100%, $E$12)</f>
        <v>14.2324</v>
      </c>
      <c r="H773" s="66">
        <f>26.8583* CHOOSE(CONTROL!$C$23, $C$12, 100%, $E$12)</f>
        <v>26.8583</v>
      </c>
      <c r="I773" s="66">
        <f>26.8632 * CHOOSE(CONTROL!$C$23, $C$12, 100%, $E$12)</f>
        <v>26.863199999999999</v>
      </c>
      <c r="J773" s="66">
        <f>26.8583 * CHOOSE(CONTROL!$C$23, $C$12, 100%, $E$12)</f>
        <v>26.8583</v>
      </c>
      <c r="K773" s="66">
        <f>26.8632 * CHOOSE(CONTROL!$C$23, $C$12, 100%, $E$12)</f>
        <v>26.863199999999999</v>
      </c>
      <c r="L773" s="66">
        <f>14.2275 * CHOOSE(CONTROL!$C$23, $C$12, 100%, $E$12)</f>
        <v>14.227499999999999</v>
      </c>
      <c r="M773" s="66">
        <f>14.2324 * CHOOSE(CONTROL!$C$23, $C$12, 100%, $E$12)</f>
        <v>14.2324</v>
      </c>
      <c r="N773" s="66">
        <f>14.2275 * CHOOSE(CONTROL!$C$23, $C$12, 100%, $E$12)</f>
        <v>14.227499999999999</v>
      </c>
      <c r="O773" s="66">
        <f>14.2324 * CHOOSE(CONTROL!$C$23, $C$12, 100%, $E$12)</f>
        <v>14.2324</v>
      </c>
    </row>
    <row r="774" spans="1:15" ht="15">
      <c r="A774" s="13">
        <v>64710</v>
      </c>
      <c r="B774" s="65">
        <f>12.6592 * CHOOSE(CONTROL!$C$23, $C$12, 100%, $E$12)</f>
        <v>12.6592</v>
      </c>
      <c r="C774" s="65">
        <f>12.6592 * CHOOSE(CONTROL!$C$23, $C$12, 100%, $E$12)</f>
        <v>12.6592</v>
      </c>
      <c r="D774" s="65">
        <f>12.6632 * CHOOSE(CONTROL!$C$23, $C$12, 100%, $E$12)</f>
        <v>12.6632</v>
      </c>
      <c r="E774" s="66">
        <f>14.4264 * CHOOSE(CONTROL!$C$23, $C$12, 100%, $E$12)</f>
        <v>14.426399999999999</v>
      </c>
      <c r="F774" s="66">
        <f>14.4264 * CHOOSE(CONTROL!$C$23, $C$12, 100%, $E$12)</f>
        <v>14.426399999999999</v>
      </c>
      <c r="G774" s="66">
        <f>14.4313 * CHOOSE(CONTROL!$C$23, $C$12, 100%, $E$12)</f>
        <v>14.4313</v>
      </c>
      <c r="H774" s="66">
        <f>26.9143* CHOOSE(CONTROL!$C$23, $C$12, 100%, $E$12)</f>
        <v>26.914300000000001</v>
      </c>
      <c r="I774" s="66">
        <f>26.9192 * CHOOSE(CONTROL!$C$23, $C$12, 100%, $E$12)</f>
        <v>26.9192</v>
      </c>
      <c r="J774" s="66">
        <f>26.9143 * CHOOSE(CONTROL!$C$23, $C$12, 100%, $E$12)</f>
        <v>26.914300000000001</v>
      </c>
      <c r="K774" s="66">
        <f>26.9192 * CHOOSE(CONTROL!$C$23, $C$12, 100%, $E$12)</f>
        <v>26.9192</v>
      </c>
      <c r="L774" s="66">
        <f>14.4264 * CHOOSE(CONTROL!$C$23, $C$12, 100%, $E$12)</f>
        <v>14.426399999999999</v>
      </c>
      <c r="M774" s="66">
        <f>14.4313 * CHOOSE(CONTROL!$C$23, $C$12, 100%, $E$12)</f>
        <v>14.4313</v>
      </c>
      <c r="N774" s="66">
        <f>14.4264 * CHOOSE(CONTROL!$C$23, $C$12, 100%, $E$12)</f>
        <v>14.426399999999999</v>
      </c>
      <c r="O774" s="66">
        <f>14.4313 * CHOOSE(CONTROL!$C$23, $C$12, 100%, $E$12)</f>
        <v>14.4313</v>
      </c>
    </row>
    <row r="775" spans="1:15" ht="15">
      <c r="A775" s="13">
        <v>64741</v>
      </c>
      <c r="B775" s="65">
        <f>12.6642 * CHOOSE(CONTROL!$C$23, $C$12, 100%, $E$12)</f>
        <v>12.664199999999999</v>
      </c>
      <c r="C775" s="65">
        <f>12.6642 * CHOOSE(CONTROL!$C$23, $C$12, 100%, $E$12)</f>
        <v>12.664199999999999</v>
      </c>
      <c r="D775" s="65">
        <f>12.6682 * CHOOSE(CONTROL!$C$23, $C$12, 100%, $E$12)</f>
        <v>12.668200000000001</v>
      </c>
      <c r="E775" s="66">
        <f>14.638 * CHOOSE(CONTROL!$C$23, $C$12, 100%, $E$12)</f>
        <v>14.638</v>
      </c>
      <c r="F775" s="66">
        <f>14.638 * CHOOSE(CONTROL!$C$23, $C$12, 100%, $E$12)</f>
        <v>14.638</v>
      </c>
      <c r="G775" s="66">
        <f>14.643 * CHOOSE(CONTROL!$C$23, $C$12, 100%, $E$12)</f>
        <v>14.643000000000001</v>
      </c>
      <c r="H775" s="66">
        <f>26.9703* CHOOSE(CONTROL!$C$23, $C$12, 100%, $E$12)</f>
        <v>26.970300000000002</v>
      </c>
      <c r="I775" s="66">
        <f>26.9752 * CHOOSE(CONTROL!$C$23, $C$12, 100%, $E$12)</f>
        <v>26.975200000000001</v>
      </c>
      <c r="J775" s="66">
        <f>26.9703 * CHOOSE(CONTROL!$C$23, $C$12, 100%, $E$12)</f>
        <v>26.970300000000002</v>
      </c>
      <c r="K775" s="66">
        <f>26.9752 * CHOOSE(CONTROL!$C$23, $C$12, 100%, $E$12)</f>
        <v>26.975200000000001</v>
      </c>
      <c r="L775" s="66">
        <f>14.638 * CHOOSE(CONTROL!$C$23, $C$12, 100%, $E$12)</f>
        <v>14.638</v>
      </c>
      <c r="M775" s="66">
        <f>14.643 * CHOOSE(CONTROL!$C$23, $C$12, 100%, $E$12)</f>
        <v>14.643000000000001</v>
      </c>
      <c r="N775" s="66">
        <f>14.638 * CHOOSE(CONTROL!$C$23, $C$12, 100%, $E$12)</f>
        <v>14.638</v>
      </c>
      <c r="O775" s="66">
        <f>14.643 * CHOOSE(CONTROL!$C$23, $C$12, 100%, $E$12)</f>
        <v>14.643000000000001</v>
      </c>
    </row>
    <row r="776" spans="1:15" ht="15">
      <c r="A776" s="13">
        <v>64771</v>
      </c>
      <c r="B776" s="65">
        <f>12.6642 * CHOOSE(CONTROL!$C$23, $C$12, 100%, $E$12)</f>
        <v>12.664199999999999</v>
      </c>
      <c r="C776" s="65">
        <f>12.6642 * CHOOSE(CONTROL!$C$23, $C$12, 100%, $E$12)</f>
        <v>12.664199999999999</v>
      </c>
      <c r="D776" s="65">
        <f>12.6698 * CHOOSE(CONTROL!$C$23, $C$12, 100%, $E$12)</f>
        <v>12.6698</v>
      </c>
      <c r="E776" s="66">
        <f>14.719 * CHOOSE(CONTROL!$C$23, $C$12, 100%, $E$12)</f>
        <v>14.718999999999999</v>
      </c>
      <c r="F776" s="66">
        <f>14.719 * CHOOSE(CONTROL!$C$23, $C$12, 100%, $E$12)</f>
        <v>14.718999999999999</v>
      </c>
      <c r="G776" s="66">
        <f>14.7259 * CHOOSE(CONTROL!$C$23, $C$12, 100%, $E$12)</f>
        <v>14.725899999999999</v>
      </c>
      <c r="H776" s="66">
        <f>27.0265* CHOOSE(CONTROL!$C$23, $C$12, 100%, $E$12)</f>
        <v>27.026499999999999</v>
      </c>
      <c r="I776" s="66">
        <f>27.0334 * CHOOSE(CONTROL!$C$23, $C$12, 100%, $E$12)</f>
        <v>27.0334</v>
      </c>
      <c r="J776" s="66">
        <f>27.0265 * CHOOSE(CONTROL!$C$23, $C$12, 100%, $E$12)</f>
        <v>27.026499999999999</v>
      </c>
      <c r="K776" s="66">
        <f>27.0334 * CHOOSE(CONTROL!$C$23, $C$12, 100%, $E$12)</f>
        <v>27.0334</v>
      </c>
      <c r="L776" s="66">
        <f>14.719 * CHOOSE(CONTROL!$C$23, $C$12, 100%, $E$12)</f>
        <v>14.718999999999999</v>
      </c>
      <c r="M776" s="66">
        <f>14.7259 * CHOOSE(CONTROL!$C$23, $C$12, 100%, $E$12)</f>
        <v>14.725899999999999</v>
      </c>
      <c r="N776" s="66">
        <f>14.719 * CHOOSE(CONTROL!$C$23, $C$12, 100%, $E$12)</f>
        <v>14.718999999999999</v>
      </c>
      <c r="O776" s="66">
        <f>14.7259 * CHOOSE(CONTROL!$C$23, $C$12, 100%, $E$12)</f>
        <v>14.725899999999999</v>
      </c>
    </row>
    <row r="777" spans="1:15" ht="15">
      <c r="A777" s="13">
        <v>64802</v>
      </c>
      <c r="B777" s="65">
        <f>12.6702 * CHOOSE(CONTROL!$C$23, $C$12, 100%, $E$12)</f>
        <v>12.670199999999999</v>
      </c>
      <c r="C777" s="65">
        <f>12.6702 * CHOOSE(CONTROL!$C$23, $C$12, 100%, $E$12)</f>
        <v>12.670199999999999</v>
      </c>
      <c r="D777" s="65">
        <f>12.6759 * CHOOSE(CONTROL!$C$23, $C$12, 100%, $E$12)</f>
        <v>12.6759</v>
      </c>
      <c r="E777" s="66">
        <f>14.6423 * CHOOSE(CONTROL!$C$23, $C$12, 100%, $E$12)</f>
        <v>14.642300000000001</v>
      </c>
      <c r="F777" s="66">
        <f>14.6423 * CHOOSE(CONTROL!$C$23, $C$12, 100%, $E$12)</f>
        <v>14.642300000000001</v>
      </c>
      <c r="G777" s="66">
        <f>14.6492 * CHOOSE(CONTROL!$C$23, $C$12, 100%, $E$12)</f>
        <v>14.6492</v>
      </c>
      <c r="H777" s="66">
        <f>27.0828* CHOOSE(CONTROL!$C$23, $C$12, 100%, $E$12)</f>
        <v>27.082799999999999</v>
      </c>
      <c r="I777" s="66">
        <f>27.0897 * CHOOSE(CONTROL!$C$23, $C$12, 100%, $E$12)</f>
        <v>27.089700000000001</v>
      </c>
      <c r="J777" s="66">
        <f>27.0828 * CHOOSE(CONTROL!$C$23, $C$12, 100%, $E$12)</f>
        <v>27.082799999999999</v>
      </c>
      <c r="K777" s="66">
        <f>27.0897 * CHOOSE(CONTROL!$C$23, $C$12, 100%, $E$12)</f>
        <v>27.089700000000001</v>
      </c>
      <c r="L777" s="66">
        <f>14.6423 * CHOOSE(CONTROL!$C$23, $C$12, 100%, $E$12)</f>
        <v>14.642300000000001</v>
      </c>
      <c r="M777" s="66">
        <f>14.6492 * CHOOSE(CONTROL!$C$23, $C$12, 100%, $E$12)</f>
        <v>14.6492</v>
      </c>
      <c r="N777" s="66">
        <f>14.6423 * CHOOSE(CONTROL!$C$23, $C$12, 100%, $E$12)</f>
        <v>14.642300000000001</v>
      </c>
      <c r="O777" s="66">
        <f>14.6492 * CHOOSE(CONTROL!$C$23, $C$12, 100%, $E$12)</f>
        <v>14.6492</v>
      </c>
    </row>
    <row r="778" spans="1:15" ht="15">
      <c r="A778" s="13">
        <v>64832</v>
      </c>
      <c r="B778" s="65">
        <f>12.8633 * CHOOSE(CONTROL!$C$23, $C$12, 100%, $E$12)</f>
        <v>12.863300000000001</v>
      </c>
      <c r="C778" s="65">
        <f>12.8633 * CHOOSE(CONTROL!$C$23, $C$12, 100%, $E$12)</f>
        <v>12.863300000000001</v>
      </c>
      <c r="D778" s="65">
        <f>12.869 * CHOOSE(CONTROL!$C$23, $C$12, 100%, $E$12)</f>
        <v>12.869</v>
      </c>
      <c r="E778" s="66">
        <f>14.8762 * CHOOSE(CONTROL!$C$23, $C$12, 100%, $E$12)</f>
        <v>14.876200000000001</v>
      </c>
      <c r="F778" s="66">
        <f>14.8762 * CHOOSE(CONTROL!$C$23, $C$12, 100%, $E$12)</f>
        <v>14.876200000000001</v>
      </c>
      <c r="G778" s="66">
        <f>14.8831 * CHOOSE(CONTROL!$C$23, $C$12, 100%, $E$12)</f>
        <v>14.883100000000001</v>
      </c>
      <c r="H778" s="66">
        <f>27.1392* CHOOSE(CONTROL!$C$23, $C$12, 100%, $E$12)</f>
        <v>27.139199999999999</v>
      </c>
      <c r="I778" s="66">
        <f>27.1461 * CHOOSE(CONTROL!$C$23, $C$12, 100%, $E$12)</f>
        <v>27.146100000000001</v>
      </c>
      <c r="J778" s="66">
        <f>27.1392 * CHOOSE(CONTROL!$C$23, $C$12, 100%, $E$12)</f>
        <v>27.139199999999999</v>
      </c>
      <c r="K778" s="66">
        <f>27.1461 * CHOOSE(CONTROL!$C$23, $C$12, 100%, $E$12)</f>
        <v>27.146100000000001</v>
      </c>
      <c r="L778" s="66">
        <f>14.8762 * CHOOSE(CONTROL!$C$23, $C$12, 100%, $E$12)</f>
        <v>14.876200000000001</v>
      </c>
      <c r="M778" s="66">
        <f>14.8831 * CHOOSE(CONTROL!$C$23, $C$12, 100%, $E$12)</f>
        <v>14.883100000000001</v>
      </c>
      <c r="N778" s="66">
        <f>14.8762 * CHOOSE(CONTROL!$C$23, $C$12, 100%, $E$12)</f>
        <v>14.876200000000001</v>
      </c>
      <c r="O778" s="66">
        <f>14.8831 * CHOOSE(CONTROL!$C$23, $C$12, 100%, $E$12)</f>
        <v>14.883100000000001</v>
      </c>
    </row>
    <row r="779" spans="1:15" ht="15">
      <c r="A779" s="13">
        <v>64863</v>
      </c>
      <c r="B779" s="65">
        <f>12.87 * CHOOSE(CONTROL!$C$23, $C$12, 100%, $E$12)</f>
        <v>12.87</v>
      </c>
      <c r="C779" s="65">
        <f>12.87 * CHOOSE(CONTROL!$C$23, $C$12, 100%, $E$12)</f>
        <v>12.87</v>
      </c>
      <c r="D779" s="65">
        <f>12.8757 * CHOOSE(CONTROL!$C$23, $C$12, 100%, $E$12)</f>
        <v>12.8757</v>
      </c>
      <c r="E779" s="66">
        <f>14.6381 * CHOOSE(CONTROL!$C$23, $C$12, 100%, $E$12)</f>
        <v>14.6381</v>
      </c>
      <c r="F779" s="66">
        <f>14.6381 * CHOOSE(CONTROL!$C$23, $C$12, 100%, $E$12)</f>
        <v>14.6381</v>
      </c>
      <c r="G779" s="66">
        <f>14.645 * CHOOSE(CONTROL!$C$23, $C$12, 100%, $E$12)</f>
        <v>14.645</v>
      </c>
      <c r="H779" s="66">
        <f>27.1958* CHOOSE(CONTROL!$C$23, $C$12, 100%, $E$12)</f>
        <v>27.195799999999998</v>
      </c>
      <c r="I779" s="66">
        <f>27.2027 * CHOOSE(CONTROL!$C$23, $C$12, 100%, $E$12)</f>
        <v>27.2027</v>
      </c>
      <c r="J779" s="66">
        <f>27.1958 * CHOOSE(CONTROL!$C$23, $C$12, 100%, $E$12)</f>
        <v>27.195799999999998</v>
      </c>
      <c r="K779" s="66">
        <f>27.2027 * CHOOSE(CONTROL!$C$23, $C$12, 100%, $E$12)</f>
        <v>27.2027</v>
      </c>
      <c r="L779" s="66">
        <f>14.6381 * CHOOSE(CONTROL!$C$23, $C$12, 100%, $E$12)</f>
        <v>14.6381</v>
      </c>
      <c r="M779" s="66">
        <f>14.645 * CHOOSE(CONTROL!$C$23, $C$12, 100%, $E$12)</f>
        <v>14.645</v>
      </c>
      <c r="N779" s="66">
        <f>14.6381 * CHOOSE(CONTROL!$C$23, $C$12, 100%, $E$12)</f>
        <v>14.6381</v>
      </c>
      <c r="O779" s="66">
        <f>14.645 * CHOOSE(CONTROL!$C$23, $C$12, 100%, $E$12)</f>
        <v>14.645</v>
      </c>
    </row>
    <row r="780" spans="1:15" ht="15">
      <c r="A780" s="13">
        <v>64894</v>
      </c>
      <c r="B780" s="65">
        <f>12.867 * CHOOSE(CONTROL!$C$23, $C$12, 100%, $E$12)</f>
        <v>12.867000000000001</v>
      </c>
      <c r="C780" s="65">
        <f>12.867 * CHOOSE(CONTROL!$C$23, $C$12, 100%, $E$12)</f>
        <v>12.867000000000001</v>
      </c>
      <c r="D780" s="65">
        <f>12.8726 * CHOOSE(CONTROL!$C$23, $C$12, 100%, $E$12)</f>
        <v>12.8726</v>
      </c>
      <c r="E780" s="66">
        <f>14.609 * CHOOSE(CONTROL!$C$23, $C$12, 100%, $E$12)</f>
        <v>14.609</v>
      </c>
      <c r="F780" s="66">
        <f>14.609 * CHOOSE(CONTROL!$C$23, $C$12, 100%, $E$12)</f>
        <v>14.609</v>
      </c>
      <c r="G780" s="66">
        <f>14.6158 * CHOOSE(CONTROL!$C$23, $C$12, 100%, $E$12)</f>
        <v>14.6158</v>
      </c>
      <c r="H780" s="66">
        <f>27.2524* CHOOSE(CONTROL!$C$23, $C$12, 100%, $E$12)</f>
        <v>27.252400000000002</v>
      </c>
      <c r="I780" s="66">
        <f>27.2593 * CHOOSE(CONTROL!$C$23, $C$12, 100%, $E$12)</f>
        <v>27.2593</v>
      </c>
      <c r="J780" s="66">
        <f>27.2524 * CHOOSE(CONTROL!$C$23, $C$12, 100%, $E$12)</f>
        <v>27.252400000000002</v>
      </c>
      <c r="K780" s="66">
        <f>27.2593 * CHOOSE(CONTROL!$C$23, $C$12, 100%, $E$12)</f>
        <v>27.2593</v>
      </c>
      <c r="L780" s="66">
        <f>14.609 * CHOOSE(CONTROL!$C$23, $C$12, 100%, $E$12)</f>
        <v>14.609</v>
      </c>
      <c r="M780" s="66">
        <f>14.6158 * CHOOSE(CONTROL!$C$23, $C$12, 100%, $E$12)</f>
        <v>14.6158</v>
      </c>
      <c r="N780" s="66">
        <f>14.609 * CHOOSE(CONTROL!$C$23, $C$12, 100%, $E$12)</f>
        <v>14.609</v>
      </c>
      <c r="O780" s="66">
        <f>14.6158 * CHOOSE(CONTROL!$C$23, $C$12, 100%, $E$12)</f>
        <v>14.6158</v>
      </c>
    </row>
    <row r="781" spans="1:15" ht="15">
      <c r="A781" s="13">
        <v>64924</v>
      </c>
      <c r="B781" s="65">
        <f>12.8907 * CHOOSE(CONTROL!$C$23, $C$12, 100%, $E$12)</f>
        <v>12.890700000000001</v>
      </c>
      <c r="C781" s="65">
        <f>12.8907 * CHOOSE(CONTROL!$C$23, $C$12, 100%, $E$12)</f>
        <v>12.890700000000001</v>
      </c>
      <c r="D781" s="65">
        <f>12.8947 * CHOOSE(CONTROL!$C$23, $C$12, 100%, $E$12)</f>
        <v>12.8947</v>
      </c>
      <c r="E781" s="66">
        <f>14.7035 * CHOOSE(CONTROL!$C$23, $C$12, 100%, $E$12)</f>
        <v>14.7035</v>
      </c>
      <c r="F781" s="66">
        <f>14.7035 * CHOOSE(CONTROL!$C$23, $C$12, 100%, $E$12)</f>
        <v>14.7035</v>
      </c>
      <c r="G781" s="66">
        <f>14.7084 * CHOOSE(CONTROL!$C$23, $C$12, 100%, $E$12)</f>
        <v>14.708399999999999</v>
      </c>
      <c r="H781" s="66">
        <f>27.3092* CHOOSE(CONTROL!$C$23, $C$12, 100%, $E$12)</f>
        <v>27.309200000000001</v>
      </c>
      <c r="I781" s="66">
        <f>27.3141 * CHOOSE(CONTROL!$C$23, $C$12, 100%, $E$12)</f>
        <v>27.3141</v>
      </c>
      <c r="J781" s="66">
        <f>27.3092 * CHOOSE(CONTROL!$C$23, $C$12, 100%, $E$12)</f>
        <v>27.309200000000001</v>
      </c>
      <c r="K781" s="66">
        <f>27.3141 * CHOOSE(CONTROL!$C$23, $C$12, 100%, $E$12)</f>
        <v>27.3141</v>
      </c>
      <c r="L781" s="66">
        <f>14.7035 * CHOOSE(CONTROL!$C$23, $C$12, 100%, $E$12)</f>
        <v>14.7035</v>
      </c>
      <c r="M781" s="66">
        <f>14.7084 * CHOOSE(CONTROL!$C$23, $C$12, 100%, $E$12)</f>
        <v>14.708399999999999</v>
      </c>
      <c r="N781" s="66">
        <f>14.7035 * CHOOSE(CONTROL!$C$23, $C$12, 100%, $E$12)</f>
        <v>14.7035</v>
      </c>
      <c r="O781" s="66">
        <f>14.7084 * CHOOSE(CONTROL!$C$23, $C$12, 100%, $E$12)</f>
        <v>14.708399999999999</v>
      </c>
    </row>
    <row r="782" spans="1:15" ht="15">
      <c r="A782" s="13">
        <v>64955</v>
      </c>
      <c r="B782" s="65">
        <f>12.8937 * CHOOSE(CONTROL!$C$23, $C$12, 100%, $E$12)</f>
        <v>12.893700000000001</v>
      </c>
      <c r="C782" s="65">
        <f>12.8937 * CHOOSE(CONTROL!$C$23, $C$12, 100%, $E$12)</f>
        <v>12.893700000000001</v>
      </c>
      <c r="D782" s="65">
        <f>12.8977 * CHOOSE(CONTROL!$C$23, $C$12, 100%, $E$12)</f>
        <v>12.8977</v>
      </c>
      <c r="E782" s="66">
        <f>14.7596 * CHOOSE(CONTROL!$C$23, $C$12, 100%, $E$12)</f>
        <v>14.759600000000001</v>
      </c>
      <c r="F782" s="66">
        <f>14.7596 * CHOOSE(CONTROL!$C$23, $C$12, 100%, $E$12)</f>
        <v>14.759600000000001</v>
      </c>
      <c r="G782" s="66">
        <f>14.7645 * CHOOSE(CONTROL!$C$23, $C$12, 100%, $E$12)</f>
        <v>14.7645</v>
      </c>
      <c r="H782" s="66">
        <f>27.3661* CHOOSE(CONTROL!$C$23, $C$12, 100%, $E$12)</f>
        <v>27.366099999999999</v>
      </c>
      <c r="I782" s="66">
        <f>27.371 * CHOOSE(CONTROL!$C$23, $C$12, 100%, $E$12)</f>
        <v>27.370999999999999</v>
      </c>
      <c r="J782" s="66">
        <f>27.3661 * CHOOSE(CONTROL!$C$23, $C$12, 100%, $E$12)</f>
        <v>27.366099999999999</v>
      </c>
      <c r="K782" s="66">
        <f>27.371 * CHOOSE(CONTROL!$C$23, $C$12, 100%, $E$12)</f>
        <v>27.370999999999999</v>
      </c>
      <c r="L782" s="66">
        <f>14.7596 * CHOOSE(CONTROL!$C$23, $C$12, 100%, $E$12)</f>
        <v>14.759600000000001</v>
      </c>
      <c r="M782" s="66">
        <f>14.7645 * CHOOSE(CONTROL!$C$23, $C$12, 100%, $E$12)</f>
        <v>14.7645</v>
      </c>
      <c r="N782" s="66">
        <f>14.7596 * CHOOSE(CONTROL!$C$23, $C$12, 100%, $E$12)</f>
        <v>14.759600000000001</v>
      </c>
      <c r="O782" s="66">
        <f>14.7645 * CHOOSE(CONTROL!$C$23, $C$12, 100%, $E$12)</f>
        <v>14.7645</v>
      </c>
    </row>
    <row r="783" spans="1:15" ht="15">
      <c r="A783" s="13">
        <v>64985</v>
      </c>
      <c r="B783" s="65">
        <f>12.8937 * CHOOSE(CONTROL!$C$23, $C$12, 100%, $E$12)</f>
        <v>12.893700000000001</v>
      </c>
      <c r="C783" s="65">
        <f>12.8937 * CHOOSE(CONTROL!$C$23, $C$12, 100%, $E$12)</f>
        <v>12.893700000000001</v>
      </c>
      <c r="D783" s="65">
        <f>12.8977 * CHOOSE(CONTROL!$C$23, $C$12, 100%, $E$12)</f>
        <v>12.8977</v>
      </c>
      <c r="E783" s="66">
        <f>14.6246 * CHOOSE(CONTROL!$C$23, $C$12, 100%, $E$12)</f>
        <v>14.624599999999999</v>
      </c>
      <c r="F783" s="66">
        <f>14.6246 * CHOOSE(CONTROL!$C$23, $C$12, 100%, $E$12)</f>
        <v>14.624599999999999</v>
      </c>
      <c r="G783" s="66">
        <f>14.6296 * CHOOSE(CONTROL!$C$23, $C$12, 100%, $E$12)</f>
        <v>14.6296</v>
      </c>
      <c r="H783" s="66">
        <f>27.4231* CHOOSE(CONTROL!$C$23, $C$12, 100%, $E$12)</f>
        <v>27.423100000000002</v>
      </c>
      <c r="I783" s="66">
        <f>27.428 * CHOOSE(CONTROL!$C$23, $C$12, 100%, $E$12)</f>
        <v>27.428000000000001</v>
      </c>
      <c r="J783" s="66">
        <f>27.4231 * CHOOSE(CONTROL!$C$23, $C$12, 100%, $E$12)</f>
        <v>27.423100000000002</v>
      </c>
      <c r="K783" s="66">
        <f>27.428 * CHOOSE(CONTROL!$C$23, $C$12, 100%, $E$12)</f>
        <v>27.428000000000001</v>
      </c>
      <c r="L783" s="66">
        <f>14.6246 * CHOOSE(CONTROL!$C$23, $C$12, 100%, $E$12)</f>
        <v>14.624599999999999</v>
      </c>
      <c r="M783" s="66">
        <f>14.6296 * CHOOSE(CONTROL!$C$23, $C$12, 100%, $E$12)</f>
        <v>14.6296</v>
      </c>
      <c r="N783" s="66">
        <f>14.6246 * CHOOSE(CONTROL!$C$23, $C$12, 100%, $E$12)</f>
        <v>14.624599999999999</v>
      </c>
      <c r="O783" s="66">
        <f>14.6296 * CHOOSE(CONTROL!$C$23, $C$12, 100%, $E$12)</f>
        <v>14.6296</v>
      </c>
    </row>
    <row r="784" spans="1:15" ht="15">
      <c r="A784" s="13">
        <v>65016</v>
      </c>
      <c r="B784" s="65">
        <f>12.9009 * CHOOSE(CONTROL!$C$23, $C$12, 100%, $E$12)</f>
        <v>12.9009</v>
      </c>
      <c r="C784" s="65">
        <f>12.9009 * CHOOSE(CONTROL!$C$23, $C$12, 100%, $E$12)</f>
        <v>12.9009</v>
      </c>
      <c r="D784" s="65">
        <f>12.9049 * CHOOSE(CONTROL!$C$23, $C$12, 100%, $E$12)</f>
        <v>12.9049</v>
      </c>
      <c r="E784" s="66">
        <f>14.7393 * CHOOSE(CONTROL!$C$23, $C$12, 100%, $E$12)</f>
        <v>14.7393</v>
      </c>
      <c r="F784" s="66">
        <f>14.7393 * CHOOSE(CONTROL!$C$23, $C$12, 100%, $E$12)</f>
        <v>14.7393</v>
      </c>
      <c r="G784" s="66">
        <f>14.7443 * CHOOSE(CONTROL!$C$23, $C$12, 100%, $E$12)</f>
        <v>14.744300000000001</v>
      </c>
      <c r="H784" s="66">
        <f>27.285* CHOOSE(CONTROL!$C$23, $C$12, 100%, $E$12)</f>
        <v>27.285</v>
      </c>
      <c r="I784" s="66">
        <f>27.2899 * CHOOSE(CONTROL!$C$23, $C$12, 100%, $E$12)</f>
        <v>27.289899999999999</v>
      </c>
      <c r="J784" s="66">
        <f>27.285 * CHOOSE(CONTROL!$C$23, $C$12, 100%, $E$12)</f>
        <v>27.285</v>
      </c>
      <c r="K784" s="66">
        <f>27.2899 * CHOOSE(CONTROL!$C$23, $C$12, 100%, $E$12)</f>
        <v>27.289899999999999</v>
      </c>
      <c r="L784" s="66">
        <f>14.7393 * CHOOSE(CONTROL!$C$23, $C$12, 100%, $E$12)</f>
        <v>14.7393</v>
      </c>
      <c r="M784" s="66">
        <f>14.7443 * CHOOSE(CONTROL!$C$23, $C$12, 100%, $E$12)</f>
        <v>14.744300000000001</v>
      </c>
      <c r="N784" s="66">
        <f>14.7393 * CHOOSE(CONTROL!$C$23, $C$12, 100%, $E$12)</f>
        <v>14.7393</v>
      </c>
      <c r="O784" s="66">
        <f>14.7443 * CHOOSE(CONTROL!$C$23, $C$12, 100%, $E$12)</f>
        <v>14.744300000000001</v>
      </c>
    </row>
    <row r="785" spans="1:15" ht="15">
      <c r="A785" s="13">
        <v>65047</v>
      </c>
      <c r="B785" s="65">
        <f>12.8978 * CHOOSE(CONTROL!$C$23, $C$12, 100%, $E$12)</f>
        <v>12.8978</v>
      </c>
      <c r="C785" s="65">
        <f>12.8978 * CHOOSE(CONTROL!$C$23, $C$12, 100%, $E$12)</f>
        <v>12.8978</v>
      </c>
      <c r="D785" s="65">
        <f>12.9018 * CHOOSE(CONTROL!$C$23, $C$12, 100%, $E$12)</f>
        <v>12.9018</v>
      </c>
      <c r="E785" s="66">
        <f>14.4773 * CHOOSE(CONTROL!$C$23, $C$12, 100%, $E$12)</f>
        <v>14.4773</v>
      </c>
      <c r="F785" s="66">
        <f>14.4773 * CHOOSE(CONTROL!$C$23, $C$12, 100%, $E$12)</f>
        <v>14.4773</v>
      </c>
      <c r="G785" s="66">
        <f>14.4822 * CHOOSE(CONTROL!$C$23, $C$12, 100%, $E$12)</f>
        <v>14.482200000000001</v>
      </c>
      <c r="H785" s="66">
        <f>27.3418* CHOOSE(CONTROL!$C$23, $C$12, 100%, $E$12)</f>
        <v>27.341799999999999</v>
      </c>
      <c r="I785" s="66">
        <f>27.3468 * CHOOSE(CONTROL!$C$23, $C$12, 100%, $E$12)</f>
        <v>27.346800000000002</v>
      </c>
      <c r="J785" s="66">
        <f>27.3418 * CHOOSE(CONTROL!$C$23, $C$12, 100%, $E$12)</f>
        <v>27.341799999999999</v>
      </c>
      <c r="K785" s="66">
        <f>27.3468 * CHOOSE(CONTROL!$C$23, $C$12, 100%, $E$12)</f>
        <v>27.346800000000002</v>
      </c>
      <c r="L785" s="66">
        <f>14.4773 * CHOOSE(CONTROL!$C$23, $C$12, 100%, $E$12)</f>
        <v>14.4773</v>
      </c>
      <c r="M785" s="66">
        <f>14.4822 * CHOOSE(CONTROL!$C$23, $C$12, 100%, $E$12)</f>
        <v>14.482200000000001</v>
      </c>
      <c r="N785" s="66">
        <f>14.4773 * CHOOSE(CONTROL!$C$23, $C$12, 100%, $E$12)</f>
        <v>14.4773</v>
      </c>
      <c r="O785" s="66">
        <f>14.4822 * CHOOSE(CONTROL!$C$23, $C$12, 100%, $E$12)</f>
        <v>14.482200000000001</v>
      </c>
    </row>
    <row r="786" spans="1:15" ht="15">
      <c r="A786" s="13">
        <v>65075</v>
      </c>
      <c r="B786" s="65">
        <f>12.8948 * CHOOSE(CONTROL!$C$23, $C$12, 100%, $E$12)</f>
        <v>12.8948</v>
      </c>
      <c r="C786" s="65">
        <f>12.8948 * CHOOSE(CONTROL!$C$23, $C$12, 100%, $E$12)</f>
        <v>12.8948</v>
      </c>
      <c r="D786" s="65">
        <f>12.8988 * CHOOSE(CONTROL!$C$23, $C$12, 100%, $E$12)</f>
        <v>12.8988</v>
      </c>
      <c r="E786" s="66">
        <f>14.6801 * CHOOSE(CONTROL!$C$23, $C$12, 100%, $E$12)</f>
        <v>14.680099999999999</v>
      </c>
      <c r="F786" s="66">
        <f>14.6801 * CHOOSE(CONTROL!$C$23, $C$12, 100%, $E$12)</f>
        <v>14.680099999999999</v>
      </c>
      <c r="G786" s="66">
        <f>14.685 * CHOOSE(CONTROL!$C$23, $C$12, 100%, $E$12)</f>
        <v>14.685</v>
      </c>
      <c r="H786" s="66">
        <f>27.3988* CHOOSE(CONTROL!$C$23, $C$12, 100%, $E$12)</f>
        <v>27.398800000000001</v>
      </c>
      <c r="I786" s="66">
        <f>27.4037 * CHOOSE(CONTROL!$C$23, $C$12, 100%, $E$12)</f>
        <v>27.403700000000001</v>
      </c>
      <c r="J786" s="66">
        <f>27.3988 * CHOOSE(CONTROL!$C$23, $C$12, 100%, $E$12)</f>
        <v>27.398800000000001</v>
      </c>
      <c r="K786" s="66">
        <f>27.4037 * CHOOSE(CONTROL!$C$23, $C$12, 100%, $E$12)</f>
        <v>27.403700000000001</v>
      </c>
      <c r="L786" s="66">
        <f>14.6801 * CHOOSE(CONTROL!$C$23, $C$12, 100%, $E$12)</f>
        <v>14.680099999999999</v>
      </c>
      <c r="M786" s="66">
        <f>14.685 * CHOOSE(CONTROL!$C$23, $C$12, 100%, $E$12)</f>
        <v>14.685</v>
      </c>
      <c r="N786" s="66">
        <f>14.6801 * CHOOSE(CONTROL!$C$23, $C$12, 100%, $E$12)</f>
        <v>14.680099999999999</v>
      </c>
      <c r="O786" s="66">
        <f>14.685 * CHOOSE(CONTROL!$C$23, $C$12, 100%, $E$12)</f>
        <v>14.685</v>
      </c>
    </row>
    <row r="787" spans="1:15" ht="15">
      <c r="A787" s="13">
        <v>65106</v>
      </c>
      <c r="B787" s="65">
        <f>12.8999 * CHOOSE(CONTROL!$C$23, $C$12, 100%, $E$12)</f>
        <v>12.899900000000001</v>
      </c>
      <c r="C787" s="65">
        <f>12.8999 * CHOOSE(CONTROL!$C$23, $C$12, 100%, $E$12)</f>
        <v>12.899900000000001</v>
      </c>
      <c r="D787" s="65">
        <f>12.9039 * CHOOSE(CONTROL!$C$23, $C$12, 100%, $E$12)</f>
        <v>12.9039</v>
      </c>
      <c r="E787" s="66">
        <f>14.8959 * CHOOSE(CONTROL!$C$23, $C$12, 100%, $E$12)</f>
        <v>14.895899999999999</v>
      </c>
      <c r="F787" s="66">
        <f>14.8959 * CHOOSE(CONTROL!$C$23, $C$12, 100%, $E$12)</f>
        <v>14.895899999999999</v>
      </c>
      <c r="G787" s="66">
        <f>14.9008 * CHOOSE(CONTROL!$C$23, $C$12, 100%, $E$12)</f>
        <v>14.9008</v>
      </c>
      <c r="H787" s="66">
        <f>27.4559* CHOOSE(CONTROL!$C$23, $C$12, 100%, $E$12)</f>
        <v>27.4559</v>
      </c>
      <c r="I787" s="66">
        <f>27.4608 * CHOOSE(CONTROL!$C$23, $C$12, 100%, $E$12)</f>
        <v>27.460799999999999</v>
      </c>
      <c r="J787" s="66">
        <f>27.4559 * CHOOSE(CONTROL!$C$23, $C$12, 100%, $E$12)</f>
        <v>27.4559</v>
      </c>
      <c r="K787" s="66">
        <f>27.4608 * CHOOSE(CONTROL!$C$23, $C$12, 100%, $E$12)</f>
        <v>27.460799999999999</v>
      </c>
      <c r="L787" s="66">
        <f>14.8959 * CHOOSE(CONTROL!$C$23, $C$12, 100%, $E$12)</f>
        <v>14.895899999999999</v>
      </c>
      <c r="M787" s="66">
        <f>14.9008 * CHOOSE(CONTROL!$C$23, $C$12, 100%, $E$12)</f>
        <v>14.9008</v>
      </c>
      <c r="N787" s="66">
        <f>14.8959 * CHOOSE(CONTROL!$C$23, $C$12, 100%, $E$12)</f>
        <v>14.895899999999999</v>
      </c>
      <c r="O787" s="66">
        <f>14.9008 * CHOOSE(CONTROL!$C$23, $C$12, 100%, $E$12)</f>
        <v>14.9008</v>
      </c>
    </row>
    <row r="788" spans="1:15" ht="15">
      <c r="A788" s="13">
        <v>65136</v>
      </c>
      <c r="B788" s="65">
        <f>12.8999 * CHOOSE(CONTROL!$C$23, $C$12, 100%, $E$12)</f>
        <v>12.899900000000001</v>
      </c>
      <c r="C788" s="65">
        <f>12.8999 * CHOOSE(CONTROL!$C$23, $C$12, 100%, $E$12)</f>
        <v>12.899900000000001</v>
      </c>
      <c r="D788" s="65">
        <f>12.9056 * CHOOSE(CONTROL!$C$23, $C$12, 100%, $E$12)</f>
        <v>12.9056</v>
      </c>
      <c r="E788" s="66">
        <f>14.9784 * CHOOSE(CONTROL!$C$23, $C$12, 100%, $E$12)</f>
        <v>14.978400000000001</v>
      </c>
      <c r="F788" s="66">
        <f>14.9784 * CHOOSE(CONTROL!$C$23, $C$12, 100%, $E$12)</f>
        <v>14.978400000000001</v>
      </c>
      <c r="G788" s="66">
        <f>14.9853 * CHOOSE(CONTROL!$C$23, $C$12, 100%, $E$12)</f>
        <v>14.985300000000001</v>
      </c>
      <c r="H788" s="66">
        <f>27.5131* CHOOSE(CONTROL!$C$23, $C$12, 100%, $E$12)</f>
        <v>27.513100000000001</v>
      </c>
      <c r="I788" s="66">
        <f>27.52 * CHOOSE(CONTROL!$C$23, $C$12, 100%, $E$12)</f>
        <v>27.52</v>
      </c>
      <c r="J788" s="66">
        <f>27.5131 * CHOOSE(CONTROL!$C$23, $C$12, 100%, $E$12)</f>
        <v>27.513100000000001</v>
      </c>
      <c r="K788" s="66">
        <f>27.52 * CHOOSE(CONTROL!$C$23, $C$12, 100%, $E$12)</f>
        <v>27.52</v>
      </c>
      <c r="L788" s="66">
        <f>14.9784 * CHOOSE(CONTROL!$C$23, $C$12, 100%, $E$12)</f>
        <v>14.978400000000001</v>
      </c>
      <c r="M788" s="66">
        <f>14.9853 * CHOOSE(CONTROL!$C$23, $C$12, 100%, $E$12)</f>
        <v>14.985300000000001</v>
      </c>
      <c r="N788" s="66">
        <f>14.9784 * CHOOSE(CONTROL!$C$23, $C$12, 100%, $E$12)</f>
        <v>14.978400000000001</v>
      </c>
      <c r="O788" s="66">
        <f>14.9853 * CHOOSE(CONTROL!$C$23, $C$12, 100%, $E$12)</f>
        <v>14.985300000000001</v>
      </c>
    </row>
    <row r="789" spans="1:15" ht="15">
      <c r="A789" s="13">
        <v>65167</v>
      </c>
      <c r="B789" s="65">
        <f>12.906 * CHOOSE(CONTROL!$C$23, $C$12, 100%, $E$12)</f>
        <v>12.906000000000001</v>
      </c>
      <c r="C789" s="65">
        <f>12.906 * CHOOSE(CONTROL!$C$23, $C$12, 100%, $E$12)</f>
        <v>12.906000000000001</v>
      </c>
      <c r="D789" s="65">
        <f>12.9116 * CHOOSE(CONTROL!$C$23, $C$12, 100%, $E$12)</f>
        <v>12.9116</v>
      </c>
      <c r="E789" s="66">
        <f>14.9001 * CHOOSE(CONTROL!$C$23, $C$12, 100%, $E$12)</f>
        <v>14.9001</v>
      </c>
      <c r="F789" s="66">
        <f>14.9001 * CHOOSE(CONTROL!$C$23, $C$12, 100%, $E$12)</f>
        <v>14.9001</v>
      </c>
      <c r="G789" s="66">
        <f>14.907 * CHOOSE(CONTROL!$C$23, $C$12, 100%, $E$12)</f>
        <v>14.907</v>
      </c>
      <c r="H789" s="66">
        <f>27.5704* CHOOSE(CONTROL!$C$23, $C$12, 100%, $E$12)</f>
        <v>27.570399999999999</v>
      </c>
      <c r="I789" s="66">
        <f>27.5773 * CHOOSE(CONTROL!$C$23, $C$12, 100%, $E$12)</f>
        <v>27.577300000000001</v>
      </c>
      <c r="J789" s="66">
        <f>27.5704 * CHOOSE(CONTROL!$C$23, $C$12, 100%, $E$12)</f>
        <v>27.570399999999999</v>
      </c>
      <c r="K789" s="66">
        <f>27.5773 * CHOOSE(CONTROL!$C$23, $C$12, 100%, $E$12)</f>
        <v>27.577300000000001</v>
      </c>
      <c r="L789" s="66">
        <f>14.9001 * CHOOSE(CONTROL!$C$23, $C$12, 100%, $E$12)</f>
        <v>14.9001</v>
      </c>
      <c r="M789" s="66">
        <f>14.907 * CHOOSE(CONTROL!$C$23, $C$12, 100%, $E$12)</f>
        <v>14.907</v>
      </c>
      <c r="N789" s="66">
        <f>14.9001 * CHOOSE(CONTROL!$C$23, $C$12, 100%, $E$12)</f>
        <v>14.9001</v>
      </c>
      <c r="O789" s="66">
        <f>14.907 * CHOOSE(CONTROL!$C$23, $C$12, 100%, $E$12)</f>
        <v>14.907</v>
      </c>
    </row>
    <row r="790" spans="1:15" ht="15">
      <c r="A790" s="13">
        <v>65197</v>
      </c>
      <c r="B790" s="65">
        <f>13.1025 * CHOOSE(CONTROL!$C$23, $C$12, 100%, $E$12)</f>
        <v>13.102499999999999</v>
      </c>
      <c r="C790" s="65">
        <f>13.1025 * CHOOSE(CONTROL!$C$23, $C$12, 100%, $E$12)</f>
        <v>13.102499999999999</v>
      </c>
      <c r="D790" s="65">
        <f>13.1082 * CHOOSE(CONTROL!$C$23, $C$12, 100%, $E$12)</f>
        <v>13.1082</v>
      </c>
      <c r="E790" s="66">
        <f>15.138 * CHOOSE(CONTROL!$C$23, $C$12, 100%, $E$12)</f>
        <v>15.138</v>
      </c>
      <c r="F790" s="66">
        <f>15.138 * CHOOSE(CONTROL!$C$23, $C$12, 100%, $E$12)</f>
        <v>15.138</v>
      </c>
      <c r="G790" s="66">
        <f>15.1449 * CHOOSE(CONTROL!$C$23, $C$12, 100%, $E$12)</f>
        <v>15.1449</v>
      </c>
      <c r="H790" s="66">
        <f>27.6278* CHOOSE(CONTROL!$C$23, $C$12, 100%, $E$12)</f>
        <v>27.627800000000001</v>
      </c>
      <c r="I790" s="66">
        <f>27.6347 * CHOOSE(CONTROL!$C$23, $C$12, 100%, $E$12)</f>
        <v>27.634699999999999</v>
      </c>
      <c r="J790" s="66">
        <f>27.6278 * CHOOSE(CONTROL!$C$23, $C$12, 100%, $E$12)</f>
        <v>27.627800000000001</v>
      </c>
      <c r="K790" s="66">
        <f>27.6347 * CHOOSE(CONTROL!$C$23, $C$12, 100%, $E$12)</f>
        <v>27.634699999999999</v>
      </c>
      <c r="L790" s="66">
        <f>15.138 * CHOOSE(CONTROL!$C$23, $C$12, 100%, $E$12)</f>
        <v>15.138</v>
      </c>
      <c r="M790" s="66">
        <f>15.1449 * CHOOSE(CONTROL!$C$23, $C$12, 100%, $E$12)</f>
        <v>15.1449</v>
      </c>
      <c r="N790" s="66">
        <f>15.138 * CHOOSE(CONTROL!$C$23, $C$12, 100%, $E$12)</f>
        <v>15.138</v>
      </c>
      <c r="O790" s="66">
        <f>15.1449 * CHOOSE(CONTROL!$C$23, $C$12, 100%, $E$12)</f>
        <v>15.1449</v>
      </c>
    </row>
    <row r="791" spans="1:15" ht="15">
      <c r="A791" s="13">
        <v>65228</v>
      </c>
      <c r="B791" s="65">
        <f>13.1092 * CHOOSE(CONTROL!$C$23, $C$12, 100%, $E$12)</f>
        <v>13.1092</v>
      </c>
      <c r="C791" s="65">
        <f>13.1092 * CHOOSE(CONTROL!$C$23, $C$12, 100%, $E$12)</f>
        <v>13.1092</v>
      </c>
      <c r="D791" s="65">
        <f>13.1148 * CHOOSE(CONTROL!$C$23, $C$12, 100%, $E$12)</f>
        <v>13.114800000000001</v>
      </c>
      <c r="E791" s="66">
        <f>14.8951 * CHOOSE(CONTROL!$C$23, $C$12, 100%, $E$12)</f>
        <v>14.895099999999999</v>
      </c>
      <c r="F791" s="66">
        <f>14.8951 * CHOOSE(CONTROL!$C$23, $C$12, 100%, $E$12)</f>
        <v>14.895099999999999</v>
      </c>
      <c r="G791" s="66">
        <f>14.902 * CHOOSE(CONTROL!$C$23, $C$12, 100%, $E$12)</f>
        <v>14.901999999999999</v>
      </c>
      <c r="H791" s="66">
        <f>27.6854* CHOOSE(CONTROL!$C$23, $C$12, 100%, $E$12)</f>
        <v>27.685400000000001</v>
      </c>
      <c r="I791" s="66">
        <f>27.6923 * CHOOSE(CONTROL!$C$23, $C$12, 100%, $E$12)</f>
        <v>27.692299999999999</v>
      </c>
      <c r="J791" s="66">
        <f>27.6854 * CHOOSE(CONTROL!$C$23, $C$12, 100%, $E$12)</f>
        <v>27.685400000000001</v>
      </c>
      <c r="K791" s="66">
        <f>27.6923 * CHOOSE(CONTROL!$C$23, $C$12, 100%, $E$12)</f>
        <v>27.692299999999999</v>
      </c>
      <c r="L791" s="66">
        <f>14.8951 * CHOOSE(CONTROL!$C$23, $C$12, 100%, $E$12)</f>
        <v>14.895099999999999</v>
      </c>
      <c r="M791" s="66">
        <f>14.902 * CHOOSE(CONTROL!$C$23, $C$12, 100%, $E$12)</f>
        <v>14.901999999999999</v>
      </c>
      <c r="N791" s="66">
        <f>14.8951 * CHOOSE(CONTROL!$C$23, $C$12, 100%, $E$12)</f>
        <v>14.895099999999999</v>
      </c>
      <c r="O791" s="66">
        <f>14.902 * CHOOSE(CONTROL!$C$23, $C$12, 100%, $E$12)</f>
        <v>14.901999999999999</v>
      </c>
    </row>
    <row r="792" spans="1:15" ht="15">
      <c r="A792" s="13">
        <v>65259</v>
      </c>
      <c r="B792" s="65">
        <f>13.1062 * CHOOSE(CONTROL!$C$23, $C$12, 100%, $E$12)</f>
        <v>13.106199999999999</v>
      </c>
      <c r="C792" s="65">
        <f>13.1062 * CHOOSE(CONTROL!$C$23, $C$12, 100%, $E$12)</f>
        <v>13.106199999999999</v>
      </c>
      <c r="D792" s="65">
        <f>13.1118 * CHOOSE(CONTROL!$C$23, $C$12, 100%, $E$12)</f>
        <v>13.111800000000001</v>
      </c>
      <c r="E792" s="66">
        <f>14.8655 * CHOOSE(CONTROL!$C$23, $C$12, 100%, $E$12)</f>
        <v>14.865500000000001</v>
      </c>
      <c r="F792" s="66">
        <f>14.8655 * CHOOSE(CONTROL!$C$23, $C$12, 100%, $E$12)</f>
        <v>14.865500000000001</v>
      </c>
      <c r="G792" s="66">
        <f>14.8724 * CHOOSE(CONTROL!$C$23, $C$12, 100%, $E$12)</f>
        <v>14.872400000000001</v>
      </c>
      <c r="H792" s="66">
        <f>27.7431* CHOOSE(CONTROL!$C$23, $C$12, 100%, $E$12)</f>
        <v>27.743099999999998</v>
      </c>
      <c r="I792" s="66">
        <f>27.75 * CHOOSE(CONTROL!$C$23, $C$12, 100%, $E$12)</f>
        <v>27.75</v>
      </c>
      <c r="J792" s="66">
        <f>27.7431 * CHOOSE(CONTROL!$C$23, $C$12, 100%, $E$12)</f>
        <v>27.743099999999998</v>
      </c>
      <c r="K792" s="66">
        <f>27.75 * CHOOSE(CONTROL!$C$23, $C$12, 100%, $E$12)</f>
        <v>27.75</v>
      </c>
      <c r="L792" s="66">
        <f>14.8655 * CHOOSE(CONTROL!$C$23, $C$12, 100%, $E$12)</f>
        <v>14.865500000000001</v>
      </c>
      <c r="M792" s="66">
        <f>14.8724 * CHOOSE(CONTROL!$C$23, $C$12, 100%, $E$12)</f>
        <v>14.872400000000001</v>
      </c>
      <c r="N792" s="66">
        <f>14.8655 * CHOOSE(CONTROL!$C$23, $C$12, 100%, $E$12)</f>
        <v>14.865500000000001</v>
      </c>
      <c r="O792" s="66">
        <f>14.8724 * CHOOSE(CONTROL!$C$23, $C$12, 100%, $E$12)</f>
        <v>14.872400000000001</v>
      </c>
    </row>
    <row r="793" spans="1:15" ht="15">
      <c r="A793" s="13">
        <v>65289</v>
      </c>
      <c r="B793" s="65">
        <f>13.1306 * CHOOSE(CONTROL!$C$23, $C$12, 100%, $E$12)</f>
        <v>13.130599999999999</v>
      </c>
      <c r="C793" s="65">
        <f>13.1306 * CHOOSE(CONTROL!$C$23, $C$12, 100%, $E$12)</f>
        <v>13.130599999999999</v>
      </c>
      <c r="D793" s="65">
        <f>13.1346 * CHOOSE(CONTROL!$C$23, $C$12, 100%, $E$12)</f>
        <v>13.134600000000001</v>
      </c>
      <c r="E793" s="66">
        <f>14.9621 * CHOOSE(CONTROL!$C$23, $C$12, 100%, $E$12)</f>
        <v>14.9621</v>
      </c>
      <c r="F793" s="66">
        <f>14.9621 * CHOOSE(CONTROL!$C$23, $C$12, 100%, $E$12)</f>
        <v>14.9621</v>
      </c>
      <c r="G793" s="66">
        <f>14.967 * CHOOSE(CONTROL!$C$23, $C$12, 100%, $E$12)</f>
        <v>14.967000000000001</v>
      </c>
      <c r="H793" s="66">
        <f>27.8009* CHOOSE(CONTROL!$C$23, $C$12, 100%, $E$12)</f>
        <v>27.800899999999999</v>
      </c>
      <c r="I793" s="66">
        <f>27.8058 * CHOOSE(CONTROL!$C$23, $C$12, 100%, $E$12)</f>
        <v>27.805800000000001</v>
      </c>
      <c r="J793" s="66">
        <f>27.8009 * CHOOSE(CONTROL!$C$23, $C$12, 100%, $E$12)</f>
        <v>27.800899999999999</v>
      </c>
      <c r="K793" s="66">
        <f>27.8058 * CHOOSE(CONTROL!$C$23, $C$12, 100%, $E$12)</f>
        <v>27.805800000000001</v>
      </c>
      <c r="L793" s="66">
        <f>14.9621 * CHOOSE(CONTROL!$C$23, $C$12, 100%, $E$12)</f>
        <v>14.9621</v>
      </c>
      <c r="M793" s="66">
        <f>14.967 * CHOOSE(CONTROL!$C$23, $C$12, 100%, $E$12)</f>
        <v>14.967000000000001</v>
      </c>
      <c r="N793" s="66">
        <f>14.9621 * CHOOSE(CONTROL!$C$23, $C$12, 100%, $E$12)</f>
        <v>14.9621</v>
      </c>
      <c r="O793" s="66">
        <f>14.967 * CHOOSE(CONTROL!$C$23, $C$12, 100%, $E$12)</f>
        <v>14.967000000000001</v>
      </c>
    </row>
    <row r="794" spans="1:15" ht="15">
      <c r="A794" s="13">
        <v>65320</v>
      </c>
      <c r="B794" s="65">
        <f>13.1336 * CHOOSE(CONTROL!$C$23, $C$12, 100%, $E$12)</f>
        <v>13.133599999999999</v>
      </c>
      <c r="C794" s="65">
        <f>13.1336 * CHOOSE(CONTROL!$C$23, $C$12, 100%, $E$12)</f>
        <v>13.133599999999999</v>
      </c>
      <c r="D794" s="65">
        <f>13.1376 * CHOOSE(CONTROL!$C$23, $C$12, 100%, $E$12)</f>
        <v>13.137600000000001</v>
      </c>
      <c r="E794" s="66">
        <f>15.0192 * CHOOSE(CONTROL!$C$23, $C$12, 100%, $E$12)</f>
        <v>15.0192</v>
      </c>
      <c r="F794" s="66">
        <f>15.0192 * CHOOSE(CONTROL!$C$23, $C$12, 100%, $E$12)</f>
        <v>15.0192</v>
      </c>
      <c r="G794" s="66">
        <f>15.0242 * CHOOSE(CONTROL!$C$23, $C$12, 100%, $E$12)</f>
        <v>15.0242</v>
      </c>
      <c r="H794" s="66">
        <f>27.8588* CHOOSE(CONTROL!$C$23, $C$12, 100%, $E$12)</f>
        <v>27.858799999999999</v>
      </c>
      <c r="I794" s="66">
        <f>27.8637 * CHOOSE(CONTROL!$C$23, $C$12, 100%, $E$12)</f>
        <v>27.863700000000001</v>
      </c>
      <c r="J794" s="66">
        <f>27.8588 * CHOOSE(CONTROL!$C$23, $C$12, 100%, $E$12)</f>
        <v>27.858799999999999</v>
      </c>
      <c r="K794" s="66">
        <f>27.8637 * CHOOSE(CONTROL!$C$23, $C$12, 100%, $E$12)</f>
        <v>27.863700000000001</v>
      </c>
      <c r="L794" s="66">
        <f>15.0192 * CHOOSE(CONTROL!$C$23, $C$12, 100%, $E$12)</f>
        <v>15.0192</v>
      </c>
      <c r="M794" s="66">
        <f>15.0242 * CHOOSE(CONTROL!$C$23, $C$12, 100%, $E$12)</f>
        <v>15.0242</v>
      </c>
      <c r="N794" s="66">
        <f>15.0192 * CHOOSE(CONTROL!$C$23, $C$12, 100%, $E$12)</f>
        <v>15.0192</v>
      </c>
      <c r="O794" s="66">
        <f>15.0242 * CHOOSE(CONTROL!$C$23, $C$12, 100%, $E$12)</f>
        <v>15.0242</v>
      </c>
    </row>
    <row r="795" spans="1:15" ht="15">
      <c r="A795" s="13">
        <v>65350</v>
      </c>
      <c r="B795" s="65">
        <f>13.1336 * CHOOSE(CONTROL!$C$23, $C$12, 100%, $E$12)</f>
        <v>13.133599999999999</v>
      </c>
      <c r="C795" s="65">
        <f>13.1336 * CHOOSE(CONTROL!$C$23, $C$12, 100%, $E$12)</f>
        <v>13.133599999999999</v>
      </c>
      <c r="D795" s="65">
        <f>13.1376 * CHOOSE(CONTROL!$C$23, $C$12, 100%, $E$12)</f>
        <v>13.137600000000001</v>
      </c>
      <c r="E795" s="66">
        <f>14.8817 * CHOOSE(CONTROL!$C$23, $C$12, 100%, $E$12)</f>
        <v>14.8817</v>
      </c>
      <c r="F795" s="66">
        <f>14.8817 * CHOOSE(CONTROL!$C$23, $C$12, 100%, $E$12)</f>
        <v>14.8817</v>
      </c>
      <c r="G795" s="66">
        <f>14.8866 * CHOOSE(CONTROL!$C$23, $C$12, 100%, $E$12)</f>
        <v>14.8866</v>
      </c>
      <c r="H795" s="66">
        <f>27.9168* CHOOSE(CONTROL!$C$23, $C$12, 100%, $E$12)</f>
        <v>27.916799999999999</v>
      </c>
      <c r="I795" s="66">
        <f>27.9218 * CHOOSE(CONTROL!$C$23, $C$12, 100%, $E$12)</f>
        <v>27.921800000000001</v>
      </c>
      <c r="J795" s="66">
        <f>27.9168 * CHOOSE(CONTROL!$C$23, $C$12, 100%, $E$12)</f>
        <v>27.916799999999999</v>
      </c>
      <c r="K795" s="66">
        <f>27.9218 * CHOOSE(CONTROL!$C$23, $C$12, 100%, $E$12)</f>
        <v>27.921800000000001</v>
      </c>
      <c r="L795" s="66">
        <f>14.8817 * CHOOSE(CONTROL!$C$23, $C$12, 100%, $E$12)</f>
        <v>14.8817</v>
      </c>
      <c r="M795" s="66">
        <f>14.8866 * CHOOSE(CONTROL!$C$23, $C$12, 100%, $E$12)</f>
        <v>14.8866</v>
      </c>
      <c r="N795" s="66">
        <f>14.8817 * CHOOSE(CONTROL!$C$23, $C$12, 100%, $E$12)</f>
        <v>14.8817</v>
      </c>
      <c r="O795" s="66">
        <f>14.8866 * CHOOSE(CONTROL!$C$23, $C$12, 100%, $E$12)</f>
        <v>14.8866</v>
      </c>
    </row>
    <row r="796" spans="1:15" ht="15">
      <c r="A796" s="13">
        <v>65381</v>
      </c>
      <c r="B796" s="65">
        <f>13.1365 * CHOOSE(CONTROL!$C$23, $C$12, 100%, $E$12)</f>
        <v>13.1365</v>
      </c>
      <c r="C796" s="65">
        <f>13.1365 * CHOOSE(CONTROL!$C$23, $C$12, 100%, $E$12)</f>
        <v>13.1365</v>
      </c>
      <c r="D796" s="65">
        <f>13.1405 * CHOOSE(CONTROL!$C$23, $C$12, 100%, $E$12)</f>
        <v>13.140499999999999</v>
      </c>
      <c r="E796" s="66">
        <f>14.9941 * CHOOSE(CONTROL!$C$23, $C$12, 100%, $E$12)</f>
        <v>14.9941</v>
      </c>
      <c r="F796" s="66">
        <f>14.9941 * CHOOSE(CONTROL!$C$23, $C$12, 100%, $E$12)</f>
        <v>14.9941</v>
      </c>
      <c r="G796" s="66">
        <f>14.999 * CHOOSE(CONTROL!$C$23, $C$12, 100%, $E$12)</f>
        <v>14.999000000000001</v>
      </c>
      <c r="H796" s="66">
        <f>27.7676* CHOOSE(CONTROL!$C$23, $C$12, 100%, $E$12)</f>
        <v>27.767600000000002</v>
      </c>
      <c r="I796" s="66">
        <f>27.7725 * CHOOSE(CONTROL!$C$23, $C$12, 100%, $E$12)</f>
        <v>27.772500000000001</v>
      </c>
      <c r="J796" s="66">
        <f>27.7676 * CHOOSE(CONTROL!$C$23, $C$12, 100%, $E$12)</f>
        <v>27.767600000000002</v>
      </c>
      <c r="K796" s="66">
        <f>27.7725 * CHOOSE(CONTROL!$C$23, $C$12, 100%, $E$12)</f>
        <v>27.772500000000001</v>
      </c>
      <c r="L796" s="66">
        <f>14.9941 * CHOOSE(CONTROL!$C$23, $C$12, 100%, $E$12)</f>
        <v>14.9941</v>
      </c>
      <c r="M796" s="66">
        <f>14.999 * CHOOSE(CONTROL!$C$23, $C$12, 100%, $E$12)</f>
        <v>14.999000000000001</v>
      </c>
      <c r="N796" s="66">
        <f>14.9941 * CHOOSE(CONTROL!$C$23, $C$12, 100%, $E$12)</f>
        <v>14.9941</v>
      </c>
      <c r="O796" s="66">
        <f>14.999 * CHOOSE(CONTROL!$C$23, $C$12, 100%, $E$12)</f>
        <v>14.999000000000001</v>
      </c>
    </row>
    <row r="797" spans="1:15" ht="15">
      <c r="A797" s="13">
        <v>65412</v>
      </c>
      <c r="B797" s="65">
        <f>13.1334 * CHOOSE(CONTROL!$C$23, $C$12, 100%, $E$12)</f>
        <v>13.1334</v>
      </c>
      <c r="C797" s="65">
        <f>13.1334 * CHOOSE(CONTROL!$C$23, $C$12, 100%, $E$12)</f>
        <v>13.1334</v>
      </c>
      <c r="D797" s="65">
        <f>13.1374 * CHOOSE(CONTROL!$C$23, $C$12, 100%, $E$12)</f>
        <v>13.1374</v>
      </c>
      <c r="E797" s="66">
        <f>14.7271 * CHOOSE(CONTROL!$C$23, $C$12, 100%, $E$12)</f>
        <v>14.7271</v>
      </c>
      <c r="F797" s="66">
        <f>14.7271 * CHOOSE(CONTROL!$C$23, $C$12, 100%, $E$12)</f>
        <v>14.7271</v>
      </c>
      <c r="G797" s="66">
        <f>14.732 * CHOOSE(CONTROL!$C$23, $C$12, 100%, $E$12)</f>
        <v>14.731999999999999</v>
      </c>
      <c r="H797" s="66">
        <f>27.8254* CHOOSE(CONTROL!$C$23, $C$12, 100%, $E$12)</f>
        <v>27.825399999999998</v>
      </c>
      <c r="I797" s="66">
        <f>27.8303 * CHOOSE(CONTROL!$C$23, $C$12, 100%, $E$12)</f>
        <v>27.830300000000001</v>
      </c>
      <c r="J797" s="66">
        <f>27.8254 * CHOOSE(CONTROL!$C$23, $C$12, 100%, $E$12)</f>
        <v>27.825399999999998</v>
      </c>
      <c r="K797" s="66">
        <f>27.8303 * CHOOSE(CONTROL!$C$23, $C$12, 100%, $E$12)</f>
        <v>27.830300000000001</v>
      </c>
      <c r="L797" s="66">
        <f>14.7271 * CHOOSE(CONTROL!$C$23, $C$12, 100%, $E$12)</f>
        <v>14.7271</v>
      </c>
      <c r="M797" s="66">
        <f>14.732 * CHOOSE(CONTROL!$C$23, $C$12, 100%, $E$12)</f>
        <v>14.731999999999999</v>
      </c>
      <c r="N797" s="66">
        <f>14.7271 * CHOOSE(CONTROL!$C$23, $C$12, 100%, $E$12)</f>
        <v>14.7271</v>
      </c>
      <c r="O797" s="66">
        <f>14.732 * CHOOSE(CONTROL!$C$23, $C$12, 100%, $E$12)</f>
        <v>14.731999999999999</v>
      </c>
    </row>
    <row r="798" spans="1:15" ht="15">
      <c r="A798" s="13">
        <v>65440</v>
      </c>
      <c r="B798" s="65">
        <f>13.1304 * CHOOSE(CONTROL!$C$23, $C$12, 100%, $E$12)</f>
        <v>13.1304</v>
      </c>
      <c r="C798" s="65">
        <f>13.1304 * CHOOSE(CONTROL!$C$23, $C$12, 100%, $E$12)</f>
        <v>13.1304</v>
      </c>
      <c r="D798" s="65">
        <f>13.1344 * CHOOSE(CONTROL!$C$23, $C$12, 100%, $E$12)</f>
        <v>13.134399999999999</v>
      </c>
      <c r="E798" s="66">
        <f>14.9338 * CHOOSE(CONTROL!$C$23, $C$12, 100%, $E$12)</f>
        <v>14.9338</v>
      </c>
      <c r="F798" s="66">
        <f>14.9338 * CHOOSE(CONTROL!$C$23, $C$12, 100%, $E$12)</f>
        <v>14.9338</v>
      </c>
      <c r="G798" s="66">
        <f>14.9387 * CHOOSE(CONTROL!$C$23, $C$12, 100%, $E$12)</f>
        <v>14.938700000000001</v>
      </c>
      <c r="H798" s="66">
        <f>27.8834* CHOOSE(CONTROL!$C$23, $C$12, 100%, $E$12)</f>
        <v>27.883400000000002</v>
      </c>
      <c r="I798" s="66">
        <f>27.8883 * CHOOSE(CONTROL!$C$23, $C$12, 100%, $E$12)</f>
        <v>27.888300000000001</v>
      </c>
      <c r="J798" s="66">
        <f>27.8834 * CHOOSE(CONTROL!$C$23, $C$12, 100%, $E$12)</f>
        <v>27.883400000000002</v>
      </c>
      <c r="K798" s="66">
        <f>27.8883 * CHOOSE(CONTROL!$C$23, $C$12, 100%, $E$12)</f>
        <v>27.888300000000001</v>
      </c>
      <c r="L798" s="66">
        <f>14.9338 * CHOOSE(CONTROL!$C$23, $C$12, 100%, $E$12)</f>
        <v>14.9338</v>
      </c>
      <c r="M798" s="66">
        <f>14.9387 * CHOOSE(CONTROL!$C$23, $C$12, 100%, $E$12)</f>
        <v>14.938700000000001</v>
      </c>
      <c r="N798" s="66">
        <f>14.9338 * CHOOSE(CONTROL!$C$23, $C$12, 100%, $E$12)</f>
        <v>14.9338</v>
      </c>
      <c r="O798" s="66">
        <f>14.9387 * CHOOSE(CONTROL!$C$23, $C$12, 100%, $E$12)</f>
        <v>14.938700000000001</v>
      </c>
    </row>
    <row r="799" spans="1:15" ht="15">
      <c r="A799" s="13">
        <v>65471</v>
      </c>
      <c r="B799" s="65">
        <f>13.1357 * CHOOSE(CONTROL!$C$23, $C$12, 100%, $E$12)</f>
        <v>13.1357</v>
      </c>
      <c r="C799" s="65">
        <f>13.1357 * CHOOSE(CONTROL!$C$23, $C$12, 100%, $E$12)</f>
        <v>13.1357</v>
      </c>
      <c r="D799" s="65">
        <f>13.1397 * CHOOSE(CONTROL!$C$23, $C$12, 100%, $E$12)</f>
        <v>13.139699999999999</v>
      </c>
      <c r="E799" s="66">
        <f>15.1538 * CHOOSE(CONTROL!$C$23, $C$12, 100%, $E$12)</f>
        <v>15.1538</v>
      </c>
      <c r="F799" s="66">
        <f>15.1538 * CHOOSE(CONTROL!$C$23, $C$12, 100%, $E$12)</f>
        <v>15.1538</v>
      </c>
      <c r="G799" s="66">
        <f>15.1587 * CHOOSE(CONTROL!$C$23, $C$12, 100%, $E$12)</f>
        <v>15.1587</v>
      </c>
      <c r="H799" s="66">
        <f>27.9415* CHOOSE(CONTROL!$C$23, $C$12, 100%, $E$12)</f>
        <v>27.941500000000001</v>
      </c>
      <c r="I799" s="66">
        <f>27.9464 * CHOOSE(CONTROL!$C$23, $C$12, 100%, $E$12)</f>
        <v>27.946400000000001</v>
      </c>
      <c r="J799" s="66">
        <f>27.9415 * CHOOSE(CONTROL!$C$23, $C$12, 100%, $E$12)</f>
        <v>27.941500000000001</v>
      </c>
      <c r="K799" s="66">
        <f>27.9464 * CHOOSE(CONTROL!$C$23, $C$12, 100%, $E$12)</f>
        <v>27.946400000000001</v>
      </c>
      <c r="L799" s="66">
        <f>15.1538 * CHOOSE(CONTROL!$C$23, $C$12, 100%, $E$12)</f>
        <v>15.1538</v>
      </c>
      <c r="M799" s="66">
        <f>15.1587 * CHOOSE(CONTROL!$C$23, $C$12, 100%, $E$12)</f>
        <v>15.1587</v>
      </c>
      <c r="N799" s="66">
        <f>15.1538 * CHOOSE(CONTROL!$C$23, $C$12, 100%, $E$12)</f>
        <v>15.1538</v>
      </c>
      <c r="O799" s="66">
        <f>15.1587 * CHOOSE(CONTROL!$C$23, $C$12, 100%, $E$12)</f>
        <v>15.1587</v>
      </c>
    </row>
    <row r="800" spans="1:15" ht="15">
      <c r="A800" s="13">
        <v>65501</v>
      </c>
      <c r="B800" s="65">
        <f>13.1357 * CHOOSE(CONTROL!$C$23, $C$12, 100%, $E$12)</f>
        <v>13.1357</v>
      </c>
      <c r="C800" s="65">
        <f>13.1357 * CHOOSE(CONTROL!$C$23, $C$12, 100%, $E$12)</f>
        <v>13.1357</v>
      </c>
      <c r="D800" s="65">
        <f>13.1413 * CHOOSE(CONTROL!$C$23, $C$12, 100%, $E$12)</f>
        <v>13.141299999999999</v>
      </c>
      <c r="E800" s="66">
        <f>15.2378 * CHOOSE(CONTROL!$C$23, $C$12, 100%, $E$12)</f>
        <v>15.2378</v>
      </c>
      <c r="F800" s="66">
        <f>15.2378 * CHOOSE(CONTROL!$C$23, $C$12, 100%, $E$12)</f>
        <v>15.2378</v>
      </c>
      <c r="G800" s="66">
        <f>15.2447 * CHOOSE(CONTROL!$C$23, $C$12, 100%, $E$12)</f>
        <v>15.2447</v>
      </c>
      <c r="H800" s="66">
        <f>27.9997* CHOOSE(CONTROL!$C$23, $C$12, 100%, $E$12)</f>
        <v>27.999700000000001</v>
      </c>
      <c r="I800" s="66">
        <f>28.0066 * CHOOSE(CONTROL!$C$23, $C$12, 100%, $E$12)</f>
        <v>28.006599999999999</v>
      </c>
      <c r="J800" s="66">
        <f>27.9997 * CHOOSE(CONTROL!$C$23, $C$12, 100%, $E$12)</f>
        <v>27.999700000000001</v>
      </c>
      <c r="K800" s="66">
        <f>28.0066 * CHOOSE(CONTROL!$C$23, $C$12, 100%, $E$12)</f>
        <v>28.006599999999999</v>
      </c>
      <c r="L800" s="66">
        <f>15.2378 * CHOOSE(CONTROL!$C$23, $C$12, 100%, $E$12)</f>
        <v>15.2378</v>
      </c>
      <c r="M800" s="66">
        <f>15.2447 * CHOOSE(CONTROL!$C$23, $C$12, 100%, $E$12)</f>
        <v>15.2447</v>
      </c>
      <c r="N800" s="66">
        <f>15.2378 * CHOOSE(CONTROL!$C$23, $C$12, 100%, $E$12)</f>
        <v>15.2378</v>
      </c>
      <c r="O800" s="66">
        <f>15.2447 * CHOOSE(CONTROL!$C$23, $C$12, 100%, $E$12)</f>
        <v>15.2447</v>
      </c>
    </row>
    <row r="801" spans="1:15" ht="15">
      <c r="A801" s="13">
        <v>65532</v>
      </c>
      <c r="B801" s="65">
        <f>13.1418 * CHOOSE(CONTROL!$C$23, $C$12, 100%, $E$12)</f>
        <v>13.1418</v>
      </c>
      <c r="C801" s="65">
        <f>13.1418 * CHOOSE(CONTROL!$C$23, $C$12, 100%, $E$12)</f>
        <v>13.1418</v>
      </c>
      <c r="D801" s="65">
        <f>13.1474 * CHOOSE(CONTROL!$C$23, $C$12, 100%, $E$12)</f>
        <v>13.147399999999999</v>
      </c>
      <c r="E801" s="66">
        <f>15.158 * CHOOSE(CONTROL!$C$23, $C$12, 100%, $E$12)</f>
        <v>15.157999999999999</v>
      </c>
      <c r="F801" s="66">
        <f>15.158 * CHOOSE(CONTROL!$C$23, $C$12, 100%, $E$12)</f>
        <v>15.157999999999999</v>
      </c>
      <c r="G801" s="66">
        <f>15.1649 * CHOOSE(CONTROL!$C$23, $C$12, 100%, $E$12)</f>
        <v>15.164899999999999</v>
      </c>
      <c r="H801" s="66">
        <f>28.058* CHOOSE(CONTROL!$C$23, $C$12, 100%, $E$12)</f>
        <v>28.058</v>
      </c>
      <c r="I801" s="66">
        <f>28.0649 * CHOOSE(CONTROL!$C$23, $C$12, 100%, $E$12)</f>
        <v>28.064900000000002</v>
      </c>
      <c r="J801" s="66">
        <f>28.058 * CHOOSE(CONTROL!$C$23, $C$12, 100%, $E$12)</f>
        <v>28.058</v>
      </c>
      <c r="K801" s="66">
        <f>28.0649 * CHOOSE(CONTROL!$C$23, $C$12, 100%, $E$12)</f>
        <v>28.064900000000002</v>
      </c>
      <c r="L801" s="66">
        <f>15.158 * CHOOSE(CONTROL!$C$23, $C$12, 100%, $E$12)</f>
        <v>15.157999999999999</v>
      </c>
      <c r="M801" s="66">
        <f>15.1649 * CHOOSE(CONTROL!$C$23, $C$12, 100%, $E$12)</f>
        <v>15.164899999999999</v>
      </c>
      <c r="N801" s="66">
        <f>15.158 * CHOOSE(CONTROL!$C$23, $C$12, 100%, $E$12)</f>
        <v>15.157999999999999</v>
      </c>
      <c r="O801" s="66">
        <f>15.1649 * CHOOSE(CONTROL!$C$23, $C$12, 100%, $E$12)</f>
        <v>15.164899999999999</v>
      </c>
    </row>
    <row r="802" spans="1:15" ht="15">
      <c r="A802" s="13">
        <v>65562</v>
      </c>
      <c r="B802" s="65">
        <f>13.3417 * CHOOSE(CONTROL!$C$23, $C$12, 100%, $E$12)</f>
        <v>13.341699999999999</v>
      </c>
      <c r="C802" s="65">
        <f>13.3417 * CHOOSE(CONTROL!$C$23, $C$12, 100%, $E$12)</f>
        <v>13.341699999999999</v>
      </c>
      <c r="D802" s="65">
        <f>13.3473 * CHOOSE(CONTROL!$C$23, $C$12, 100%, $E$12)</f>
        <v>13.347300000000001</v>
      </c>
      <c r="E802" s="66">
        <f>15.3998 * CHOOSE(CONTROL!$C$23, $C$12, 100%, $E$12)</f>
        <v>15.399800000000001</v>
      </c>
      <c r="F802" s="66">
        <f>15.3998 * CHOOSE(CONTROL!$C$23, $C$12, 100%, $E$12)</f>
        <v>15.399800000000001</v>
      </c>
      <c r="G802" s="66">
        <f>15.4067 * CHOOSE(CONTROL!$C$23, $C$12, 100%, $E$12)</f>
        <v>15.406700000000001</v>
      </c>
      <c r="H802" s="66">
        <f>28.1165* CHOOSE(CONTROL!$C$23, $C$12, 100%, $E$12)</f>
        <v>28.116499999999998</v>
      </c>
      <c r="I802" s="66">
        <f>28.1233 * CHOOSE(CONTROL!$C$23, $C$12, 100%, $E$12)</f>
        <v>28.1233</v>
      </c>
      <c r="J802" s="66">
        <f>28.1165 * CHOOSE(CONTROL!$C$23, $C$12, 100%, $E$12)</f>
        <v>28.116499999999998</v>
      </c>
      <c r="K802" s="66">
        <f>28.1233 * CHOOSE(CONTROL!$C$23, $C$12, 100%, $E$12)</f>
        <v>28.1233</v>
      </c>
      <c r="L802" s="66">
        <f>15.3998 * CHOOSE(CONTROL!$C$23, $C$12, 100%, $E$12)</f>
        <v>15.399800000000001</v>
      </c>
      <c r="M802" s="66">
        <f>15.4067 * CHOOSE(CONTROL!$C$23, $C$12, 100%, $E$12)</f>
        <v>15.406700000000001</v>
      </c>
      <c r="N802" s="66">
        <f>15.3998 * CHOOSE(CONTROL!$C$23, $C$12, 100%, $E$12)</f>
        <v>15.399800000000001</v>
      </c>
      <c r="O802" s="66">
        <f>15.4067 * CHOOSE(CONTROL!$C$23, $C$12, 100%, $E$12)</f>
        <v>15.406700000000001</v>
      </c>
    </row>
    <row r="803" spans="1:15" ht="15">
      <c r="A803" s="13">
        <v>65593</v>
      </c>
      <c r="B803" s="65">
        <f>13.3484 * CHOOSE(CONTROL!$C$23, $C$12, 100%, $E$12)</f>
        <v>13.3484</v>
      </c>
      <c r="C803" s="65">
        <f>13.3484 * CHOOSE(CONTROL!$C$23, $C$12, 100%, $E$12)</f>
        <v>13.3484</v>
      </c>
      <c r="D803" s="65">
        <f>13.354 * CHOOSE(CONTROL!$C$23, $C$12, 100%, $E$12)</f>
        <v>13.353999999999999</v>
      </c>
      <c r="E803" s="66">
        <f>15.1522 * CHOOSE(CONTROL!$C$23, $C$12, 100%, $E$12)</f>
        <v>15.152200000000001</v>
      </c>
      <c r="F803" s="66">
        <f>15.1522 * CHOOSE(CONTROL!$C$23, $C$12, 100%, $E$12)</f>
        <v>15.152200000000001</v>
      </c>
      <c r="G803" s="66">
        <f>15.1591 * CHOOSE(CONTROL!$C$23, $C$12, 100%, $E$12)</f>
        <v>15.1591</v>
      </c>
      <c r="H803" s="66">
        <f>28.175* CHOOSE(CONTROL!$C$23, $C$12, 100%, $E$12)</f>
        <v>28.175000000000001</v>
      </c>
      <c r="I803" s="66">
        <f>28.1819 * CHOOSE(CONTROL!$C$23, $C$12, 100%, $E$12)</f>
        <v>28.181899999999999</v>
      </c>
      <c r="J803" s="66">
        <f>28.175 * CHOOSE(CONTROL!$C$23, $C$12, 100%, $E$12)</f>
        <v>28.175000000000001</v>
      </c>
      <c r="K803" s="66">
        <f>28.1819 * CHOOSE(CONTROL!$C$23, $C$12, 100%, $E$12)</f>
        <v>28.181899999999999</v>
      </c>
      <c r="L803" s="66">
        <f>15.1522 * CHOOSE(CONTROL!$C$23, $C$12, 100%, $E$12)</f>
        <v>15.152200000000001</v>
      </c>
      <c r="M803" s="66">
        <f>15.1591 * CHOOSE(CONTROL!$C$23, $C$12, 100%, $E$12)</f>
        <v>15.1591</v>
      </c>
      <c r="N803" s="66">
        <f>15.1522 * CHOOSE(CONTROL!$C$23, $C$12, 100%, $E$12)</f>
        <v>15.152200000000001</v>
      </c>
      <c r="O803" s="66">
        <f>15.1591 * CHOOSE(CONTROL!$C$23, $C$12, 100%, $E$12)</f>
        <v>15.1591</v>
      </c>
    </row>
    <row r="804" spans="1:15" ht="15">
      <c r="A804" s="13">
        <v>65624</v>
      </c>
      <c r="B804" s="65">
        <f>13.3454 * CHOOSE(CONTROL!$C$23, $C$12, 100%, $E$12)</f>
        <v>13.3454</v>
      </c>
      <c r="C804" s="65">
        <f>13.3454 * CHOOSE(CONTROL!$C$23, $C$12, 100%, $E$12)</f>
        <v>13.3454</v>
      </c>
      <c r="D804" s="65">
        <f>13.351 * CHOOSE(CONTROL!$C$23, $C$12, 100%, $E$12)</f>
        <v>13.351000000000001</v>
      </c>
      <c r="E804" s="66">
        <f>15.1221 * CHOOSE(CONTROL!$C$23, $C$12, 100%, $E$12)</f>
        <v>15.1221</v>
      </c>
      <c r="F804" s="66">
        <f>15.1221 * CHOOSE(CONTROL!$C$23, $C$12, 100%, $E$12)</f>
        <v>15.1221</v>
      </c>
      <c r="G804" s="66">
        <f>15.1289 * CHOOSE(CONTROL!$C$23, $C$12, 100%, $E$12)</f>
        <v>15.1289</v>
      </c>
      <c r="H804" s="66">
        <f>28.2337* CHOOSE(CONTROL!$C$23, $C$12, 100%, $E$12)</f>
        <v>28.233699999999999</v>
      </c>
      <c r="I804" s="66">
        <f>28.2406 * CHOOSE(CONTROL!$C$23, $C$12, 100%, $E$12)</f>
        <v>28.240600000000001</v>
      </c>
      <c r="J804" s="66">
        <f>28.2337 * CHOOSE(CONTROL!$C$23, $C$12, 100%, $E$12)</f>
        <v>28.233699999999999</v>
      </c>
      <c r="K804" s="66">
        <f>28.2406 * CHOOSE(CONTROL!$C$23, $C$12, 100%, $E$12)</f>
        <v>28.240600000000001</v>
      </c>
      <c r="L804" s="66">
        <f>15.1221 * CHOOSE(CONTROL!$C$23, $C$12, 100%, $E$12)</f>
        <v>15.1221</v>
      </c>
      <c r="M804" s="66">
        <f>15.1289 * CHOOSE(CONTROL!$C$23, $C$12, 100%, $E$12)</f>
        <v>15.1289</v>
      </c>
      <c r="N804" s="66">
        <f>15.1221 * CHOOSE(CONTROL!$C$23, $C$12, 100%, $E$12)</f>
        <v>15.1221</v>
      </c>
      <c r="O804" s="66">
        <f>15.1289 * CHOOSE(CONTROL!$C$23, $C$12, 100%, $E$12)</f>
        <v>15.1289</v>
      </c>
    </row>
    <row r="805" spans="1:15" ht="15">
      <c r="A805" s="13">
        <v>65654</v>
      </c>
      <c r="B805" s="65">
        <f>13.3705 * CHOOSE(CONTROL!$C$23, $C$12, 100%, $E$12)</f>
        <v>13.3705</v>
      </c>
      <c r="C805" s="65">
        <f>13.3705 * CHOOSE(CONTROL!$C$23, $C$12, 100%, $E$12)</f>
        <v>13.3705</v>
      </c>
      <c r="D805" s="65">
        <f>13.3745 * CHOOSE(CONTROL!$C$23, $C$12, 100%, $E$12)</f>
        <v>13.374499999999999</v>
      </c>
      <c r="E805" s="66">
        <f>15.2207 * CHOOSE(CONTROL!$C$23, $C$12, 100%, $E$12)</f>
        <v>15.220700000000001</v>
      </c>
      <c r="F805" s="66">
        <f>15.2207 * CHOOSE(CONTROL!$C$23, $C$12, 100%, $E$12)</f>
        <v>15.220700000000001</v>
      </c>
      <c r="G805" s="66">
        <f>15.2257 * CHOOSE(CONTROL!$C$23, $C$12, 100%, $E$12)</f>
        <v>15.2257</v>
      </c>
      <c r="H805" s="66">
        <f>28.2926* CHOOSE(CONTROL!$C$23, $C$12, 100%, $E$12)</f>
        <v>28.2926</v>
      </c>
      <c r="I805" s="66">
        <f>28.2975 * CHOOSE(CONTROL!$C$23, $C$12, 100%, $E$12)</f>
        <v>28.297499999999999</v>
      </c>
      <c r="J805" s="66">
        <f>28.2926 * CHOOSE(CONTROL!$C$23, $C$12, 100%, $E$12)</f>
        <v>28.2926</v>
      </c>
      <c r="K805" s="66">
        <f>28.2975 * CHOOSE(CONTROL!$C$23, $C$12, 100%, $E$12)</f>
        <v>28.297499999999999</v>
      </c>
      <c r="L805" s="66">
        <f>15.2207 * CHOOSE(CONTROL!$C$23, $C$12, 100%, $E$12)</f>
        <v>15.220700000000001</v>
      </c>
      <c r="M805" s="66">
        <f>15.2257 * CHOOSE(CONTROL!$C$23, $C$12, 100%, $E$12)</f>
        <v>15.2257</v>
      </c>
      <c r="N805" s="66">
        <f>15.2207 * CHOOSE(CONTROL!$C$23, $C$12, 100%, $E$12)</f>
        <v>15.220700000000001</v>
      </c>
      <c r="O805" s="66">
        <f>15.2257 * CHOOSE(CONTROL!$C$23, $C$12, 100%, $E$12)</f>
        <v>15.2257</v>
      </c>
    </row>
    <row r="806" spans="1:15" ht="15">
      <c r="A806" s="13">
        <v>65685</v>
      </c>
      <c r="B806" s="65">
        <f>13.3736 * CHOOSE(CONTROL!$C$23, $C$12, 100%, $E$12)</f>
        <v>13.3736</v>
      </c>
      <c r="C806" s="65">
        <f>13.3736 * CHOOSE(CONTROL!$C$23, $C$12, 100%, $E$12)</f>
        <v>13.3736</v>
      </c>
      <c r="D806" s="65">
        <f>13.3776 * CHOOSE(CONTROL!$C$23, $C$12, 100%, $E$12)</f>
        <v>13.377599999999999</v>
      </c>
      <c r="E806" s="66">
        <f>15.2789 * CHOOSE(CONTROL!$C$23, $C$12, 100%, $E$12)</f>
        <v>15.2789</v>
      </c>
      <c r="F806" s="66">
        <f>15.2789 * CHOOSE(CONTROL!$C$23, $C$12, 100%, $E$12)</f>
        <v>15.2789</v>
      </c>
      <c r="G806" s="66">
        <f>15.2838 * CHOOSE(CONTROL!$C$23, $C$12, 100%, $E$12)</f>
        <v>15.283799999999999</v>
      </c>
      <c r="H806" s="66">
        <f>28.3515* CHOOSE(CONTROL!$C$23, $C$12, 100%, $E$12)</f>
        <v>28.351500000000001</v>
      </c>
      <c r="I806" s="66">
        <f>28.3564 * CHOOSE(CONTROL!$C$23, $C$12, 100%, $E$12)</f>
        <v>28.356400000000001</v>
      </c>
      <c r="J806" s="66">
        <f>28.3515 * CHOOSE(CONTROL!$C$23, $C$12, 100%, $E$12)</f>
        <v>28.351500000000001</v>
      </c>
      <c r="K806" s="66">
        <f>28.3564 * CHOOSE(CONTROL!$C$23, $C$12, 100%, $E$12)</f>
        <v>28.356400000000001</v>
      </c>
      <c r="L806" s="66">
        <f>15.2789 * CHOOSE(CONTROL!$C$23, $C$12, 100%, $E$12)</f>
        <v>15.2789</v>
      </c>
      <c r="M806" s="66">
        <f>15.2838 * CHOOSE(CONTROL!$C$23, $C$12, 100%, $E$12)</f>
        <v>15.283799999999999</v>
      </c>
      <c r="N806" s="66">
        <f>15.2789 * CHOOSE(CONTROL!$C$23, $C$12, 100%, $E$12)</f>
        <v>15.2789</v>
      </c>
      <c r="O806" s="66">
        <f>15.2838 * CHOOSE(CONTROL!$C$23, $C$12, 100%, $E$12)</f>
        <v>15.283799999999999</v>
      </c>
    </row>
    <row r="807" spans="1:15" ht="15">
      <c r="A807" s="13">
        <v>65715</v>
      </c>
      <c r="B807" s="65">
        <f>13.3736 * CHOOSE(CONTROL!$C$23, $C$12, 100%, $E$12)</f>
        <v>13.3736</v>
      </c>
      <c r="C807" s="65">
        <f>13.3736 * CHOOSE(CONTROL!$C$23, $C$12, 100%, $E$12)</f>
        <v>13.3736</v>
      </c>
      <c r="D807" s="65">
        <f>13.3776 * CHOOSE(CONTROL!$C$23, $C$12, 100%, $E$12)</f>
        <v>13.377599999999999</v>
      </c>
      <c r="E807" s="66">
        <f>15.1388 * CHOOSE(CONTROL!$C$23, $C$12, 100%, $E$12)</f>
        <v>15.1388</v>
      </c>
      <c r="F807" s="66">
        <f>15.1388 * CHOOSE(CONTROL!$C$23, $C$12, 100%, $E$12)</f>
        <v>15.1388</v>
      </c>
      <c r="G807" s="66">
        <f>15.1437 * CHOOSE(CONTROL!$C$23, $C$12, 100%, $E$12)</f>
        <v>15.143700000000001</v>
      </c>
      <c r="H807" s="66">
        <f>28.4106* CHOOSE(CONTROL!$C$23, $C$12, 100%, $E$12)</f>
        <v>28.410599999999999</v>
      </c>
      <c r="I807" s="66">
        <f>28.4155 * CHOOSE(CONTROL!$C$23, $C$12, 100%, $E$12)</f>
        <v>28.415500000000002</v>
      </c>
      <c r="J807" s="66">
        <f>28.4106 * CHOOSE(CONTROL!$C$23, $C$12, 100%, $E$12)</f>
        <v>28.410599999999999</v>
      </c>
      <c r="K807" s="66">
        <f>28.4155 * CHOOSE(CONTROL!$C$23, $C$12, 100%, $E$12)</f>
        <v>28.415500000000002</v>
      </c>
      <c r="L807" s="66">
        <f>15.1388 * CHOOSE(CONTROL!$C$23, $C$12, 100%, $E$12)</f>
        <v>15.1388</v>
      </c>
      <c r="M807" s="66">
        <f>15.1437 * CHOOSE(CONTROL!$C$23, $C$12, 100%, $E$12)</f>
        <v>15.143700000000001</v>
      </c>
      <c r="N807" s="66">
        <f>15.1388 * CHOOSE(CONTROL!$C$23, $C$12, 100%, $E$12)</f>
        <v>15.1388</v>
      </c>
      <c r="O807" s="66">
        <f>15.1437 * CHOOSE(CONTROL!$C$23, $C$12, 100%, $E$12)</f>
        <v>15.143700000000001</v>
      </c>
    </row>
    <row r="808" spans="1:15" ht="15">
      <c r="A808" s="13">
        <v>65746</v>
      </c>
      <c r="B808" s="65">
        <f>13.372 * CHOOSE(CONTROL!$C$23, $C$12, 100%, $E$12)</f>
        <v>13.372</v>
      </c>
      <c r="C808" s="65">
        <f>13.372 * CHOOSE(CONTROL!$C$23, $C$12, 100%, $E$12)</f>
        <v>13.372</v>
      </c>
      <c r="D808" s="65">
        <f>13.376 * CHOOSE(CONTROL!$C$23, $C$12, 100%, $E$12)</f>
        <v>13.375999999999999</v>
      </c>
      <c r="E808" s="66">
        <f>15.2488 * CHOOSE(CONTROL!$C$23, $C$12, 100%, $E$12)</f>
        <v>15.248799999999999</v>
      </c>
      <c r="F808" s="66">
        <f>15.2488 * CHOOSE(CONTROL!$C$23, $C$12, 100%, $E$12)</f>
        <v>15.248799999999999</v>
      </c>
      <c r="G808" s="66">
        <f>15.2537 * CHOOSE(CONTROL!$C$23, $C$12, 100%, $E$12)</f>
        <v>15.2537</v>
      </c>
      <c r="H808" s="66">
        <f>28.2501* CHOOSE(CONTROL!$C$23, $C$12, 100%, $E$12)</f>
        <v>28.2501</v>
      </c>
      <c r="I808" s="66">
        <f>28.255 * CHOOSE(CONTROL!$C$23, $C$12, 100%, $E$12)</f>
        <v>28.254999999999999</v>
      </c>
      <c r="J808" s="66">
        <f>28.2501 * CHOOSE(CONTROL!$C$23, $C$12, 100%, $E$12)</f>
        <v>28.2501</v>
      </c>
      <c r="K808" s="66">
        <f>28.255 * CHOOSE(CONTROL!$C$23, $C$12, 100%, $E$12)</f>
        <v>28.254999999999999</v>
      </c>
      <c r="L808" s="66">
        <f>15.2488 * CHOOSE(CONTROL!$C$23, $C$12, 100%, $E$12)</f>
        <v>15.248799999999999</v>
      </c>
      <c r="M808" s="66">
        <f>15.2537 * CHOOSE(CONTROL!$C$23, $C$12, 100%, $E$12)</f>
        <v>15.2537</v>
      </c>
      <c r="N808" s="66">
        <f>15.2488 * CHOOSE(CONTROL!$C$23, $C$12, 100%, $E$12)</f>
        <v>15.248799999999999</v>
      </c>
      <c r="O808" s="66">
        <f>15.2537 * CHOOSE(CONTROL!$C$23, $C$12, 100%, $E$12)</f>
        <v>15.2537</v>
      </c>
    </row>
    <row r="809" spans="1:15" ht="15">
      <c r="A809" s="13">
        <v>65777</v>
      </c>
      <c r="B809" s="65">
        <f>13.369 * CHOOSE(CONTROL!$C$23, $C$12, 100%, $E$12)</f>
        <v>13.369</v>
      </c>
      <c r="C809" s="65">
        <f>13.369 * CHOOSE(CONTROL!$C$23, $C$12, 100%, $E$12)</f>
        <v>13.369</v>
      </c>
      <c r="D809" s="65">
        <f>13.373 * CHOOSE(CONTROL!$C$23, $C$12, 100%, $E$12)</f>
        <v>13.372999999999999</v>
      </c>
      <c r="E809" s="66">
        <f>14.9769 * CHOOSE(CONTROL!$C$23, $C$12, 100%, $E$12)</f>
        <v>14.976900000000001</v>
      </c>
      <c r="F809" s="66">
        <f>14.9769 * CHOOSE(CONTROL!$C$23, $C$12, 100%, $E$12)</f>
        <v>14.976900000000001</v>
      </c>
      <c r="G809" s="66">
        <f>14.9818 * CHOOSE(CONTROL!$C$23, $C$12, 100%, $E$12)</f>
        <v>14.9818</v>
      </c>
      <c r="H809" s="66">
        <f>28.309* CHOOSE(CONTROL!$C$23, $C$12, 100%, $E$12)</f>
        <v>28.309000000000001</v>
      </c>
      <c r="I809" s="66">
        <f>28.3139 * CHOOSE(CONTROL!$C$23, $C$12, 100%, $E$12)</f>
        <v>28.3139</v>
      </c>
      <c r="J809" s="66">
        <f>28.309 * CHOOSE(CONTROL!$C$23, $C$12, 100%, $E$12)</f>
        <v>28.309000000000001</v>
      </c>
      <c r="K809" s="66">
        <f>28.3139 * CHOOSE(CONTROL!$C$23, $C$12, 100%, $E$12)</f>
        <v>28.3139</v>
      </c>
      <c r="L809" s="66">
        <f>14.9769 * CHOOSE(CONTROL!$C$23, $C$12, 100%, $E$12)</f>
        <v>14.976900000000001</v>
      </c>
      <c r="M809" s="66">
        <f>14.9818 * CHOOSE(CONTROL!$C$23, $C$12, 100%, $E$12)</f>
        <v>14.9818</v>
      </c>
      <c r="N809" s="66">
        <f>14.9769 * CHOOSE(CONTROL!$C$23, $C$12, 100%, $E$12)</f>
        <v>14.976900000000001</v>
      </c>
      <c r="O809" s="66">
        <f>14.9818 * CHOOSE(CONTROL!$C$23, $C$12, 100%, $E$12)</f>
        <v>14.9818</v>
      </c>
    </row>
    <row r="810" spans="1:15" ht="15">
      <c r="A810" s="13">
        <v>65806</v>
      </c>
      <c r="B810" s="65">
        <f>13.3659 * CHOOSE(CONTROL!$C$23, $C$12, 100%, $E$12)</f>
        <v>13.3659</v>
      </c>
      <c r="C810" s="65">
        <f>13.3659 * CHOOSE(CONTROL!$C$23, $C$12, 100%, $E$12)</f>
        <v>13.3659</v>
      </c>
      <c r="D810" s="65">
        <f>13.3699 * CHOOSE(CONTROL!$C$23, $C$12, 100%, $E$12)</f>
        <v>13.369899999999999</v>
      </c>
      <c r="E810" s="66">
        <f>15.1874 * CHOOSE(CONTROL!$C$23, $C$12, 100%, $E$12)</f>
        <v>15.1874</v>
      </c>
      <c r="F810" s="66">
        <f>15.1874 * CHOOSE(CONTROL!$C$23, $C$12, 100%, $E$12)</f>
        <v>15.1874</v>
      </c>
      <c r="G810" s="66">
        <f>15.1924 * CHOOSE(CONTROL!$C$23, $C$12, 100%, $E$12)</f>
        <v>15.192399999999999</v>
      </c>
      <c r="H810" s="66">
        <f>28.3679* CHOOSE(CONTROL!$C$23, $C$12, 100%, $E$12)</f>
        <v>28.367899999999999</v>
      </c>
      <c r="I810" s="66">
        <f>28.3729 * CHOOSE(CONTROL!$C$23, $C$12, 100%, $E$12)</f>
        <v>28.372900000000001</v>
      </c>
      <c r="J810" s="66">
        <f>28.3679 * CHOOSE(CONTROL!$C$23, $C$12, 100%, $E$12)</f>
        <v>28.367899999999999</v>
      </c>
      <c r="K810" s="66">
        <f>28.3729 * CHOOSE(CONTROL!$C$23, $C$12, 100%, $E$12)</f>
        <v>28.372900000000001</v>
      </c>
      <c r="L810" s="66">
        <f>15.1874 * CHOOSE(CONTROL!$C$23, $C$12, 100%, $E$12)</f>
        <v>15.1874</v>
      </c>
      <c r="M810" s="66">
        <f>15.1924 * CHOOSE(CONTROL!$C$23, $C$12, 100%, $E$12)</f>
        <v>15.192399999999999</v>
      </c>
      <c r="N810" s="66">
        <f>15.1874 * CHOOSE(CONTROL!$C$23, $C$12, 100%, $E$12)</f>
        <v>15.1874</v>
      </c>
      <c r="O810" s="66">
        <f>15.1924 * CHOOSE(CONTROL!$C$23, $C$12, 100%, $E$12)</f>
        <v>15.192399999999999</v>
      </c>
    </row>
    <row r="811" spans="1:15" ht="15">
      <c r="A811" s="13">
        <v>65837</v>
      </c>
      <c r="B811" s="65">
        <f>13.3715 * CHOOSE(CONTROL!$C$23, $C$12, 100%, $E$12)</f>
        <v>13.371499999999999</v>
      </c>
      <c r="C811" s="65">
        <f>13.3715 * CHOOSE(CONTROL!$C$23, $C$12, 100%, $E$12)</f>
        <v>13.371499999999999</v>
      </c>
      <c r="D811" s="65">
        <f>13.3754 * CHOOSE(CONTROL!$C$23, $C$12, 100%, $E$12)</f>
        <v>13.375400000000001</v>
      </c>
      <c r="E811" s="66">
        <f>15.4116 * CHOOSE(CONTROL!$C$23, $C$12, 100%, $E$12)</f>
        <v>15.4116</v>
      </c>
      <c r="F811" s="66">
        <f>15.4116 * CHOOSE(CONTROL!$C$23, $C$12, 100%, $E$12)</f>
        <v>15.4116</v>
      </c>
      <c r="G811" s="66">
        <f>15.4165 * CHOOSE(CONTROL!$C$23, $C$12, 100%, $E$12)</f>
        <v>15.416499999999999</v>
      </c>
      <c r="H811" s="66">
        <f>28.427* CHOOSE(CONTROL!$C$23, $C$12, 100%, $E$12)</f>
        <v>28.427</v>
      </c>
      <c r="I811" s="66">
        <f>28.432 * CHOOSE(CONTROL!$C$23, $C$12, 100%, $E$12)</f>
        <v>28.431999999999999</v>
      </c>
      <c r="J811" s="66">
        <f>28.427 * CHOOSE(CONTROL!$C$23, $C$12, 100%, $E$12)</f>
        <v>28.427</v>
      </c>
      <c r="K811" s="66">
        <f>28.432 * CHOOSE(CONTROL!$C$23, $C$12, 100%, $E$12)</f>
        <v>28.431999999999999</v>
      </c>
      <c r="L811" s="66">
        <f>15.4116 * CHOOSE(CONTROL!$C$23, $C$12, 100%, $E$12)</f>
        <v>15.4116</v>
      </c>
      <c r="M811" s="66">
        <f>15.4165 * CHOOSE(CONTROL!$C$23, $C$12, 100%, $E$12)</f>
        <v>15.416499999999999</v>
      </c>
      <c r="N811" s="66">
        <f>15.4116 * CHOOSE(CONTROL!$C$23, $C$12, 100%, $E$12)</f>
        <v>15.4116</v>
      </c>
      <c r="O811" s="66">
        <f>15.4165 * CHOOSE(CONTROL!$C$23, $C$12, 100%, $E$12)</f>
        <v>15.416499999999999</v>
      </c>
    </row>
    <row r="812" spans="1:15" ht="15">
      <c r="A812" s="13">
        <v>65867</v>
      </c>
      <c r="B812" s="65">
        <f>13.3715 * CHOOSE(CONTROL!$C$23, $C$12, 100%, $E$12)</f>
        <v>13.371499999999999</v>
      </c>
      <c r="C812" s="65">
        <f>13.3715 * CHOOSE(CONTROL!$C$23, $C$12, 100%, $E$12)</f>
        <v>13.371499999999999</v>
      </c>
      <c r="D812" s="65">
        <f>13.3771 * CHOOSE(CONTROL!$C$23, $C$12, 100%, $E$12)</f>
        <v>13.3771</v>
      </c>
      <c r="E812" s="66">
        <f>15.4973 * CHOOSE(CONTROL!$C$23, $C$12, 100%, $E$12)</f>
        <v>15.497299999999999</v>
      </c>
      <c r="F812" s="66">
        <f>15.4973 * CHOOSE(CONTROL!$C$23, $C$12, 100%, $E$12)</f>
        <v>15.497299999999999</v>
      </c>
      <c r="G812" s="66">
        <f>15.5042 * CHOOSE(CONTROL!$C$23, $C$12, 100%, $E$12)</f>
        <v>15.504200000000001</v>
      </c>
      <c r="H812" s="66">
        <f>28.4863* CHOOSE(CONTROL!$C$23, $C$12, 100%, $E$12)</f>
        <v>28.4863</v>
      </c>
      <c r="I812" s="66">
        <f>28.4931 * CHOOSE(CONTROL!$C$23, $C$12, 100%, $E$12)</f>
        <v>28.493099999999998</v>
      </c>
      <c r="J812" s="66">
        <f>28.4863 * CHOOSE(CONTROL!$C$23, $C$12, 100%, $E$12)</f>
        <v>28.4863</v>
      </c>
      <c r="K812" s="66">
        <f>28.4931 * CHOOSE(CONTROL!$C$23, $C$12, 100%, $E$12)</f>
        <v>28.493099999999998</v>
      </c>
      <c r="L812" s="66">
        <f>15.4973 * CHOOSE(CONTROL!$C$23, $C$12, 100%, $E$12)</f>
        <v>15.497299999999999</v>
      </c>
      <c r="M812" s="66">
        <f>15.5042 * CHOOSE(CONTROL!$C$23, $C$12, 100%, $E$12)</f>
        <v>15.504200000000001</v>
      </c>
      <c r="N812" s="66">
        <f>15.4973 * CHOOSE(CONTROL!$C$23, $C$12, 100%, $E$12)</f>
        <v>15.497299999999999</v>
      </c>
      <c r="O812" s="66">
        <f>15.5042 * CHOOSE(CONTROL!$C$23, $C$12, 100%, $E$12)</f>
        <v>15.504200000000001</v>
      </c>
    </row>
    <row r="813" spans="1:15" ht="15">
      <c r="A813" s="13">
        <v>65898</v>
      </c>
      <c r="B813" s="65">
        <f>13.3775 * CHOOSE(CONTROL!$C$23, $C$12, 100%, $E$12)</f>
        <v>13.3775</v>
      </c>
      <c r="C813" s="65">
        <f>13.3775 * CHOOSE(CONTROL!$C$23, $C$12, 100%, $E$12)</f>
        <v>13.3775</v>
      </c>
      <c r="D813" s="65">
        <f>13.3832 * CHOOSE(CONTROL!$C$23, $C$12, 100%, $E$12)</f>
        <v>13.3832</v>
      </c>
      <c r="E813" s="66">
        <f>15.4159 * CHOOSE(CONTROL!$C$23, $C$12, 100%, $E$12)</f>
        <v>15.415900000000001</v>
      </c>
      <c r="F813" s="66">
        <f>15.4159 * CHOOSE(CONTROL!$C$23, $C$12, 100%, $E$12)</f>
        <v>15.415900000000001</v>
      </c>
      <c r="G813" s="66">
        <f>15.4227 * CHOOSE(CONTROL!$C$23, $C$12, 100%, $E$12)</f>
        <v>15.422700000000001</v>
      </c>
      <c r="H813" s="66">
        <f>28.5456* CHOOSE(CONTROL!$C$23, $C$12, 100%, $E$12)</f>
        <v>28.5456</v>
      </c>
      <c r="I813" s="66">
        <f>28.5525 * CHOOSE(CONTROL!$C$23, $C$12, 100%, $E$12)</f>
        <v>28.552499999999998</v>
      </c>
      <c r="J813" s="66">
        <f>28.5456 * CHOOSE(CONTROL!$C$23, $C$12, 100%, $E$12)</f>
        <v>28.5456</v>
      </c>
      <c r="K813" s="66">
        <f>28.5525 * CHOOSE(CONTROL!$C$23, $C$12, 100%, $E$12)</f>
        <v>28.552499999999998</v>
      </c>
      <c r="L813" s="66">
        <f>15.4159 * CHOOSE(CONTROL!$C$23, $C$12, 100%, $E$12)</f>
        <v>15.415900000000001</v>
      </c>
      <c r="M813" s="66">
        <f>15.4227 * CHOOSE(CONTROL!$C$23, $C$12, 100%, $E$12)</f>
        <v>15.422700000000001</v>
      </c>
      <c r="N813" s="66">
        <f>15.4159 * CHOOSE(CONTROL!$C$23, $C$12, 100%, $E$12)</f>
        <v>15.415900000000001</v>
      </c>
      <c r="O813" s="66">
        <f>15.4227 * CHOOSE(CONTROL!$C$23, $C$12, 100%, $E$12)</f>
        <v>15.422700000000001</v>
      </c>
    </row>
    <row r="814" spans="1:15" ht="15">
      <c r="A814" s="13">
        <v>65928</v>
      </c>
      <c r="B814" s="65">
        <f>13.5809 * CHOOSE(CONTROL!$C$23, $C$12, 100%, $E$12)</f>
        <v>13.5809</v>
      </c>
      <c r="C814" s="65">
        <f>13.5809 * CHOOSE(CONTROL!$C$23, $C$12, 100%, $E$12)</f>
        <v>13.5809</v>
      </c>
      <c r="D814" s="65">
        <f>13.5865 * CHOOSE(CONTROL!$C$23, $C$12, 100%, $E$12)</f>
        <v>13.586499999999999</v>
      </c>
      <c r="E814" s="66">
        <f>15.6616 * CHOOSE(CONTROL!$C$23, $C$12, 100%, $E$12)</f>
        <v>15.6616</v>
      </c>
      <c r="F814" s="66">
        <f>15.6616 * CHOOSE(CONTROL!$C$23, $C$12, 100%, $E$12)</f>
        <v>15.6616</v>
      </c>
      <c r="G814" s="66">
        <f>15.6685 * CHOOSE(CONTROL!$C$23, $C$12, 100%, $E$12)</f>
        <v>15.6685</v>
      </c>
      <c r="H814" s="66">
        <f>28.6051* CHOOSE(CONTROL!$C$23, $C$12, 100%, $E$12)</f>
        <v>28.6051</v>
      </c>
      <c r="I814" s="66">
        <f>28.612 * CHOOSE(CONTROL!$C$23, $C$12, 100%, $E$12)</f>
        <v>28.611999999999998</v>
      </c>
      <c r="J814" s="66">
        <f>28.6051 * CHOOSE(CONTROL!$C$23, $C$12, 100%, $E$12)</f>
        <v>28.6051</v>
      </c>
      <c r="K814" s="66">
        <f>28.612 * CHOOSE(CONTROL!$C$23, $C$12, 100%, $E$12)</f>
        <v>28.611999999999998</v>
      </c>
      <c r="L814" s="66">
        <f>15.6616 * CHOOSE(CONTROL!$C$23, $C$12, 100%, $E$12)</f>
        <v>15.6616</v>
      </c>
      <c r="M814" s="66">
        <f>15.6685 * CHOOSE(CONTROL!$C$23, $C$12, 100%, $E$12)</f>
        <v>15.6685</v>
      </c>
      <c r="N814" s="66">
        <f>15.6616 * CHOOSE(CONTROL!$C$23, $C$12, 100%, $E$12)</f>
        <v>15.6616</v>
      </c>
      <c r="O814" s="66">
        <f>15.6685 * CHOOSE(CONTROL!$C$23, $C$12, 100%, $E$12)</f>
        <v>15.6685</v>
      </c>
    </row>
    <row r="815" spans="1:15" ht="15">
      <c r="A815" s="13">
        <v>65959</v>
      </c>
      <c r="B815" s="65">
        <f>13.5876 * CHOOSE(CONTROL!$C$23, $C$12, 100%, $E$12)</f>
        <v>13.5876</v>
      </c>
      <c r="C815" s="65">
        <f>13.5876 * CHOOSE(CONTROL!$C$23, $C$12, 100%, $E$12)</f>
        <v>13.5876</v>
      </c>
      <c r="D815" s="65">
        <f>13.5932 * CHOOSE(CONTROL!$C$23, $C$12, 100%, $E$12)</f>
        <v>13.5932</v>
      </c>
      <c r="E815" s="66">
        <f>15.4093 * CHOOSE(CONTROL!$C$23, $C$12, 100%, $E$12)</f>
        <v>15.4093</v>
      </c>
      <c r="F815" s="66">
        <f>15.4093 * CHOOSE(CONTROL!$C$23, $C$12, 100%, $E$12)</f>
        <v>15.4093</v>
      </c>
      <c r="G815" s="66">
        <f>15.4162 * CHOOSE(CONTROL!$C$23, $C$12, 100%, $E$12)</f>
        <v>15.4162</v>
      </c>
      <c r="H815" s="66">
        <f>28.6647* CHOOSE(CONTROL!$C$23, $C$12, 100%, $E$12)</f>
        <v>28.6647</v>
      </c>
      <c r="I815" s="66">
        <f>28.6716 * CHOOSE(CONTROL!$C$23, $C$12, 100%, $E$12)</f>
        <v>28.671600000000002</v>
      </c>
      <c r="J815" s="66">
        <f>28.6647 * CHOOSE(CONTROL!$C$23, $C$12, 100%, $E$12)</f>
        <v>28.6647</v>
      </c>
      <c r="K815" s="66">
        <f>28.6716 * CHOOSE(CONTROL!$C$23, $C$12, 100%, $E$12)</f>
        <v>28.671600000000002</v>
      </c>
      <c r="L815" s="66">
        <f>15.4093 * CHOOSE(CONTROL!$C$23, $C$12, 100%, $E$12)</f>
        <v>15.4093</v>
      </c>
      <c r="M815" s="66">
        <f>15.4162 * CHOOSE(CONTROL!$C$23, $C$12, 100%, $E$12)</f>
        <v>15.4162</v>
      </c>
      <c r="N815" s="66">
        <f>15.4093 * CHOOSE(CONTROL!$C$23, $C$12, 100%, $E$12)</f>
        <v>15.4093</v>
      </c>
      <c r="O815" s="66">
        <f>15.4162 * CHOOSE(CONTROL!$C$23, $C$12, 100%, $E$12)</f>
        <v>15.4162</v>
      </c>
    </row>
    <row r="816" spans="1:15" ht="15">
      <c r="A816" s="13">
        <v>65990</v>
      </c>
      <c r="B816" s="65">
        <f>13.5845 * CHOOSE(CONTROL!$C$23, $C$12, 100%, $E$12)</f>
        <v>13.5845</v>
      </c>
      <c r="C816" s="65">
        <f>13.5845 * CHOOSE(CONTROL!$C$23, $C$12, 100%, $E$12)</f>
        <v>13.5845</v>
      </c>
      <c r="D816" s="65">
        <f>13.5902 * CHOOSE(CONTROL!$C$23, $C$12, 100%, $E$12)</f>
        <v>13.590199999999999</v>
      </c>
      <c r="E816" s="66">
        <f>15.3786 * CHOOSE(CONTROL!$C$23, $C$12, 100%, $E$12)</f>
        <v>15.3786</v>
      </c>
      <c r="F816" s="66">
        <f>15.3786 * CHOOSE(CONTROL!$C$23, $C$12, 100%, $E$12)</f>
        <v>15.3786</v>
      </c>
      <c r="G816" s="66">
        <f>15.3855 * CHOOSE(CONTROL!$C$23, $C$12, 100%, $E$12)</f>
        <v>15.3855</v>
      </c>
      <c r="H816" s="66">
        <f>28.7244* CHOOSE(CONTROL!$C$23, $C$12, 100%, $E$12)</f>
        <v>28.724399999999999</v>
      </c>
      <c r="I816" s="66">
        <f>28.7313 * CHOOSE(CONTROL!$C$23, $C$12, 100%, $E$12)</f>
        <v>28.731300000000001</v>
      </c>
      <c r="J816" s="66">
        <f>28.7244 * CHOOSE(CONTROL!$C$23, $C$12, 100%, $E$12)</f>
        <v>28.724399999999999</v>
      </c>
      <c r="K816" s="66">
        <f>28.7313 * CHOOSE(CONTROL!$C$23, $C$12, 100%, $E$12)</f>
        <v>28.731300000000001</v>
      </c>
      <c r="L816" s="66">
        <f>15.3786 * CHOOSE(CONTROL!$C$23, $C$12, 100%, $E$12)</f>
        <v>15.3786</v>
      </c>
      <c r="M816" s="66">
        <f>15.3855 * CHOOSE(CONTROL!$C$23, $C$12, 100%, $E$12)</f>
        <v>15.3855</v>
      </c>
      <c r="N816" s="66">
        <f>15.3786 * CHOOSE(CONTROL!$C$23, $C$12, 100%, $E$12)</f>
        <v>15.3786</v>
      </c>
      <c r="O816" s="66">
        <f>15.3855 * CHOOSE(CONTROL!$C$23, $C$12, 100%, $E$12)</f>
        <v>15.3855</v>
      </c>
    </row>
    <row r="817" spans="1:15" ht="15">
      <c r="A817" s="13">
        <v>66020</v>
      </c>
      <c r="B817" s="65">
        <f>13.6105 * CHOOSE(CONTROL!$C$23, $C$12, 100%, $E$12)</f>
        <v>13.6105</v>
      </c>
      <c r="C817" s="65">
        <f>13.6105 * CHOOSE(CONTROL!$C$23, $C$12, 100%, $E$12)</f>
        <v>13.6105</v>
      </c>
      <c r="D817" s="65">
        <f>13.6145 * CHOOSE(CONTROL!$C$23, $C$12, 100%, $E$12)</f>
        <v>13.6145</v>
      </c>
      <c r="E817" s="66">
        <f>15.4794 * CHOOSE(CONTROL!$C$23, $C$12, 100%, $E$12)</f>
        <v>15.4794</v>
      </c>
      <c r="F817" s="66">
        <f>15.4794 * CHOOSE(CONTROL!$C$23, $C$12, 100%, $E$12)</f>
        <v>15.4794</v>
      </c>
      <c r="G817" s="66">
        <f>15.4843 * CHOOSE(CONTROL!$C$23, $C$12, 100%, $E$12)</f>
        <v>15.484299999999999</v>
      </c>
      <c r="H817" s="66">
        <f>28.7842* CHOOSE(CONTROL!$C$23, $C$12, 100%, $E$12)</f>
        <v>28.784199999999998</v>
      </c>
      <c r="I817" s="66">
        <f>28.7891 * CHOOSE(CONTROL!$C$23, $C$12, 100%, $E$12)</f>
        <v>28.789100000000001</v>
      </c>
      <c r="J817" s="66">
        <f>28.7842 * CHOOSE(CONTROL!$C$23, $C$12, 100%, $E$12)</f>
        <v>28.784199999999998</v>
      </c>
      <c r="K817" s="66">
        <f>28.7891 * CHOOSE(CONTROL!$C$23, $C$12, 100%, $E$12)</f>
        <v>28.789100000000001</v>
      </c>
      <c r="L817" s="66">
        <f>15.4794 * CHOOSE(CONTROL!$C$23, $C$12, 100%, $E$12)</f>
        <v>15.4794</v>
      </c>
      <c r="M817" s="66">
        <f>15.4843 * CHOOSE(CONTROL!$C$23, $C$12, 100%, $E$12)</f>
        <v>15.484299999999999</v>
      </c>
      <c r="N817" s="66">
        <f>15.4794 * CHOOSE(CONTROL!$C$23, $C$12, 100%, $E$12)</f>
        <v>15.4794</v>
      </c>
      <c r="O817" s="66">
        <f>15.4843 * CHOOSE(CONTROL!$C$23, $C$12, 100%, $E$12)</f>
        <v>15.484299999999999</v>
      </c>
    </row>
    <row r="818" spans="1:15" ht="15">
      <c r="A818" s="13">
        <v>66051</v>
      </c>
      <c r="B818" s="65">
        <f>13.6135 * CHOOSE(CONTROL!$C$23, $C$12, 100%, $E$12)</f>
        <v>13.6135</v>
      </c>
      <c r="C818" s="65">
        <f>13.6135 * CHOOSE(CONTROL!$C$23, $C$12, 100%, $E$12)</f>
        <v>13.6135</v>
      </c>
      <c r="D818" s="65">
        <f>13.6175 * CHOOSE(CONTROL!$C$23, $C$12, 100%, $E$12)</f>
        <v>13.6175</v>
      </c>
      <c r="E818" s="66">
        <f>15.5386 * CHOOSE(CONTROL!$C$23, $C$12, 100%, $E$12)</f>
        <v>15.538600000000001</v>
      </c>
      <c r="F818" s="66">
        <f>15.5386 * CHOOSE(CONTROL!$C$23, $C$12, 100%, $E$12)</f>
        <v>15.538600000000001</v>
      </c>
      <c r="G818" s="66">
        <f>15.5435 * CHOOSE(CONTROL!$C$23, $C$12, 100%, $E$12)</f>
        <v>15.5435</v>
      </c>
      <c r="H818" s="66">
        <f>28.8442* CHOOSE(CONTROL!$C$23, $C$12, 100%, $E$12)</f>
        <v>28.844200000000001</v>
      </c>
      <c r="I818" s="66">
        <f>28.8491 * CHOOSE(CONTROL!$C$23, $C$12, 100%, $E$12)</f>
        <v>28.8491</v>
      </c>
      <c r="J818" s="66">
        <f>28.8442 * CHOOSE(CONTROL!$C$23, $C$12, 100%, $E$12)</f>
        <v>28.844200000000001</v>
      </c>
      <c r="K818" s="66">
        <f>28.8491 * CHOOSE(CONTROL!$C$23, $C$12, 100%, $E$12)</f>
        <v>28.8491</v>
      </c>
      <c r="L818" s="66">
        <f>15.5386 * CHOOSE(CONTROL!$C$23, $C$12, 100%, $E$12)</f>
        <v>15.538600000000001</v>
      </c>
      <c r="M818" s="66">
        <f>15.5435 * CHOOSE(CONTROL!$C$23, $C$12, 100%, $E$12)</f>
        <v>15.5435</v>
      </c>
      <c r="N818" s="66">
        <f>15.5386 * CHOOSE(CONTROL!$C$23, $C$12, 100%, $E$12)</f>
        <v>15.538600000000001</v>
      </c>
      <c r="O818" s="66">
        <f>15.5435 * CHOOSE(CONTROL!$C$23, $C$12, 100%, $E$12)</f>
        <v>15.5435</v>
      </c>
    </row>
    <row r="819" spans="1:15" ht="15">
      <c r="A819" s="13">
        <v>66081</v>
      </c>
      <c r="B819" s="65">
        <f>13.6135 * CHOOSE(CONTROL!$C$23, $C$12, 100%, $E$12)</f>
        <v>13.6135</v>
      </c>
      <c r="C819" s="65">
        <f>13.6135 * CHOOSE(CONTROL!$C$23, $C$12, 100%, $E$12)</f>
        <v>13.6135</v>
      </c>
      <c r="D819" s="65">
        <f>13.6175 * CHOOSE(CONTROL!$C$23, $C$12, 100%, $E$12)</f>
        <v>13.6175</v>
      </c>
      <c r="E819" s="66">
        <f>15.3959 * CHOOSE(CONTROL!$C$23, $C$12, 100%, $E$12)</f>
        <v>15.395899999999999</v>
      </c>
      <c r="F819" s="66">
        <f>15.3959 * CHOOSE(CONTROL!$C$23, $C$12, 100%, $E$12)</f>
        <v>15.395899999999999</v>
      </c>
      <c r="G819" s="66">
        <f>15.4008 * CHOOSE(CONTROL!$C$23, $C$12, 100%, $E$12)</f>
        <v>15.4008</v>
      </c>
      <c r="H819" s="66">
        <f>28.9043* CHOOSE(CONTROL!$C$23, $C$12, 100%, $E$12)</f>
        <v>28.904299999999999</v>
      </c>
      <c r="I819" s="66">
        <f>28.9092 * CHOOSE(CONTROL!$C$23, $C$12, 100%, $E$12)</f>
        <v>28.909199999999998</v>
      </c>
      <c r="J819" s="66">
        <f>28.9043 * CHOOSE(CONTROL!$C$23, $C$12, 100%, $E$12)</f>
        <v>28.904299999999999</v>
      </c>
      <c r="K819" s="66">
        <f>28.9092 * CHOOSE(CONTROL!$C$23, $C$12, 100%, $E$12)</f>
        <v>28.909199999999998</v>
      </c>
      <c r="L819" s="66">
        <f>15.3959 * CHOOSE(CONTROL!$C$23, $C$12, 100%, $E$12)</f>
        <v>15.395899999999999</v>
      </c>
      <c r="M819" s="66">
        <f>15.4008 * CHOOSE(CONTROL!$C$23, $C$12, 100%, $E$12)</f>
        <v>15.4008</v>
      </c>
      <c r="N819" s="66">
        <f>15.3959 * CHOOSE(CONTROL!$C$23, $C$12, 100%, $E$12)</f>
        <v>15.395899999999999</v>
      </c>
      <c r="O819" s="66">
        <f>15.4008 * CHOOSE(CONTROL!$C$23, $C$12, 100%, $E$12)</f>
        <v>15.4008</v>
      </c>
    </row>
    <row r="820" spans="1:15" ht="15">
      <c r="A820" s="13">
        <v>66112</v>
      </c>
      <c r="B820" s="65">
        <f>13.6076 * CHOOSE(CONTROL!$C$23, $C$12, 100%, $E$12)</f>
        <v>13.6076</v>
      </c>
      <c r="C820" s="65">
        <f>13.6076 * CHOOSE(CONTROL!$C$23, $C$12, 100%, $E$12)</f>
        <v>13.6076</v>
      </c>
      <c r="D820" s="65">
        <f>13.6116 * CHOOSE(CONTROL!$C$23, $C$12, 100%, $E$12)</f>
        <v>13.611599999999999</v>
      </c>
      <c r="E820" s="66">
        <f>15.5035 * CHOOSE(CONTROL!$C$23, $C$12, 100%, $E$12)</f>
        <v>15.503500000000001</v>
      </c>
      <c r="F820" s="66">
        <f>15.5035 * CHOOSE(CONTROL!$C$23, $C$12, 100%, $E$12)</f>
        <v>15.503500000000001</v>
      </c>
      <c r="G820" s="66">
        <f>15.5084 * CHOOSE(CONTROL!$C$23, $C$12, 100%, $E$12)</f>
        <v>15.5084</v>
      </c>
      <c r="H820" s="66">
        <f>28.7326* CHOOSE(CONTROL!$C$23, $C$12, 100%, $E$12)</f>
        <v>28.732600000000001</v>
      </c>
      <c r="I820" s="66">
        <f>28.7376 * CHOOSE(CONTROL!$C$23, $C$12, 100%, $E$12)</f>
        <v>28.7376</v>
      </c>
      <c r="J820" s="66">
        <f>28.7326 * CHOOSE(CONTROL!$C$23, $C$12, 100%, $E$12)</f>
        <v>28.732600000000001</v>
      </c>
      <c r="K820" s="66">
        <f>28.7376 * CHOOSE(CONTROL!$C$23, $C$12, 100%, $E$12)</f>
        <v>28.7376</v>
      </c>
      <c r="L820" s="66">
        <f>15.5035 * CHOOSE(CONTROL!$C$23, $C$12, 100%, $E$12)</f>
        <v>15.503500000000001</v>
      </c>
      <c r="M820" s="66">
        <f>15.5084 * CHOOSE(CONTROL!$C$23, $C$12, 100%, $E$12)</f>
        <v>15.5084</v>
      </c>
      <c r="N820" s="66">
        <f>15.5035 * CHOOSE(CONTROL!$C$23, $C$12, 100%, $E$12)</f>
        <v>15.503500000000001</v>
      </c>
      <c r="O820" s="66">
        <f>15.5084 * CHOOSE(CONTROL!$C$23, $C$12, 100%, $E$12)</f>
        <v>15.5084</v>
      </c>
    </row>
    <row r="821" spans="1:15" ht="15">
      <c r="A821" s="13">
        <v>66143</v>
      </c>
      <c r="B821" s="65">
        <f>13.6046 * CHOOSE(CONTROL!$C$23, $C$12, 100%, $E$12)</f>
        <v>13.6046</v>
      </c>
      <c r="C821" s="65">
        <f>13.6046 * CHOOSE(CONTROL!$C$23, $C$12, 100%, $E$12)</f>
        <v>13.6046</v>
      </c>
      <c r="D821" s="65">
        <f>13.6086 * CHOOSE(CONTROL!$C$23, $C$12, 100%, $E$12)</f>
        <v>13.608599999999999</v>
      </c>
      <c r="E821" s="66">
        <f>15.2267 * CHOOSE(CONTROL!$C$23, $C$12, 100%, $E$12)</f>
        <v>15.226699999999999</v>
      </c>
      <c r="F821" s="66">
        <f>15.2267 * CHOOSE(CONTROL!$C$23, $C$12, 100%, $E$12)</f>
        <v>15.226699999999999</v>
      </c>
      <c r="G821" s="66">
        <f>15.2316 * CHOOSE(CONTROL!$C$23, $C$12, 100%, $E$12)</f>
        <v>15.2316</v>
      </c>
      <c r="H821" s="66">
        <f>28.7925* CHOOSE(CONTROL!$C$23, $C$12, 100%, $E$12)</f>
        <v>28.7925</v>
      </c>
      <c r="I821" s="66">
        <f>28.7974 * CHOOSE(CONTROL!$C$23, $C$12, 100%, $E$12)</f>
        <v>28.7974</v>
      </c>
      <c r="J821" s="66">
        <f>28.7925 * CHOOSE(CONTROL!$C$23, $C$12, 100%, $E$12)</f>
        <v>28.7925</v>
      </c>
      <c r="K821" s="66">
        <f>28.7974 * CHOOSE(CONTROL!$C$23, $C$12, 100%, $E$12)</f>
        <v>28.7974</v>
      </c>
      <c r="L821" s="66">
        <f>15.2267 * CHOOSE(CONTROL!$C$23, $C$12, 100%, $E$12)</f>
        <v>15.226699999999999</v>
      </c>
      <c r="M821" s="66">
        <f>15.2316 * CHOOSE(CONTROL!$C$23, $C$12, 100%, $E$12)</f>
        <v>15.2316</v>
      </c>
      <c r="N821" s="66">
        <f>15.2267 * CHOOSE(CONTROL!$C$23, $C$12, 100%, $E$12)</f>
        <v>15.226699999999999</v>
      </c>
      <c r="O821" s="66">
        <f>15.2316 * CHOOSE(CONTROL!$C$23, $C$12, 100%, $E$12)</f>
        <v>15.2316</v>
      </c>
    </row>
    <row r="822" spans="1:15" ht="15">
      <c r="A822" s="13">
        <v>66171</v>
      </c>
      <c r="B822" s="65">
        <f>13.6015 * CHOOSE(CONTROL!$C$23, $C$12, 100%, $E$12)</f>
        <v>13.6015</v>
      </c>
      <c r="C822" s="65">
        <f>13.6015 * CHOOSE(CONTROL!$C$23, $C$12, 100%, $E$12)</f>
        <v>13.6015</v>
      </c>
      <c r="D822" s="65">
        <f>13.6055 * CHOOSE(CONTROL!$C$23, $C$12, 100%, $E$12)</f>
        <v>13.605499999999999</v>
      </c>
      <c r="E822" s="66">
        <f>15.4411 * CHOOSE(CONTROL!$C$23, $C$12, 100%, $E$12)</f>
        <v>15.4411</v>
      </c>
      <c r="F822" s="66">
        <f>15.4411 * CHOOSE(CONTROL!$C$23, $C$12, 100%, $E$12)</f>
        <v>15.4411</v>
      </c>
      <c r="G822" s="66">
        <f>15.446 * CHOOSE(CONTROL!$C$23, $C$12, 100%, $E$12)</f>
        <v>15.446</v>
      </c>
      <c r="H822" s="66">
        <f>28.8525* CHOOSE(CONTROL!$C$23, $C$12, 100%, $E$12)</f>
        <v>28.852499999999999</v>
      </c>
      <c r="I822" s="66">
        <f>28.8574 * CHOOSE(CONTROL!$C$23, $C$12, 100%, $E$12)</f>
        <v>28.857399999999998</v>
      </c>
      <c r="J822" s="66">
        <f>28.8525 * CHOOSE(CONTROL!$C$23, $C$12, 100%, $E$12)</f>
        <v>28.852499999999999</v>
      </c>
      <c r="K822" s="66">
        <f>28.8574 * CHOOSE(CONTROL!$C$23, $C$12, 100%, $E$12)</f>
        <v>28.857399999999998</v>
      </c>
      <c r="L822" s="66">
        <f>15.4411 * CHOOSE(CONTROL!$C$23, $C$12, 100%, $E$12)</f>
        <v>15.4411</v>
      </c>
      <c r="M822" s="66">
        <f>15.446 * CHOOSE(CONTROL!$C$23, $C$12, 100%, $E$12)</f>
        <v>15.446</v>
      </c>
      <c r="N822" s="66">
        <f>15.4411 * CHOOSE(CONTROL!$C$23, $C$12, 100%, $E$12)</f>
        <v>15.4411</v>
      </c>
      <c r="O822" s="66">
        <f>15.446 * CHOOSE(CONTROL!$C$23, $C$12, 100%, $E$12)</f>
        <v>15.446</v>
      </c>
    </row>
    <row r="823" spans="1:15" ht="15">
      <c r="A823" s="13">
        <v>66202</v>
      </c>
      <c r="B823" s="65">
        <f>13.6072 * CHOOSE(CONTROL!$C$23, $C$12, 100%, $E$12)</f>
        <v>13.607200000000001</v>
      </c>
      <c r="C823" s="65">
        <f>13.6072 * CHOOSE(CONTROL!$C$23, $C$12, 100%, $E$12)</f>
        <v>13.607200000000001</v>
      </c>
      <c r="D823" s="65">
        <f>13.6112 * CHOOSE(CONTROL!$C$23, $C$12, 100%, $E$12)</f>
        <v>13.6112</v>
      </c>
      <c r="E823" s="66">
        <f>15.6695 * CHOOSE(CONTROL!$C$23, $C$12, 100%, $E$12)</f>
        <v>15.669499999999999</v>
      </c>
      <c r="F823" s="66">
        <f>15.6695 * CHOOSE(CONTROL!$C$23, $C$12, 100%, $E$12)</f>
        <v>15.669499999999999</v>
      </c>
      <c r="G823" s="66">
        <f>15.6744 * CHOOSE(CONTROL!$C$23, $C$12, 100%, $E$12)</f>
        <v>15.6744</v>
      </c>
      <c r="H823" s="66">
        <f>28.9126* CHOOSE(CONTROL!$C$23, $C$12, 100%, $E$12)</f>
        <v>28.912600000000001</v>
      </c>
      <c r="I823" s="66">
        <f>28.9175 * CHOOSE(CONTROL!$C$23, $C$12, 100%, $E$12)</f>
        <v>28.9175</v>
      </c>
      <c r="J823" s="66">
        <f>28.9126 * CHOOSE(CONTROL!$C$23, $C$12, 100%, $E$12)</f>
        <v>28.912600000000001</v>
      </c>
      <c r="K823" s="66">
        <f>28.9175 * CHOOSE(CONTROL!$C$23, $C$12, 100%, $E$12)</f>
        <v>28.9175</v>
      </c>
      <c r="L823" s="66">
        <f>15.6695 * CHOOSE(CONTROL!$C$23, $C$12, 100%, $E$12)</f>
        <v>15.669499999999999</v>
      </c>
      <c r="M823" s="66">
        <f>15.6744 * CHOOSE(CONTROL!$C$23, $C$12, 100%, $E$12)</f>
        <v>15.6744</v>
      </c>
      <c r="N823" s="66">
        <f>15.6695 * CHOOSE(CONTROL!$C$23, $C$12, 100%, $E$12)</f>
        <v>15.669499999999999</v>
      </c>
      <c r="O823" s="66">
        <f>15.6744 * CHOOSE(CONTROL!$C$23, $C$12, 100%, $E$12)</f>
        <v>15.6744</v>
      </c>
    </row>
    <row r="824" spans="1:15" ht="15">
      <c r="A824" s="13">
        <v>66232</v>
      </c>
      <c r="B824" s="65">
        <f>13.6072 * CHOOSE(CONTROL!$C$23, $C$12, 100%, $E$12)</f>
        <v>13.607200000000001</v>
      </c>
      <c r="C824" s="65">
        <f>13.6072 * CHOOSE(CONTROL!$C$23, $C$12, 100%, $E$12)</f>
        <v>13.607200000000001</v>
      </c>
      <c r="D824" s="65">
        <f>13.6129 * CHOOSE(CONTROL!$C$23, $C$12, 100%, $E$12)</f>
        <v>13.6129</v>
      </c>
      <c r="E824" s="66">
        <f>15.7567 * CHOOSE(CONTROL!$C$23, $C$12, 100%, $E$12)</f>
        <v>15.7567</v>
      </c>
      <c r="F824" s="66">
        <f>15.7567 * CHOOSE(CONTROL!$C$23, $C$12, 100%, $E$12)</f>
        <v>15.7567</v>
      </c>
      <c r="G824" s="66">
        <f>15.7636 * CHOOSE(CONTROL!$C$23, $C$12, 100%, $E$12)</f>
        <v>15.7636</v>
      </c>
      <c r="H824" s="66">
        <f>28.9728* CHOOSE(CONTROL!$C$23, $C$12, 100%, $E$12)</f>
        <v>28.972799999999999</v>
      </c>
      <c r="I824" s="66">
        <f>28.9797 * CHOOSE(CONTROL!$C$23, $C$12, 100%, $E$12)</f>
        <v>28.979700000000001</v>
      </c>
      <c r="J824" s="66">
        <f>28.9728 * CHOOSE(CONTROL!$C$23, $C$12, 100%, $E$12)</f>
        <v>28.972799999999999</v>
      </c>
      <c r="K824" s="66">
        <f>28.9797 * CHOOSE(CONTROL!$C$23, $C$12, 100%, $E$12)</f>
        <v>28.979700000000001</v>
      </c>
      <c r="L824" s="66">
        <f>15.7567 * CHOOSE(CONTROL!$C$23, $C$12, 100%, $E$12)</f>
        <v>15.7567</v>
      </c>
      <c r="M824" s="66">
        <f>15.7636 * CHOOSE(CONTROL!$C$23, $C$12, 100%, $E$12)</f>
        <v>15.7636</v>
      </c>
      <c r="N824" s="66">
        <f>15.7567 * CHOOSE(CONTROL!$C$23, $C$12, 100%, $E$12)</f>
        <v>15.7567</v>
      </c>
      <c r="O824" s="66">
        <f>15.7636 * CHOOSE(CONTROL!$C$23, $C$12, 100%, $E$12)</f>
        <v>15.7636</v>
      </c>
    </row>
    <row r="825" spans="1:15" ht="15">
      <c r="A825" s="13">
        <v>66263</v>
      </c>
      <c r="B825" s="65">
        <f>13.6133 * CHOOSE(CONTROL!$C$23, $C$12, 100%, $E$12)</f>
        <v>13.613300000000001</v>
      </c>
      <c r="C825" s="65">
        <f>13.6133 * CHOOSE(CONTROL!$C$23, $C$12, 100%, $E$12)</f>
        <v>13.613300000000001</v>
      </c>
      <c r="D825" s="65">
        <f>13.6189 * CHOOSE(CONTROL!$C$23, $C$12, 100%, $E$12)</f>
        <v>13.6189</v>
      </c>
      <c r="E825" s="66">
        <f>15.6737 * CHOOSE(CONTROL!$C$23, $C$12, 100%, $E$12)</f>
        <v>15.6737</v>
      </c>
      <c r="F825" s="66">
        <f>15.6737 * CHOOSE(CONTROL!$C$23, $C$12, 100%, $E$12)</f>
        <v>15.6737</v>
      </c>
      <c r="G825" s="66">
        <f>15.6806 * CHOOSE(CONTROL!$C$23, $C$12, 100%, $E$12)</f>
        <v>15.6806</v>
      </c>
      <c r="H825" s="66">
        <f>29.0332* CHOOSE(CONTROL!$C$23, $C$12, 100%, $E$12)</f>
        <v>29.033200000000001</v>
      </c>
      <c r="I825" s="66">
        <f>29.0401 * CHOOSE(CONTROL!$C$23, $C$12, 100%, $E$12)</f>
        <v>29.040099999999999</v>
      </c>
      <c r="J825" s="66">
        <f>29.0332 * CHOOSE(CONTROL!$C$23, $C$12, 100%, $E$12)</f>
        <v>29.033200000000001</v>
      </c>
      <c r="K825" s="66">
        <f>29.0401 * CHOOSE(CONTROL!$C$23, $C$12, 100%, $E$12)</f>
        <v>29.040099999999999</v>
      </c>
      <c r="L825" s="66">
        <f>15.6737 * CHOOSE(CONTROL!$C$23, $C$12, 100%, $E$12)</f>
        <v>15.6737</v>
      </c>
      <c r="M825" s="66">
        <f>15.6806 * CHOOSE(CONTROL!$C$23, $C$12, 100%, $E$12)</f>
        <v>15.6806</v>
      </c>
      <c r="N825" s="66">
        <f>15.6737 * CHOOSE(CONTROL!$C$23, $C$12, 100%, $E$12)</f>
        <v>15.6737</v>
      </c>
      <c r="O825" s="66">
        <f>15.6806 * CHOOSE(CONTROL!$C$23, $C$12, 100%, $E$12)</f>
        <v>15.6806</v>
      </c>
    </row>
    <row r="826" spans="1:15" ht="15">
      <c r="A826" s="13">
        <v>66293</v>
      </c>
      <c r="B826" s="65">
        <f>13.8201 * CHOOSE(CONTROL!$C$23, $C$12, 100%, $E$12)</f>
        <v>13.8201</v>
      </c>
      <c r="C826" s="65">
        <f>13.8201 * CHOOSE(CONTROL!$C$23, $C$12, 100%, $E$12)</f>
        <v>13.8201</v>
      </c>
      <c r="D826" s="65">
        <f>13.8257 * CHOOSE(CONTROL!$C$23, $C$12, 100%, $E$12)</f>
        <v>13.825699999999999</v>
      </c>
      <c r="E826" s="66">
        <f>15.9233 * CHOOSE(CONTROL!$C$23, $C$12, 100%, $E$12)</f>
        <v>15.923299999999999</v>
      </c>
      <c r="F826" s="66">
        <f>15.9233 * CHOOSE(CONTROL!$C$23, $C$12, 100%, $E$12)</f>
        <v>15.923299999999999</v>
      </c>
      <c r="G826" s="66">
        <f>15.9302 * CHOOSE(CONTROL!$C$23, $C$12, 100%, $E$12)</f>
        <v>15.930199999999999</v>
      </c>
      <c r="H826" s="66">
        <f>29.0937* CHOOSE(CONTROL!$C$23, $C$12, 100%, $E$12)</f>
        <v>29.093699999999998</v>
      </c>
      <c r="I826" s="66">
        <f>29.1006 * CHOOSE(CONTROL!$C$23, $C$12, 100%, $E$12)</f>
        <v>29.1006</v>
      </c>
      <c r="J826" s="66">
        <f>29.0937 * CHOOSE(CONTROL!$C$23, $C$12, 100%, $E$12)</f>
        <v>29.093699999999998</v>
      </c>
      <c r="K826" s="66">
        <f>29.1006 * CHOOSE(CONTROL!$C$23, $C$12, 100%, $E$12)</f>
        <v>29.1006</v>
      </c>
      <c r="L826" s="66">
        <f>15.9233 * CHOOSE(CONTROL!$C$23, $C$12, 100%, $E$12)</f>
        <v>15.923299999999999</v>
      </c>
      <c r="M826" s="66">
        <f>15.9302 * CHOOSE(CONTROL!$C$23, $C$12, 100%, $E$12)</f>
        <v>15.930199999999999</v>
      </c>
      <c r="N826" s="66">
        <f>15.9233 * CHOOSE(CONTROL!$C$23, $C$12, 100%, $E$12)</f>
        <v>15.923299999999999</v>
      </c>
      <c r="O826" s="66">
        <f>15.9302 * CHOOSE(CONTROL!$C$23, $C$12, 100%, $E$12)</f>
        <v>15.930199999999999</v>
      </c>
    </row>
    <row r="827" spans="1:15" ht="15">
      <c r="A827" s="13">
        <v>66324</v>
      </c>
      <c r="B827" s="65">
        <f>13.8268 * CHOOSE(CONTROL!$C$23, $C$12, 100%, $E$12)</f>
        <v>13.8268</v>
      </c>
      <c r="C827" s="65">
        <f>13.8268 * CHOOSE(CONTROL!$C$23, $C$12, 100%, $E$12)</f>
        <v>13.8268</v>
      </c>
      <c r="D827" s="65">
        <f>13.8324 * CHOOSE(CONTROL!$C$23, $C$12, 100%, $E$12)</f>
        <v>13.8324</v>
      </c>
      <c r="E827" s="66">
        <f>15.6663 * CHOOSE(CONTROL!$C$23, $C$12, 100%, $E$12)</f>
        <v>15.6663</v>
      </c>
      <c r="F827" s="66">
        <f>15.6663 * CHOOSE(CONTROL!$C$23, $C$12, 100%, $E$12)</f>
        <v>15.6663</v>
      </c>
      <c r="G827" s="66">
        <f>15.6732 * CHOOSE(CONTROL!$C$23, $C$12, 100%, $E$12)</f>
        <v>15.6732</v>
      </c>
      <c r="H827" s="66">
        <f>29.1543* CHOOSE(CONTROL!$C$23, $C$12, 100%, $E$12)</f>
        <v>29.154299999999999</v>
      </c>
      <c r="I827" s="66">
        <f>29.1612 * CHOOSE(CONTROL!$C$23, $C$12, 100%, $E$12)</f>
        <v>29.161200000000001</v>
      </c>
      <c r="J827" s="66">
        <f>29.1543 * CHOOSE(CONTROL!$C$23, $C$12, 100%, $E$12)</f>
        <v>29.154299999999999</v>
      </c>
      <c r="K827" s="66">
        <f>29.1612 * CHOOSE(CONTROL!$C$23, $C$12, 100%, $E$12)</f>
        <v>29.161200000000001</v>
      </c>
      <c r="L827" s="66">
        <f>15.6663 * CHOOSE(CONTROL!$C$23, $C$12, 100%, $E$12)</f>
        <v>15.6663</v>
      </c>
      <c r="M827" s="66">
        <f>15.6732 * CHOOSE(CONTROL!$C$23, $C$12, 100%, $E$12)</f>
        <v>15.6732</v>
      </c>
      <c r="N827" s="66">
        <f>15.6663 * CHOOSE(CONTROL!$C$23, $C$12, 100%, $E$12)</f>
        <v>15.6663</v>
      </c>
      <c r="O827" s="66">
        <f>15.6732 * CHOOSE(CONTROL!$C$23, $C$12, 100%, $E$12)</f>
        <v>15.6732</v>
      </c>
    </row>
    <row r="828" spans="1:15" ht="15">
      <c r="A828" s="13">
        <v>66355</v>
      </c>
      <c r="B828" s="65">
        <f>13.8237 * CHOOSE(CONTROL!$C$23, $C$12, 100%, $E$12)</f>
        <v>13.823700000000001</v>
      </c>
      <c r="C828" s="65">
        <f>13.8237 * CHOOSE(CONTROL!$C$23, $C$12, 100%, $E$12)</f>
        <v>13.823700000000001</v>
      </c>
      <c r="D828" s="65">
        <f>13.8293 * CHOOSE(CONTROL!$C$23, $C$12, 100%, $E$12)</f>
        <v>13.8293</v>
      </c>
      <c r="E828" s="66">
        <f>15.6351 * CHOOSE(CONTROL!$C$23, $C$12, 100%, $E$12)</f>
        <v>15.6351</v>
      </c>
      <c r="F828" s="66">
        <f>15.6351 * CHOOSE(CONTROL!$C$23, $C$12, 100%, $E$12)</f>
        <v>15.6351</v>
      </c>
      <c r="G828" s="66">
        <f>15.642 * CHOOSE(CONTROL!$C$23, $C$12, 100%, $E$12)</f>
        <v>15.641999999999999</v>
      </c>
      <c r="H828" s="66">
        <f>29.215* CHOOSE(CONTROL!$C$23, $C$12, 100%, $E$12)</f>
        <v>29.215</v>
      </c>
      <c r="I828" s="66">
        <f>29.2219 * CHOOSE(CONTROL!$C$23, $C$12, 100%, $E$12)</f>
        <v>29.221900000000002</v>
      </c>
      <c r="J828" s="66">
        <f>29.215 * CHOOSE(CONTROL!$C$23, $C$12, 100%, $E$12)</f>
        <v>29.215</v>
      </c>
      <c r="K828" s="66">
        <f>29.2219 * CHOOSE(CONTROL!$C$23, $C$12, 100%, $E$12)</f>
        <v>29.221900000000002</v>
      </c>
      <c r="L828" s="66">
        <f>15.6351 * CHOOSE(CONTROL!$C$23, $C$12, 100%, $E$12)</f>
        <v>15.6351</v>
      </c>
      <c r="M828" s="66">
        <f>15.642 * CHOOSE(CONTROL!$C$23, $C$12, 100%, $E$12)</f>
        <v>15.641999999999999</v>
      </c>
      <c r="N828" s="66">
        <f>15.6351 * CHOOSE(CONTROL!$C$23, $C$12, 100%, $E$12)</f>
        <v>15.6351</v>
      </c>
      <c r="O828" s="66">
        <f>15.642 * CHOOSE(CONTROL!$C$23, $C$12, 100%, $E$12)</f>
        <v>15.641999999999999</v>
      </c>
    </row>
    <row r="829" spans="1:15" ht="15">
      <c r="A829" s="13">
        <v>66385</v>
      </c>
      <c r="B829" s="65">
        <f>13.8504 * CHOOSE(CONTROL!$C$23, $C$12, 100%, $E$12)</f>
        <v>13.8504</v>
      </c>
      <c r="C829" s="65">
        <f>13.8504 * CHOOSE(CONTROL!$C$23, $C$12, 100%, $E$12)</f>
        <v>13.8504</v>
      </c>
      <c r="D829" s="65">
        <f>13.8544 * CHOOSE(CONTROL!$C$23, $C$12, 100%, $E$12)</f>
        <v>13.8544</v>
      </c>
      <c r="E829" s="66">
        <f>15.738 * CHOOSE(CONTROL!$C$23, $C$12, 100%, $E$12)</f>
        <v>15.738</v>
      </c>
      <c r="F829" s="66">
        <f>15.738 * CHOOSE(CONTROL!$C$23, $C$12, 100%, $E$12)</f>
        <v>15.738</v>
      </c>
      <c r="G829" s="66">
        <f>15.7429 * CHOOSE(CONTROL!$C$23, $C$12, 100%, $E$12)</f>
        <v>15.742900000000001</v>
      </c>
      <c r="H829" s="66">
        <f>29.2759* CHOOSE(CONTROL!$C$23, $C$12, 100%, $E$12)</f>
        <v>29.2759</v>
      </c>
      <c r="I829" s="66">
        <f>29.2808 * CHOOSE(CONTROL!$C$23, $C$12, 100%, $E$12)</f>
        <v>29.280799999999999</v>
      </c>
      <c r="J829" s="66">
        <f>29.2759 * CHOOSE(CONTROL!$C$23, $C$12, 100%, $E$12)</f>
        <v>29.2759</v>
      </c>
      <c r="K829" s="66">
        <f>29.2808 * CHOOSE(CONTROL!$C$23, $C$12, 100%, $E$12)</f>
        <v>29.280799999999999</v>
      </c>
      <c r="L829" s="66">
        <f>15.738 * CHOOSE(CONTROL!$C$23, $C$12, 100%, $E$12)</f>
        <v>15.738</v>
      </c>
      <c r="M829" s="66">
        <f>15.7429 * CHOOSE(CONTROL!$C$23, $C$12, 100%, $E$12)</f>
        <v>15.742900000000001</v>
      </c>
      <c r="N829" s="66">
        <f>15.738 * CHOOSE(CONTROL!$C$23, $C$12, 100%, $E$12)</f>
        <v>15.738</v>
      </c>
      <c r="O829" s="66">
        <f>15.7429 * CHOOSE(CONTROL!$C$23, $C$12, 100%, $E$12)</f>
        <v>15.742900000000001</v>
      </c>
    </row>
    <row r="830" spans="1:15" ht="15">
      <c r="A830" s="13">
        <v>66416</v>
      </c>
      <c r="B830" s="65">
        <f>13.8535 * CHOOSE(CONTROL!$C$23, $C$12, 100%, $E$12)</f>
        <v>13.8535</v>
      </c>
      <c r="C830" s="65">
        <f>13.8535 * CHOOSE(CONTROL!$C$23, $C$12, 100%, $E$12)</f>
        <v>13.8535</v>
      </c>
      <c r="D830" s="65">
        <f>13.8575 * CHOOSE(CONTROL!$C$23, $C$12, 100%, $E$12)</f>
        <v>13.8575</v>
      </c>
      <c r="E830" s="66">
        <f>15.7983 * CHOOSE(CONTROL!$C$23, $C$12, 100%, $E$12)</f>
        <v>15.798299999999999</v>
      </c>
      <c r="F830" s="66">
        <f>15.7983 * CHOOSE(CONTROL!$C$23, $C$12, 100%, $E$12)</f>
        <v>15.798299999999999</v>
      </c>
      <c r="G830" s="66">
        <f>15.8032 * CHOOSE(CONTROL!$C$23, $C$12, 100%, $E$12)</f>
        <v>15.8032</v>
      </c>
      <c r="H830" s="66">
        <f>29.3369* CHOOSE(CONTROL!$C$23, $C$12, 100%, $E$12)</f>
        <v>29.3369</v>
      </c>
      <c r="I830" s="66">
        <f>29.3418 * CHOOSE(CONTROL!$C$23, $C$12, 100%, $E$12)</f>
        <v>29.341799999999999</v>
      </c>
      <c r="J830" s="66">
        <f>29.3369 * CHOOSE(CONTROL!$C$23, $C$12, 100%, $E$12)</f>
        <v>29.3369</v>
      </c>
      <c r="K830" s="66">
        <f>29.3418 * CHOOSE(CONTROL!$C$23, $C$12, 100%, $E$12)</f>
        <v>29.341799999999999</v>
      </c>
      <c r="L830" s="66">
        <f>15.7983 * CHOOSE(CONTROL!$C$23, $C$12, 100%, $E$12)</f>
        <v>15.798299999999999</v>
      </c>
      <c r="M830" s="66">
        <f>15.8032 * CHOOSE(CONTROL!$C$23, $C$12, 100%, $E$12)</f>
        <v>15.8032</v>
      </c>
      <c r="N830" s="66">
        <f>15.7983 * CHOOSE(CONTROL!$C$23, $C$12, 100%, $E$12)</f>
        <v>15.798299999999999</v>
      </c>
      <c r="O830" s="66">
        <f>15.8032 * CHOOSE(CONTROL!$C$23, $C$12, 100%, $E$12)</f>
        <v>15.8032</v>
      </c>
    </row>
    <row r="831" spans="1:15" ht="15">
      <c r="A831" s="13">
        <v>66446</v>
      </c>
      <c r="B831" s="65">
        <f>13.8535 * CHOOSE(CONTROL!$C$23, $C$12, 100%, $E$12)</f>
        <v>13.8535</v>
      </c>
      <c r="C831" s="65">
        <f>13.8535 * CHOOSE(CONTROL!$C$23, $C$12, 100%, $E$12)</f>
        <v>13.8535</v>
      </c>
      <c r="D831" s="65">
        <f>13.8575 * CHOOSE(CONTROL!$C$23, $C$12, 100%, $E$12)</f>
        <v>13.8575</v>
      </c>
      <c r="E831" s="66">
        <f>15.6529 * CHOOSE(CONTROL!$C$23, $C$12, 100%, $E$12)</f>
        <v>15.652900000000001</v>
      </c>
      <c r="F831" s="66">
        <f>15.6529 * CHOOSE(CONTROL!$C$23, $C$12, 100%, $E$12)</f>
        <v>15.652900000000001</v>
      </c>
      <c r="G831" s="66">
        <f>15.6578 * CHOOSE(CONTROL!$C$23, $C$12, 100%, $E$12)</f>
        <v>15.6578</v>
      </c>
      <c r="H831" s="66">
        <f>29.398* CHOOSE(CONTROL!$C$23, $C$12, 100%, $E$12)</f>
        <v>29.398</v>
      </c>
      <c r="I831" s="66">
        <f>29.4029 * CHOOSE(CONTROL!$C$23, $C$12, 100%, $E$12)</f>
        <v>29.402899999999999</v>
      </c>
      <c r="J831" s="66">
        <f>29.398 * CHOOSE(CONTROL!$C$23, $C$12, 100%, $E$12)</f>
        <v>29.398</v>
      </c>
      <c r="K831" s="66">
        <f>29.4029 * CHOOSE(CONTROL!$C$23, $C$12, 100%, $E$12)</f>
        <v>29.402899999999999</v>
      </c>
      <c r="L831" s="66">
        <f>15.6529 * CHOOSE(CONTROL!$C$23, $C$12, 100%, $E$12)</f>
        <v>15.652900000000001</v>
      </c>
      <c r="M831" s="66">
        <f>15.6578 * CHOOSE(CONTROL!$C$23, $C$12, 100%, $E$12)</f>
        <v>15.6578</v>
      </c>
      <c r="N831" s="66">
        <f>15.6529 * CHOOSE(CONTROL!$C$23, $C$12, 100%, $E$12)</f>
        <v>15.652900000000001</v>
      </c>
      <c r="O831" s="66">
        <f>15.6578 * CHOOSE(CONTROL!$C$23, $C$12, 100%, $E$12)</f>
        <v>15.6578</v>
      </c>
    </row>
    <row r="832" spans="1:15" ht="15">
      <c r="A832" s="13">
        <v>66477</v>
      </c>
      <c r="B832" s="65">
        <f>13.8432 * CHOOSE(CONTROL!$C$23, $C$12, 100%, $E$12)</f>
        <v>13.8432</v>
      </c>
      <c r="C832" s="65">
        <f>13.8432 * CHOOSE(CONTROL!$C$23, $C$12, 100%, $E$12)</f>
        <v>13.8432</v>
      </c>
      <c r="D832" s="65">
        <f>13.8472 * CHOOSE(CONTROL!$C$23, $C$12, 100%, $E$12)</f>
        <v>13.847200000000001</v>
      </c>
      <c r="E832" s="66">
        <f>15.7582 * CHOOSE(CONTROL!$C$23, $C$12, 100%, $E$12)</f>
        <v>15.7582</v>
      </c>
      <c r="F832" s="66">
        <f>15.7582 * CHOOSE(CONTROL!$C$23, $C$12, 100%, $E$12)</f>
        <v>15.7582</v>
      </c>
      <c r="G832" s="66">
        <f>15.7632 * CHOOSE(CONTROL!$C$23, $C$12, 100%, $E$12)</f>
        <v>15.763199999999999</v>
      </c>
      <c r="H832" s="66">
        <f>29.2152* CHOOSE(CONTROL!$C$23, $C$12, 100%, $E$12)</f>
        <v>29.215199999999999</v>
      </c>
      <c r="I832" s="66">
        <f>29.2201 * CHOOSE(CONTROL!$C$23, $C$12, 100%, $E$12)</f>
        <v>29.220099999999999</v>
      </c>
      <c r="J832" s="66">
        <f>29.2152 * CHOOSE(CONTROL!$C$23, $C$12, 100%, $E$12)</f>
        <v>29.215199999999999</v>
      </c>
      <c r="K832" s="66">
        <f>29.2201 * CHOOSE(CONTROL!$C$23, $C$12, 100%, $E$12)</f>
        <v>29.220099999999999</v>
      </c>
      <c r="L832" s="66">
        <f>15.7582 * CHOOSE(CONTROL!$C$23, $C$12, 100%, $E$12)</f>
        <v>15.7582</v>
      </c>
      <c r="M832" s="66">
        <f>15.7632 * CHOOSE(CONTROL!$C$23, $C$12, 100%, $E$12)</f>
        <v>15.763199999999999</v>
      </c>
      <c r="N832" s="66">
        <f>15.7582 * CHOOSE(CONTROL!$C$23, $C$12, 100%, $E$12)</f>
        <v>15.7582</v>
      </c>
      <c r="O832" s="66">
        <f>15.7632 * CHOOSE(CONTROL!$C$23, $C$12, 100%, $E$12)</f>
        <v>15.763199999999999</v>
      </c>
    </row>
    <row r="833" spans="1:15" ht="15">
      <c r="A833" s="13">
        <v>66508</v>
      </c>
      <c r="B833" s="65">
        <f>13.8401 * CHOOSE(CONTROL!$C$23, $C$12, 100%, $E$12)</f>
        <v>13.8401</v>
      </c>
      <c r="C833" s="65">
        <f>13.8401 * CHOOSE(CONTROL!$C$23, $C$12, 100%, $E$12)</f>
        <v>13.8401</v>
      </c>
      <c r="D833" s="65">
        <f>13.8441 * CHOOSE(CONTROL!$C$23, $C$12, 100%, $E$12)</f>
        <v>13.844099999999999</v>
      </c>
      <c r="E833" s="66">
        <f>15.4765 * CHOOSE(CONTROL!$C$23, $C$12, 100%, $E$12)</f>
        <v>15.4765</v>
      </c>
      <c r="F833" s="66">
        <f>15.4765 * CHOOSE(CONTROL!$C$23, $C$12, 100%, $E$12)</f>
        <v>15.4765</v>
      </c>
      <c r="G833" s="66">
        <f>15.4814 * CHOOSE(CONTROL!$C$23, $C$12, 100%, $E$12)</f>
        <v>15.481400000000001</v>
      </c>
      <c r="H833" s="66">
        <f>29.2761* CHOOSE(CONTROL!$C$23, $C$12, 100%, $E$12)</f>
        <v>29.2761</v>
      </c>
      <c r="I833" s="66">
        <f>29.281 * CHOOSE(CONTROL!$C$23, $C$12, 100%, $E$12)</f>
        <v>29.280999999999999</v>
      </c>
      <c r="J833" s="66">
        <f>29.2761 * CHOOSE(CONTROL!$C$23, $C$12, 100%, $E$12)</f>
        <v>29.2761</v>
      </c>
      <c r="K833" s="66">
        <f>29.281 * CHOOSE(CONTROL!$C$23, $C$12, 100%, $E$12)</f>
        <v>29.280999999999999</v>
      </c>
      <c r="L833" s="66">
        <f>15.4765 * CHOOSE(CONTROL!$C$23, $C$12, 100%, $E$12)</f>
        <v>15.4765</v>
      </c>
      <c r="M833" s="66">
        <f>15.4814 * CHOOSE(CONTROL!$C$23, $C$12, 100%, $E$12)</f>
        <v>15.481400000000001</v>
      </c>
      <c r="N833" s="66">
        <f>15.4765 * CHOOSE(CONTROL!$C$23, $C$12, 100%, $E$12)</f>
        <v>15.4765</v>
      </c>
      <c r="O833" s="66">
        <f>15.4814 * CHOOSE(CONTROL!$C$23, $C$12, 100%, $E$12)</f>
        <v>15.481400000000001</v>
      </c>
    </row>
    <row r="834" spans="1:15" ht="15">
      <c r="A834" s="13">
        <v>66536</v>
      </c>
      <c r="B834" s="65">
        <f>13.8371 * CHOOSE(CONTROL!$C$23, $C$12, 100%, $E$12)</f>
        <v>13.8371</v>
      </c>
      <c r="C834" s="65">
        <f>13.8371 * CHOOSE(CONTROL!$C$23, $C$12, 100%, $E$12)</f>
        <v>13.8371</v>
      </c>
      <c r="D834" s="65">
        <f>13.8411 * CHOOSE(CONTROL!$C$23, $C$12, 100%, $E$12)</f>
        <v>13.841100000000001</v>
      </c>
      <c r="E834" s="66">
        <f>15.6948 * CHOOSE(CONTROL!$C$23, $C$12, 100%, $E$12)</f>
        <v>15.694800000000001</v>
      </c>
      <c r="F834" s="66">
        <f>15.6948 * CHOOSE(CONTROL!$C$23, $C$12, 100%, $E$12)</f>
        <v>15.694800000000001</v>
      </c>
      <c r="G834" s="66">
        <f>15.6997 * CHOOSE(CONTROL!$C$23, $C$12, 100%, $E$12)</f>
        <v>15.6997</v>
      </c>
      <c r="H834" s="66">
        <f>29.337* CHOOSE(CONTROL!$C$23, $C$12, 100%, $E$12)</f>
        <v>29.337</v>
      </c>
      <c r="I834" s="66">
        <f>29.342 * CHOOSE(CONTROL!$C$23, $C$12, 100%, $E$12)</f>
        <v>29.341999999999999</v>
      </c>
      <c r="J834" s="66">
        <f>29.337 * CHOOSE(CONTROL!$C$23, $C$12, 100%, $E$12)</f>
        <v>29.337</v>
      </c>
      <c r="K834" s="66">
        <f>29.342 * CHOOSE(CONTROL!$C$23, $C$12, 100%, $E$12)</f>
        <v>29.341999999999999</v>
      </c>
      <c r="L834" s="66">
        <f>15.6948 * CHOOSE(CONTROL!$C$23, $C$12, 100%, $E$12)</f>
        <v>15.694800000000001</v>
      </c>
      <c r="M834" s="66">
        <f>15.6997 * CHOOSE(CONTROL!$C$23, $C$12, 100%, $E$12)</f>
        <v>15.6997</v>
      </c>
      <c r="N834" s="66">
        <f>15.6948 * CHOOSE(CONTROL!$C$23, $C$12, 100%, $E$12)</f>
        <v>15.694800000000001</v>
      </c>
      <c r="O834" s="66">
        <f>15.6997 * CHOOSE(CONTROL!$C$23, $C$12, 100%, $E$12)</f>
        <v>15.6997</v>
      </c>
    </row>
    <row r="835" spans="1:15" ht="15">
      <c r="A835" s="13">
        <v>66567</v>
      </c>
      <c r="B835" s="65">
        <f>13.843 * CHOOSE(CONTROL!$C$23, $C$12, 100%, $E$12)</f>
        <v>13.843</v>
      </c>
      <c r="C835" s="65">
        <f>13.843 * CHOOSE(CONTROL!$C$23, $C$12, 100%, $E$12)</f>
        <v>13.843</v>
      </c>
      <c r="D835" s="65">
        <f>13.847 * CHOOSE(CONTROL!$C$23, $C$12, 100%, $E$12)</f>
        <v>13.847</v>
      </c>
      <c r="E835" s="66">
        <f>15.9273 * CHOOSE(CONTROL!$C$23, $C$12, 100%, $E$12)</f>
        <v>15.927300000000001</v>
      </c>
      <c r="F835" s="66">
        <f>15.9273 * CHOOSE(CONTROL!$C$23, $C$12, 100%, $E$12)</f>
        <v>15.927300000000001</v>
      </c>
      <c r="G835" s="66">
        <f>15.9323 * CHOOSE(CONTROL!$C$23, $C$12, 100%, $E$12)</f>
        <v>15.9323</v>
      </c>
      <c r="H835" s="66">
        <f>29.3982* CHOOSE(CONTROL!$C$23, $C$12, 100%, $E$12)</f>
        <v>29.398199999999999</v>
      </c>
      <c r="I835" s="66">
        <f>29.4031 * CHOOSE(CONTROL!$C$23, $C$12, 100%, $E$12)</f>
        <v>29.403099999999998</v>
      </c>
      <c r="J835" s="66">
        <f>29.3982 * CHOOSE(CONTROL!$C$23, $C$12, 100%, $E$12)</f>
        <v>29.398199999999999</v>
      </c>
      <c r="K835" s="66">
        <f>29.4031 * CHOOSE(CONTROL!$C$23, $C$12, 100%, $E$12)</f>
        <v>29.403099999999998</v>
      </c>
      <c r="L835" s="66">
        <f>15.9273 * CHOOSE(CONTROL!$C$23, $C$12, 100%, $E$12)</f>
        <v>15.927300000000001</v>
      </c>
      <c r="M835" s="66">
        <f>15.9323 * CHOOSE(CONTROL!$C$23, $C$12, 100%, $E$12)</f>
        <v>15.9323</v>
      </c>
      <c r="N835" s="66">
        <f>15.9273 * CHOOSE(CONTROL!$C$23, $C$12, 100%, $E$12)</f>
        <v>15.927300000000001</v>
      </c>
      <c r="O835" s="66">
        <f>15.9323 * CHOOSE(CONTROL!$C$23, $C$12, 100%, $E$12)</f>
        <v>15.9323</v>
      </c>
    </row>
    <row r="836" spans="1:15" ht="15">
      <c r="A836" s="13">
        <v>66597</v>
      </c>
      <c r="B836" s="65">
        <f>13.843 * CHOOSE(CONTROL!$C$23, $C$12, 100%, $E$12)</f>
        <v>13.843</v>
      </c>
      <c r="C836" s="65">
        <f>13.843 * CHOOSE(CONTROL!$C$23, $C$12, 100%, $E$12)</f>
        <v>13.843</v>
      </c>
      <c r="D836" s="65">
        <f>13.8486 * CHOOSE(CONTROL!$C$23, $C$12, 100%, $E$12)</f>
        <v>13.848599999999999</v>
      </c>
      <c r="E836" s="66">
        <f>16.0161 * CHOOSE(CONTROL!$C$23, $C$12, 100%, $E$12)</f>
        <v>16.016100000000002</v>
      </c>
      <c r="F836" s="66">
        <f>16.0161 * CHOOSE(CONTROL!$C$23, $C$12, 100%, $E$12)</f>
        <v>16.016100000000002</v>
      </c>
      <c r="G836" s="66">
        <f>16.023 * CHOOSE(CONTROL!$C$23, $C$12, 100%, $E$12)</f>
        <v>16.023</v>
      </c>
      <c r="H836" s="66">
        <f>29.4594* CHOOSE(CONTROL!$C$23, $C$12, 100%, $E$12)</f>
        <v>29.459399999999999</v>
      </c>
      <c r="I836" s="66">
        <f>29.4663 * CHOOSE(CONTROL!$C$23, $C$12, 100%, $E$12)</f>
        <v>29.4663</v>
      </c>
      <c r="J836" s="66">
        <f>29.4594 * CHOOSE(CONTROL!$C$23, $C$12, 100%, $E$12)</f>
        <v>29.459399999999999</v>
      </c>
      <c r="K836" s="66">
        <f>29.4663 * CHOOSE(CONTROL!$C$23, $C$12, 100%, $E$12)</f>
        <v>29.4663</v>
      </c>
      <c r="L836" s="66">
        <f>16.0161 * CHOOSE(CONTROL!$C$23, $C$12, 100%, $E$12)</f>
        <v>16.016100000000002</v>
      </c>
      <c r="M836" s="66">
        <f>16.023 * CHOOSE(CONTROL!$C$23, $C$12, 100%, $E$12)</f>
        <v>16.023</v>
      </c>
      <c r="N836" s="66">
        <f>16.0161 * CHOOSE(CONTROL!$C$23, $C$12, 100%, $E$12)</f>
        <v>16.016100000000002</v>
      </c>
      <c r="O836" s="66">
        <f>16.023 * CHOOSE(CONTROL!$C$23, $C$12, 100%, $E$12)</f>
        <v>16.023</v>
      </c>
    </row>
    <row r="837" spans="1:15" ht="15">
      <c r="A837" s="13">
        <v>66628</v>
      </c>
      <c r="B837" s="65">
        <f>13.8491 * CHOOSE(CONTROL!$C$23, $C$12, 100%, $E$12)</f>
        <v>13.8491</v>
      </c>
      <c r="C837" s="65">
        <f>13.8491 * CHOOSE(CONTROL!$C$23, $C$12, 100%, $E$12)</f>
        <v>13.8491</v>
      </c>
      <c r="D837" s="65">
        <f>13.8547 * CHOOSE(CONTROL!$C$23, $C$12, 100%, $E$12)</f>
        <v>13.854699999999999</v>
      </c>
      <c r="E837" s="66">
        <f>15.9316 * CHOOSE(CONTROL!$C$23, $C$12, 100%, $E$12)</f>
        <v>15.9316</v>
      </c>
      <c r="F837" s="66">
        <f>15.9316 * CHOOSE(CONTROL!$C$23, $C$12, 100%, $E$12)</f>
        <v>15.9316</v>
      </c>
      <c r="G837" s="66">
        <f>15.9385 * CHOOSE(CONTROL!$C$23, $C$12, 100%, $E$12)</f>
        <v>15.938499999999999</v>
      </c>
      <c r="H837" s="66">
        <f>29.5208* CHOOSE(CONTROL!$C$23, $C$12, 100%, $E$12)</f>
        <v>29.520800000000001</v>
      </c>
      <c r="I837" s="66">
        <f>29.5277 * CHOOSE(CONTROL!$C$23, $C$12, 100%, $E$12)</f>
        <v>29.527699999999999</v>
      </c>
      <c r="J837" s="66">
        <f>29.5208 * CHOOSE(CONTROL!$C$23, $C$12, 100%, $E$12)</f>
        <v>29.520800000000001</v>
      </c>
      <c r="K837" s="66">
        <f>29.5277 * CHOOSE(CONTROL!$C$23, $C$12, 100%, $E$12)</f>
        <v>29.527699999999999</v>
      </c>
      <c r="L837" s="66">
        <f>15.9316 * CHOOSE(CONTROL!$C$23, $C$12, 100%, $E$12)</f>
        <v>15.9316</v>
      </c>
      <c r="M837" s="66">
        <f>15.9385 * CHOOSE(CONTROL!$C$23, $C$12, 100%, $E$12)</f>
        <v>15.938499999999999</v>
      </c>
      <c r="N837" s="66">
        <f>15.9316 * CHOOSE(CONTROL!$C$23, $C$12, 100%, $E$12)</f>
        <v>15.9316</v>
      </c>
      <c r="O837" s="66">
        <f>15.9385 * CHOOSE(CONTROL!$C$23, $C$12, 100%, $E$12)</f>
        <v>15.938499999999999</v>
      </c>
    </row>
    <row r="838" spans="1:15" ht="15">
      <c r="A838" s="13">
        <v>66658</v>
      </c>
      <c r="B838" s="65">
        <f>14.0592 * CHOOSE(CONTROL!$C$23, $C$12, 100%, $E$12)</f>
        <v>14.059200000000001</v>
      </c>
      <c r="C838" s="65">
        <f>14.0592 * CHOOSE(CONTROL!$C$23, $C$12, 100%, $E$12)</f>
        <v>14.059200000000001</v>
      </c>
      <c r="D838" s="65">
        <f>14.0649 * CHOOSE(CONTROL!$C$23, $C$12, 100%, $E$12)</f>
        <v>14.0649</v>
      </c>
      <c r="E838" s="66">
        <f>16.1851 * CHOOSE(CONTROL!$C$23, $C$12, 100%, $E$12)</f>
        <v>16.185099999999998</v>
      </c>
      <c r="F838" s="66">
        <f>16.1851 * CHOOSE(CONTROL!$C$23, $C$12, 100%, $E$12)</f>
        <v>16.185099999999998</v>
      </c>
      <c r="G838" s="66">
        <f>16.192 * CHOOSE(CONTROL!$C$23, $C$12, 100%, $E$12)</f>
        <v>16.192</v>
      </c>
      <c r="H838" s="66">
        <f>29.5823* CHOOSE(CONTROL!$C$23, $C$12, 100%, $E$12)</f>
        <v>29.5823</v>
      </c>
      <c r="I838" s="66">
        <f>29.5892 * CHOOSE(CONTROL!$C$23, $C$12, 100%, $E$12)</f>
        <v>29.589200000000002</v>
      </c>
      <c r="J838" s="66">
        <f>29.5823 * CHOOSE(CONTROL!$C$23, $C$12, 100%, $E$12)</f>
        <v>29.5823</v>
      </c>
      <c r="K838" s="66">
        <f>29.5892 * CHOOSE(CONTROL!$C$23, $C$12, 100%, $E$12)</f>
        <v>29.589200000000002</v>
      </c>
      <c r="L838" s="66">
        <f>16.1851 * CHOOSE(CONTROL!$C$23, $C$12, 100%, $E$12)</f>
        <v>16.185099999999998</v>
      </c>
      <c r="M838" s="66">
        <f>16.192 * CHOOSE(CONTROL!$C$23, $C$12, 100%, $E$12)</f>
        <v>16.192</v>
      </c>
      <c r="N838" s="66">
        <f>16.1851 * CHOOSE(CONTROL!$C$23, $C$12, 100%, $E$12)</f>
        <v>16.185099999999998</v>
      </c>
      <c r="O838" s="66">
        <f>16.192 * CHOOSE(CONTROL!$C$23, $C$12, 100%, $E$12)</f>
        <v>16.192</v>
      </c>
    </row>
    <row r="839" spans="1:15" ht="15">
      <c r="A839" s="13">
        <v>66689</v>
      </c>
      <c r="B839" s="65">
        <f>14.0659 * CHOOSE(CONTROL!$C$23, $C$12, 100%, $E$12)</f>
        <v>14.065899999999999</v>
      </c>
      <c r="C839" s="65">
        <f>14.0659 * CHOOSE(CONTROL!$C$23, $C$12, 100%, $E$12)</f>
        <v>14.065899999999999</v>
      </c>
      <c r="D839" s="65">
        <f>14.0716 * CHOOSE(CONTROL!$C$23, $C$12, 100%, $E$12)</f>
        <v>14.0716</v>
      </c>
      <c r="E839" s="66">
        <f>15.9234 * CHOOSE(CONTROL!$C$23, $C$12, 100%, $E$12)</f>
        <v>15.923400000000001</v>
      </c>
      <c r="F839" s="66">
        <f>15.9234 * CHOOSE(CONTROL!$C$23, $C$12, 100%, $E$12)</f>
        <v>15.923400000000001</v>
      </c>
      <c r="G839" s="66">
        <f>15.9303 * CHOOSE(CONTROL!$C$23, $C$12, 100%, $E$12)</f>
        <v>15.930300000000001</v>
      </c>
      <c r="H839" s="66">
        <f>29.6439* CHOOSE(CONTROL!$C$23, $C$12, 100%, $E$12)</f>
        <v>29.643899999999999</v>
      </c>
      <c r="I839" s="66">
        <f>29.6508 * CHOOSE(CONTROL!$C$23, $C$12, 100%, $E$12)</f>
        <v>29.6508</v>
      </c>
      <c r="J839" s="66">
        <f>29.6439 * CHOOSE(CONTROL!$C$23, $C$12, 100%, $E$12)</f>
        <v>29.643899999999999</v>
      </c>
      <c r="K839" s="66">
        <f>29.6508 * CHOOSE(CONTROL!$C$23, $C$12, 100%, $E$12)</f>
        <v>29.6508</v>
      </c>
      <c r="L839" s="66">
        <f>15.9234 * CHOOSE(CONTROL!$C$23, $C$12, 100%, $E$12)</f>
        <v>15.923400000000001</v>
      </c>
      <c r="M839" s="66">
        <f>15.9303 * CHOOSE(CONTROL!$C$23, $C$12, 100%, $E$12)</f>
        <v>15.930300000000001</v>
      </c>
      <c r="N839" s="66">
        <f>15.9234 * CHOOSE(CONTROL!$C$23, $C$12, 100%, $E$12)</f>
        <v>15.923400000000001</v>
      </c>
      <c r="O839" s="66">
        <f>15.9303 * CHOOSE(CONTROL!$C$23, $C$12, 100%, $E$12)</f>
        <v>15.930300000000001</v>
      </c>
    </row>
    <row r="840" spans="1:15" ht="15">
      <c r="A840" s="13">
        <v>66720</v>
      </c>
      <c r="B840" s="65">
        <f>14.0629 * CHOOSE(CONTROL!$C$23, $C$12, 100%, $E$12)</f>
        <v>14.062900000000001</v>
      </c>
      <c r="C840" s="65">
        <f>14.0629 * CHOOSE(CONTROL!$C$23, $C$12, 100%, $E$12)</f>
        <v>14.062900000000001</v>
      </c>
      <c r="D840" s="65">
        <f>14.0685 * CHOOSE(CONTROL!$C$23, $C$12, 100%, $E$12)</f>
        <v>14.0685</v>
      </c>
      <c r="E840" s="66">
        <f>15.8917 * CHOOSE(CONTROL!$C$23, $C$12, 100%, $E$12)</f>
        <v>15.8917</v>
      </c>
      <c r="F840" s="66">
        <f>15.8917 * CHOOSE(CONTROL!$C$23, $C$12, 100%, $E$12)</f>
        <v>15.8917</v>
      </c>
      <c r="G840" s="66">
        <f>15.8986 * CHOOSE(CONTROL!$C$23, $C$12, 100%, $E$12)</f>
        <v>15.8986</v>
      </c>
      <c r="H840" s="66">
        <f>29.7057* CHOOSE(CONTROL!$C$23, $C$12, 100%, $E$12)</f>
        <v>29.7057</v>
      </c>
      <c r="I840" s="66">
        <f>29.7126 * CHOOSE(CONTROL!$C$23, $C$12, 100%, $E$12)</f>
        <v>29.712599999999998</v>
      </c>
      <c r="J840" s="66">
        <f>29.7057 * CHOOSE(CONTROL!$C$23, $C$12, 100%, $E$12)</f>
        <v>29.7057</v>
      </c>
      <c r="K840" s="66">
        <f>29.7126 * CHOOSE(CONTROL!$C$23, $C$12, 100%, $E$12)</f>
        <v>29.712599999999998</v>
      </c>
      <c r="L840" s="66">
        <f>15.8917 * CHOOSE(CONTROL!$C$23, $C$12, 100%, $E$12)</f>
        <v>15.8917</v>
      </c>
      <c r="M840" s="66">
        <f>15.8986 * CHOOSE(CONTROL!$C$23, $C$12, 100%, $E$12)</f>
        <v>15.8986</v>
      </c>
      <c r="N840" s="66">
        <f>15.8917 * CHOOSE(CONTROL!$C$23, $C$12, 100%, $E$12)</f>
        <v>15.8917</v>
      </c>
      <c r="O840" s="66">
        <f>15.8986 * CHOOSE(CONTROL!$C$23, $C$12, 100%, $E$12)</f>
        <v>15.8986</v>
      </c>
    </row>
    <row r="841" spans="1:15" ht="15">
      <c r="A841" s="13">
        <v>66750</v>
      </c>
      <c r="B841" s="65">
        <f>14.0904 * CHOOSE(CONTROL!$C$23, $C$12, 100%, $E$12)</f>
        <v>14.090400000000001</v>
      </c>
      <c r="C841" s="65">
        <f>14.0904 * CHOOSE(CONTROL!$C$23, $C$12, 100%, $E$12)</f>
        <v>14.090400000000001</v>
      </c>
      <c r="D841" s="65">
        <f>14.0944 * CHOOSE(CONTROL!$C$23, $C$12, 100%, $E$12)</f>
        <v>14.0944</v>
      </c>
      <c r="E841" s="66">
        <f>15.9967 * CHOOSE(CONTROL!$C$23, $C$12, 100%, $E$12)</f>
        <v>15.996700000000001</v>
      </c>
      <c r="F841" s="66">
        <f>15.9967 * CHOOSE(CONTROL!$C$23, $C$12, 100%, $E$12)</f>
        <v>15.996700000000001</v>
      </c>
      <c r="G841" s="66">
        <f>16.0016 * CHOOSE(CONTROL!$C$23, $C$12, 100%, $E$12)</f>
        <v>16.0016</v>
      </c>
      <c r="H841" s="66">
        <f>29.7676* CHOOSE(CONTROL!$C$23, $C$12, 100%, $E$12)</f>
        <v>29.767600000000002</v>
      </c>
      <c r="I841" s="66">
        <f>29.7725 * CHOOSE(CONTROL!$C$23, $C$12, 100%, $E$12)</f>
        <v>29.772500000000001</v>
      </c>
      <c r="J841" s="66">
        <f>29.7676 * CHOOSE(CONTROL!$C$23, $C$12, 100%, $E$12)</f>
        <v>29.767600000000002</v>
      </c>
      <c r="K841" s="66">
        <f>29.7725 * CHOOSE(CONTROL!$C$23, $C$12, 100%, $E$12)</f>
        <v>29.772500000000001</v>
      </c>
      <c r="L841" s="66">
        <f>15.9967 * CHOOSE(CONTROL!$C$23, $C$12, 100%, $E$12)</f>
        <v>15.996700000000001</v>
      </c>
      <c r="M841" s="66">
        <f>16.0016 * CHOOSE(CONTROL!$C$23, $C$12, 100%, $E$12)</f>
        <v>16.0016</v>
      </c>
      <c r="N841" s="66">
        <f>15.9967 * CHOOSE(CONTROL!$C$23, $C$12, 100%, $E$12)</f>
        <v>15.996700000000001</v>
      </c>
      <c r="O841" s="66">
        <f>16.0016 * CHOOSE(CONTROL!$C$23, $C$12, 100%, $E$12)</f>
        <v>16.0016</v>
      </c>
    </row>
    <row r="842" spans="1:15" ht="15">
      <c r="A842" s="13">
        <v>66781</v>
      </c>
      <c r="B842" s="65">
        <f>14.0934 * CHOOSE(CONTROL!$C$23, $C$12, 100%, $E$12)</f>
        <v>14.093400000000001</v>
      </c>
      <c r="C842" s="65">
        <f>14.0934 * CHOOSE(CONTROL!$C$23, $C$12, 100%, $E$12)</f>
        <v>14.093400000000001</v>
      </c>
      <c r="D842" s="65">
        <f>14.0974 * CHOOSE(CONTROL!$C$23, $C$12, 100%, $E$12)</f>
        <v>14.0974</v>
      </c>
      <c r="E842" s="66">
        <f>16.058 * CHOOSE(CONTROL!$C$23, $C$12, 100%, $E$12)</f>
        <v>16.058</v>
      </c>
      <c r="F842" s="66">
        <f>16.058 * CHOOSE(CONTROL!$C$23, $C$12, 100%, $E$12)</f>
        <v>16.058</v>
      </c>
      <c r="G842" s="66">
        <f>16.0629 * CHOOSE(CONTROL!$C$23, $C$12, 100%, $E$12)</f>
        <v>16.062899999999999</v>
      </c>
      <c r="H842" s="66">
        <f>29.8296* CHOOSE(CONTROL!$C$23, $C$12, 100%, $E$12)</f>
        <v>29.829599999999999</v>
      </c>
      <c r="I842" s="66">
        <f>29.8345 * CHOOSE(CONTROL!$C$23, $C$12, 100%, $E$12)</f>
        <v>29.834499999999998</v>
      </c>
      <c r="J842" s="66">
        <f>29.8296 * CHOOSE(CONTROL!$C$23, $C$12, 100%, $E$12)</f>
        <v>29.829599999999999</v>
      </c>
      <c r="K842" s="66">
        <f>29.8345 * CHOOSE(CONTROL!$C$23, $C$12, 100%, $E$12)</f>
        <v>29.834499999999998</v>
      </c>
      <c r="L842" s="66">
        <f>16.058 * CHOOSE(CONTROL!$C$23, $C$12, 100%, $E$12)</f>
        <v>16.058</v>
      </c>
      <c r="M842" s="66">
        <f>16.0629 * CHOOSE(CONTROL!$C$23, $C$12, 100%, $E$12)</f>
        <v>16.062899999999999</v>
      </c>
      <c r="N842" s="66">
        <f>16.058 * CHOOSE(CONTROL!$C$23, $C$12, 100%, $E$12)</f>
        <v>16.058</v>
      </c>
      <c r="O842" s="66">
        <f>16.0629 * CHOOSE(CONTROL!$C$23, $C$12, 100%, $E$12)</f>
        <v>16.062899999999999</v>
      </c>
    </row>
    <row r="843" spans="1:15" ht="15">
      <c r="A843" s="13">
        <v>66811</v>
      </c>
      <c r="B843" s="65">
        <f>14.0934 * CHOOSE(CONTROL!$C$23, $C$12, 100%, $E$12)</f>
        <v>14.093400000000001</v>
      </c>
      <c r="C843" s="65">
        <f>14.0934 * CHOOSE(CONTROL!$C$23, $C$12, 100%, $E$12)</f>
        <v>14.093400000000001</v>
      </c>
      <c r="D843" s="65">
        <f>14.0974 * CHOOSE(CONTROL!$C$23, $C$12, 100%, $E$12)</f>
        <v>14.0974</v>
      </c>
      <c r="E843" s="66">
        <f>15.91 * CHOOSE(CONTROL!$C$23, $C$12, 100%, $E$12)</f>
        <v>15.91</v>
      </c>
      <c r="F843" s="66">
        <f>15.91 * CHOOSE(CONTROL!$C$23, $C$12, 100%, $E$12)</f>
        <v>15.91</v>
      </c>
      <c r="G843" s="66">
        <f>15.9149 * CHOOSE(CONTROL!$C$23, $C$12, 100%, $E$12)</f>
        <v>15.914899999999999</v>
      </c>
      <c r="H843" s="66">
        <f>29.8917* CHOOSE(CONTROL!$C$23, $C$12, 100%, $E$12)</f>
        <v>29.8917</v>
      </c>
      <c r="I843" s="66">
        <f>29.8966 * CHOOSE(CONTROL!$C$23, $C$12, 100%, $E$12)</f>
        <v>29.896599999999999</v>
      </c>
      <c r="J843" s="66">
        <f>29.8917 * CHOOSE(CONTROL!$C$23, $C$12, 100%, $E$12)</f>
        <v>29.8917</v>
      </c>
      <c r="K843" s="66">
        <f>29.8966 * CHOOSE(CONTROL!$C$23, $C$12, 100%, $E$12)</f>
        <v>29.896599999999999</v>
      </c>
      <c r="L843" s="66">
        <f>15.91 * CHOOSE(CONTROL!$C$23, $C$12, 100%, $E$12)</f>
        <v>15.91</v>
      </c>
      <c r="M843" s="66">
        <f>15.9149 * CHOOSE(CONTROL!$C$23, $C$12, 100%, $E$12)</f>
        <v>15.914899999999999</v>
      </c>
      <c r="N843" s="66">
        <f>15.91 * CHOOSE(CONTROL!$C$23, $C$12, 100%, $E$12)</f>
        <v>15.91</v>
      </c>
      <c r="O843" s="66">
        <f>15.9149 * CHOOSE(CONTROL!$C$23, $C$12, 100%, $E$12)</f>
        <v>15.914899999999999</v>
      </c>
    </row>
    <row r="844" spans="1:15" ht="15">
      <c r="A844" s="13">
        <v>66842</v>
      </c>
      <c r="B844" s="65">
        <f>14.0787 * CHOOSE(CONTROL!$C$23, $C$12, 100%, $E$12)</f>
        <v>14.0787</v>
      </c>
      <c r="C844" s="65">
        <f>14.0787 * CHOOSE(CONTROL!$C$23, $C$12, 100%, $E$12)</f>
        <v>14.0787</v>
      </c>
      <c r="D844" s="65">
        <f>14.0827 * CHOOSE(CONTROL!$C$23, $C$12, 100%, $E$12)</f>
        <v>14.082700000000001</v>
      </c>
      <c r="E844" s="66">
        <f>16.013 * CHOOSE(CONTROL!$C$23, $C$12, 100%, $E$12)</f>
        <v>16.013000000000002</v>
      </c>
      <c r="F844" s="66">
        <f>16.013 * CHOOSE(CONTROL!$C$23, $C$12, 100%, $E$12)</f>
        <v>16.013000000000002</v>
      </c>
      <c r="G844" s="66">
        <f>16.0179 * CHOOSE(CONTROL!$C$23, $C$12, 100%, $E$12)</f>
        <v>16.017900000000001</v>
      </c>
      <c r="H844" s="66">
        <f>29.6977* CHOOSE(CONTROL!$C$23, $C$12, 100%, $E$12)</f>
        <v>29.697700000000001</v>
      </c>
      <c r="I844" s="66">
        <f>29.7027 * CHOOSE(CONTROL!$C$23, $C$12, 100%, $E$12)</f>
        <v>29.7027</v>
      </c>
      <c r="J844" s="66">
        <f>29.6977 * CHOOSE(CONTROL!$C$23, $C$12, 100%, $E$12)</f>
        <v>29.697700000000001</v>
      </c>
      <c r="K844" s="66">
        <f>29.7027 * CHOOSE(CONTROL!$C$23, $C$12, 100%, $E$12)</f>
        <v>29.7027</v>
      </c>
      <c r="L844" s="66">
        <f>16.013 * CHOOSE(CONTROL!$C$23, $C$12, 100%, $E$12)</f>
        <v>16.013000000000002</v>
      </c>
      <c r="M844" s="66">
        <f>16.0179 * CHOOSE(CONTROL!$C$23, $C$12, 100%, $E$12)</f>
        <v>16.017900000000001</v>
      </c>
      <c r="N844" s="66">
        <f>16.013 * CHOOSE(CONTROL!$C$23, $C$12, 100%, $E$12)</f>
        <v>16.013000000000002</v>
      </c>
      <c r="O844" s="66">
        <f>16.0179 * CHOOSE(CONTROL!$C$23, $C$12, 100%, $E$12)</f>
        <v>16.017900000000001</v>
      </c>
    </row>
    <row r="845" spans="1:15" ht="15">
      <c r="A845" s="13">
        <v>66873</v>
      </c>
      <c r="B845" s="65">
        <f>14.0757 * CHOOSE(CONTROL!$C$23, $C$12, 100%, $E$12)</f>
        <v>14.075699999999999</v>
      </c>
      <c r="C845" s="65">
        <f>14.0757 * CHOOSE(CONTROL!$C$23, $C$12, 100%, $E$12)</f>
        <v>14.075699999999999</v>
      </c>
      <c r="D845" s="65">
        <f>14.0797 * CHOOSE(CONTROL!$C$23, $C$12, 100%, $E$12)</f>
        <v>14.079700000000001</v>
      </c>
      <c r="E845" s="66">
        <f>15.7262 * CHOOSE(CONTROL!$C$23, $C$12, 100%, $E$12)</f>
        <v>15.7262</v>
      </c>
      <c r="F845" s="66">
        <f>15.7262 * CHOOSE(CONTROL!$C$23, $C$12, 100%, $E$12)</f>
        <v>15.7262</v>
      </c>
      <c r="G845" s="66">
        <f>15.7312 * CHOOSE(CONTROL!$C$23, $C$12, 100%, $E$12)</f>
        <v>15.731199999999999</v>
      </c>
      <c r="H845" s="66">
        <f>29.7596* CHOOSE(CONTROL!$C$23, $C$12, 100%, $E$12)</f>
        <v>29.759599999999999</v>
      </c>
      <c r="I845" s="66">
        <f>29.7645 * CHOOSE(CONTROL!$C$23, $C$12, 100%, $E$12)</f>
        <v>29.764500000000002</v>
      </c>
      <c r="J845" s="66">
        <f>29.7596 * CHOOSE(CONTROL!$C$23, $C$12, 100%, $E$12)</f>
        <v>29.759599999999999</v>
      </c>
      <c r="K845" s="66">
        <f>29.7645 * CHOOSE(CONTROL!$C$23, $C$12, 100%, $E$12)</f>
        <v>29.764500000000002</v>
      </c>
      <c r="L845" s="66">
        <f>15.7262 * CHOOSE(CONTROL!$C$23, $C$12, 100%, $E$12)</f>
        <v>15.7262</v>
      </c>
      <c r="M845" s="66">
        <f>15.7312 * CHOOSE(CONTROL!$C$23, $C$12, 100%, $E$12)</f>
        <v>15.731199999999999</v>
      </c>
      <c r="N845" s="66">
        <f>15.7262 * CHOOSE(CONTROL!$C$23, $C$12, 100%, $E$12)</f>
        <v>15.7262</v>
      </c>
      <c r="O845" s="66">
        <f>15.7312 * CHOOSE(CONTROL!$C$23, $C$12, 100%, $E$12)</f>
        <v>15.731199999999999</v>
      </c>
    </row>
    <row r="846" spans="1:15" ht="15">
      <c r="A846" s="13">
        <v>66901</v>
      </c>
      <c r="B846" s="65">
        <f>14.0727 * CHOOSE(CONTROL!$C$23, $C$12, 100%, $E$12)</f>
        <v>14.072699999999999</v>
      </c>
      <c r="C846" s="65">
        <f>14.0727 * CHOOSE(CONTROL!$C$23, $C$12, 100%, $E$12)</f>
        <v>14.072699999999999</v>
      </c>
      <c r="D846" s="65">
        <f>14.0767 * CHOOSE(CONTROL!$C$23, $C$12, 100%, $E$12)</f>
        <v>14.076700000000001</v>
      </c>
      <c r="E846" s="66">
        <f>15.9485 * CHOOSE(CONTROL!$C$23, $C$12, 100%, $E$12)</f>
        <v>15.948499999999999</v>
      </c>
      <c r="F846" s="66">
        <f>15.9485 * CHOOSE(CONTROL!$C$23, $C$12, 100%, $E$12)</f>
        <v>15.948499999999999</v>
      </c>
      <c r="G846" s="66">
        <f>15.9534 * CHOOSE(CONTROL!$C$23, $C$12, 100%, $E$12)</f>
        <v>15.9534</v>
      </c>
      <c r="H846" s="66">
        <f>29.8216* CHOOSE(CONTROL!$C$23, $C$12, 100%, $E$12)</f>
        <v>29.8216</v>
      </c>
      <c r="I846" s="66">
        <f>29.8265 * CHOOSE(CONTROL!$C$23, $C$12, 100%, $E$12)</f>
        <v>29.826499999999999</v>
      </c>
      <c r="J846" s="66">
        <f>29.8216 * CHOOSE(CONTROL!$C$23, $C$12, 100%, $E$12)</f>
        <v>29.8216</v>
      </c>
      <c r="K846" s="66">
        <f>29.8265 * CHOOSE(CONTROL!$C$23, $C$12, 100%, $E$12)</f>
        <v>29.826499999999999</v>
      </c>
      <c r="L846" s="66">
        <f>15.9485 * CHOOSE(CONTROL!$C$23, $C$12, 100%, $E$12)</f>
        <v>15.948499999999999</v>
      </c>
      <c r="M846" s="66">
        <f>15.9534 * CHOOSE(CONTROL!$C$23, $C$12, 100%, $E$12)</f>
        <v>15.9534</v>
      </c>
      <c r="N846" s="66">
        <f>15.9485 * CHOOSE(CONTROL!$C$23, $C$12, 100%, $E$12)</f>
        <v>15.948499999999999</v>
      </c>
      <c r="O846" s="66">
        <f>15.9534 * CHOOSE(CONTROL!$C$23, $C$12, 100%, $E$12)</f>
        <v>15.9534</v>
      </c>
    </row>
    <row r="847" spans="1:15" ht="15">
      <c r="A847" s="13">
        <v>66932</v>
      </c>
      <c r="B847" s="65">
        <f>14.0787 * CHOOSE(CONTROL!$C$23, $C$12, 100%, $E$12)</f>
        <v>14.0787</v>
      </c>
      <c r="C847" s="65">
        <f>14.0787 * CHOOSE(CONTROL!$C$23, $C$12, 100%, $E$12)</f>
        <v>14.0787</v>
      </c>
      <c r="D847" s="65">
        <f>14.0827 * CHOOSE(CONTROL!$C$23, $C$12, 100%, $E$12)</f>
        <v>14.082700000000001</v>
      </c>
      <c r="E847" s="66">
        <f>16.1852 * CHOOSE(CONTROL!$C$23, $C$12, 100%, $E$12)</f>
        <v>16.185199999999998</v>
      </c>
      <c r="F847" s="66">
        <f>16.1852 * CHOOSE(CONTROL!$C$23, $C$12, 100%, $E$12)</f>
        <v>16.185199999999998</v>
      </c>
      <c r="G847" s="66">
        <f>16.1901 * CHOOSE(CONTROL!$C$23, $C$12, 100%, $E$12)</f>
        <v>16.190100000000001</v>
      </c>
      <c r="H847" s="66">
        <f>29.8837* CHOOSE(CONTROL!$C$23, $C$12, 100%, $E$12)</f>
        <v>29.883700000000001</v>
      </c>
      <c r="I847" s="66">
        <f>29.8887 * CHOOSE(CONTROL!$C$23, $C$12, 100%, $E$12)</f>
        <v>29.8887</v>
      </c>
      <c r="J847" s="66">
        <f>29.8837 * CHOOSE(CONTROL!$C$23, $C$12, 100%, $E$12)</f>
        <v>29.883700000000001</v>
      </c>
      <c r="K847" s="66">
        <f>29.8887 * CHOOSE(CONTROL!$C$23, $C$12, 100%, $E$12)</f>
        <v>29.8887</v>
      </c>
      <c r="L847" s="66">
        <f>16.1852 * CHOOSE(CONTROL!$C$23, $C$12, 100%, $E$12)</f>
        <v>16.185199999999998</v>
      </c>
      <c r="M847" s="66">
        <f>16.1901 * CHOOSE(CONTROL!$C$23, $C$12, 100%, $E$12)</f>
        <v>16.190100000000001</v>
      </c>
      <c r="N847" s="66">
        <f>16.1852 * CHOOSE(CONTROL!$C$23, $C$12, 100%, $E$12)</f>
        <v>16.185199999999998</v>
      </c>
      <c r="O847" s="66">
        <f>16.1901 * CHOOSE(CONTROL!$C$23, $C$12, 100%, $E$12)</f>
        <v>16.190100000000001</v>
      </c>
    </row>
    <row r="848" spans="1:15" ht="15">
      <c r="A848" s="13">
        <v>66962</v>
      </c>
      <c r="B848" s="65">
        <f>14.0787 * CHOOSE(CONTROL!$C$23, $C$12, 100%, $E$12)</f>
        <v>14.0787</v>
      </c>
      <c r="C848" s="65">
        <f>14.0787 * CHOOSE(CONTROL!$C$23, $C$12, 100%, $E$12)</f>
        <v>14.0787</v>
      </c>
      <c r="D848" s="65">
        <f>14.0844 * CHOOSE(CONTROL!$C$23, $C$12, 100%, $E$12)</f>
        <v>14.0844</v>
      </c>
      <c r="E848" s="66">
        <f>16.2756 * CHOOSE(CONTROL!$C$23, $C$12, 100%, $E$12)</f>
        <v>16.275600000000001</v>
      </c>
      <c r="F848" s="66">
        <f>16.2756 * CHOOSE(CONTROL!$C$23, $C$12, 100%, $E$12)</f>
        <v>16.275600000000001</v>
      </c>
      <c r="G848" s="66">
        <f>16.2824 * CHOOSE(CONTROL!$C$23, $C$12, 100%, $E$12)</f>
        <v>16.282399999999999</v>
      </c>
      <c r="H848" s="66">
        <f>29.946* CHOOSE(CONTROL!$C$23, $C$12, 100%, $E$12)</f>
        <v>29.946000000000002</v>
      </c>
      <c r="I848" s="66">
        <f>29.9529 * CHOOSE(CONTROL!$C$23, $C$12, 100%, $E$12)</f>
        <v>29.9529</v>
      </c>
      <c r="J848" s="66">
        <f>29.946 * CHOOSE(CONTROL!$C$23, $C$12, 100%, $E$12)</f>
        <v>29.946000000000002</v>
      </c>
      <c r="K848" s="66">
        <f>29.9529 * CHOOSE(CONTROL!$C$23, $C$12, 100%, $E$12)</f>
        <v>29.9529</v>
      </c>
      <c r="L848" s="66">
        <f>16.2756 * CHOOSE(CONTROL!$C$23, $C$12, 100%, $E$12)</f>
        <v>16.275600000000001</v>
      </c>
      <c r="M848" s="66">
        <f>16.2824 * CHOOSE(CONTROL!$C$23, $C$12, 100%, $E$12)</f>
        <v>16.282399999999999</v>
      </c>
      <c r="N848" s="66">
        <f>16.2756 * CHOOSE(CONTROL!$C$23, $C$12, 100%, $E$12)</f>
        <v>16.275600000000001</v>
      </c>
      <c r="O848" s="66">
        <f>16.2824 * CHOOSE(CONTROL!$C$23, $C$12, 100%, $E$12)</f>
        <v>16.282399999999999</v>
      </c>
    </row>
    <row r="849" spans="1:15" ht="15">
      <c r="A849" s="13">
        <v>66993</v>
      </c>
      <c r="B849" s="65">
        <f>14.0848 * CHOOSE(CONTROL!$C$23, $C$12, 100%, $E$12)</f>
        <v>14.0848</v>
      </c>
      <c r="C849" s="65">
        <f>14.0848 * CHOOSE(CONTROL!$C$23, $C$12, 100%, $E$12)</f>
        <v>14.0848</v>
      </c>
      <c r="D849" s="65">
        <f>14.0905 * CHOOSE(CONTROL!$C$23, $C$12, 100%, $E$12)</f>
        <v>14.0905</v>
      </c>
      <c r="E849" s="66">
        <f>16.1894 * CHOOSE(CONTROL!$C$23, $C$12, 100%, $E$12)</f>
        <v>16.189399999999999</v>
      </c>
      <c r="F849" s="66">
        <f>16.1894 * CHOOSE(CONTROL!$C$23, $C$12, 100%, $E$12)</f>
        <v>16.189399999999999</v>
      </c>
      <c r="G849" s="66">
        <f>16.1963 * CHOOSE(CONTROL!$C$23, $C$12, 100%, $E$12)</f>
        <v>16.196300000000001</v>
      </c>
      <c r="H849" s="66">
        <f>30.0084* CHOOSE(CONTROL!$C$23, $C$12, 100%, $E$12)</f>
        <v>30.008400000000002</v>
      </c>
      <c r="I849" s="66">
        <f>30.0153 * CHOOSE(CONTROL!$C$23, $C$12, 100%, $E$12)</f>
        <v>30.0153</v>
      </c>
      <c r="J849" s="66">
        <f>30.0084 * CHOOSE(CONTROL!$C$23, $C$12, 100%, $E$12)</f>
        <v>30.008400000000002</v>
      </c>
      <c r="K849" s="66">
        <f>30.0153 * CHOOSE(CONTROL!$C$23, $C$12, 100%, $E$12)</f>
        <v>30.0153</v>
      </c>
      <c r="L849" s="66">
        <f>16.1894 * CHOOSE(CONTROL!$C$23, $C$12, 100%, $E$12)</f>
        <v>16.189399999999999</v>
      </c>
      <c r="M849" s="66">
        <f>16.1963 * CHOOSE(CONTROL!$C$23, $C$12, 100%, $E$12)</f>
        <v>16.196300000000001</v>
      </c>
      <c r="N849" s="66">
        <f>16.1894 * CHOOSE(CONTROL!$C$23, $C$12, 100%, $E$12)</f>
        <v>16.189399999999999</v>
      </c>
      <c r="O849" s="66">
        <f>16.1963 * CHOOSE(CONTROL!$C$23, $C$12, 100%, $E$12)</f>
        <v>16.196300000000001</v>
      </c>
    </row>
    <row r="850" spans="1:15" ht="15">
      <c r="A850" s="13">
        <v>67023</v>
      </c>
      <c r="B850" s="65">
        <f>14.2984 * CHOOSE(CONTROL!$C$23, $C$12, 100%, $E$12)</f>
        <v>14.298400000000001</v>
      </c>
      <c r="C850" s="65">
        <f>14.2984 * CHOOSE(CONTROL!$C$23, $C$12, 100%, $E$12)</f>
        <v>14.298400000000001</v>
      </c>
      <c r="D850" s="65">
        <f>14.3041 * CHOOSE(CONTROL!$C$23, $C$12, 100%, $E$12)</f>
        <v>14.3041</v>
      </c>
      <c r="E850" s="66">
        <f>16.4469 * CHOOSE(CONTROL!$C$23, $C$12, 100%, $E$12)</f>
        <v>16.446899999999999</v>
      </c>
      <c r="F850" s="66">
        <f>16.4469 * CHOOSE(CONTROL!$C$23, $C$12, 100%, $E$12)</f>
        <v>16.446899999999999</v>
      </c>
      <c r="G850" s="66">
        <f>16.4538 * CHOOSE(CONTROL!$C$23, $C$12, 100%, $E$12)</f>
        <v>16.453800000000001</v>
      </c>
      <c r="H850" s="66">
        <f>30.0709* CHOOSE(CONTROL!$C$23, $C$12, 100%, $E$12)</f>
        <v>30.070900000000002</v>
      </c>
      <c r="I850" s="66">
        <f>30.0778 * CHOOSE(CONTROL!$C$23, $C$12, 100%, $E$12)</f>
        <v>30.0778</v>
      </c>
      <c r="J850" s="66">
        <f>30.0709 * CHOOSE(CONTROL!$C$23, $C$12, 100%, $E$12)</f>
        <v>30.070900000000002</v>
      </c>
      <c r="K850" s="66">
        <f>30.0778 * CHOOSE(CONTROL!$C$23, $C$12, 100%, $E$12)</f>
        <v>30.0778</v>
      </c>
      <c r="L850" s="66">
        <f>16.4469 * CHOOSE(CONTROL!$C$23, $C$12, 100%, $E$12)</f>
        <v>16.446899999999999</v>
      </c>
      <c r="M850" s="66">
        <f>16.4538 * CHOOSE(CONTROL!$C$23, $C$12, 100%, $E$12)</f>
        <v>16.453800000000001</v>
      </c>
      <c r="N850" s="66">
        <f>16.4469 * CHOOSE(CONTROL!$C$23, $C$12, 100%, $E$12)</f>
        <v>16.446899999999999</v>
      </c>
      <c r="O850" s="66">
        <f>16.4538 * CHOOSE(CONTROL!$C$23, $C$12, 100%, $E$12)</f>
        <v>16.453800000000001</v>
      </c>
    </row>
    <row r="851" spans="1:15" ht="15">
      <c r="A851" s="13">
        <v>67054</v>
      </c>
      <c r="B851" s="65">
        <f>14.3051 * CHOOSE(CONTROL!$C$23, $C$12, 100%, $E$12)</f>
        <v>14.305099999999999</v>
      </c>
      <c r="C851" s="65">
        <f>14.3051 * CHOOSE(CONTROL!$C$23, $C$12, 100%, $E$12)</f>
        <v>14.305099999999999</v>
      </c>
      <c r="D851" s="65">
        <f>14.3107 * CHOOSE(CONTROL!$C$23, $C$12, 100%, $E$12)</f>
        <v>14.310700000000001</v>
      </c>
      <c r="E851" s="66">
        <f>16.1805 * CHOOSE(CONTROL!$C$23, $C$12, 100%, $E$12)</f>
        <v>16.180499999999999</v>
      </c>
      <c r="F851" s="66">
        <f>16.1805 * CHOOSE(CONTROL!$C$23, $C$12, 100%, $E$12)</f>
        <v>16.180499999999999</v>
      </c>
      <c r="G851" s="66">
        <f>16.1874 * CHOOSE(CONTROL!$C$23, $C$12, 100%, $E$12)</f>
        <v>16.1874</v>
      </c>
      <c r="H851" s="66">
        <f>30.1335* CHOOSE(CONTROL!$C$23, $C$12, 100%, $E$12)</f>
        <v>30.133500000000002</v>
      </c>
      <c r="I851" s="66">
        <f>30.1404 * CHOOSE(CONTROL!$C$23, $C$12, 100%, $E$12)</f>
        <v>30.1404</v>
      </c>
      <c r="J851" s="66">
        <f>30.1335 * CHOOSE(CONTROL!$C$23, $C$12, 100%, $E$12)</f>
        <v>30.133500000000002</v>
      </c>
      <c r="K851" s="66">
        <f>30.1404 * CHOOSE(CONTROL!$C$23, $C$12, 100%, $E$12)</f>
        <v>30.1404</v>
      </c>
      <c r="L851" s="66">
        <f>16.1805 * CHOOSE(CONTROL!$C$23, $C$12, 100%, $E$12)</f>
        <v>16.180499999999999</v>
      </c>
      <c r="M851" s="66">
        <f>16.1874 * CHOOSE(CONTROL!$C$23, $C$12, 100%, $E$12)</f>
        <v>16.1874</v>
      </c>
      <c r="N851" s="66">
        <f>16.1805 * CHOOSE(CONTROL!$C$23, $C$12, 100%, $E$12)</f>
        <v>16.180499999999999</v>
      </c>
      <c r="O851" s="66">
        <f>16.1874 * CHOOSE(CONTROL!$C$23, $C$12, 100%, $E$12)</f>
        <v>16.1874</v>
      </c>
    </row>
    <row r="852" spans="1:15" ht="15">
      <c r="A852" s="13">
        <v>67085</v>
      </c>
      <c r="B852" s="65">
        <f>14.3021 * CHOOSE(CONTROL!$C$23, $C$12, 100%, $E$12)</f>
        <v>14.302099999999999</v>
      </c>
      <c r="C852" s="65">
        <f>14.3021 * CHOOSE(CONTROL!$C$23, $C$12, 100%, $E$12)</f>
        <v>14.302099999999999</v>
      </c>
      <c r="D852" s="65">
        <f>14.3077 * CHOOSE(CONTROL!$C$23, $C$12, 100%, $E$12)</f>
        <v>14.307700000000001</v>
      </c>
      <c r="E852" s="66">
        <f>16.1482 * CHOOSE(CONTROL!$C$23, $C$12, 100%, $E$12)</f>
        <v>16.148199999999999</v>
      </c>
      <c r="F852" s="66">
        <f>16.1482 * CHOOSE(CONTROL!$C$23, $C$12, 100%, $E$12)</f>
        <v>16.148199999999999</v>
      </c>
      <c r="G852" s="66">
        <f>16.1551 * CHOOSE(CONTROL!$C$23, $C$12, 100%, $E$12)</f>
        <v>16.155100000000001</v>
      </c>
      <c r="H852" s="66">
        <f>30.1963* CHOOSE(CONTROL!$C$23, $C$12, 100%, $E$12)</f>
        <v>30.196300000000001</v>
      </c>
      <c r="I852" s="66">
        <f>30.2032 * CHOOSE(CONTROL!$C$23, $C$12, 100%, $E$12)</f>
        <v>30.203199999999999</v>
      </c>
      <c r="J852" s="66">
        <f>30.1963 * CHOOSE(CONTROL!$C$23, $C$12, 100%, $E$12)</f>
        <v>30.196300000000001</v>
      </c>
      <c r="K852" s="66">
        <f>30.2032 * CHOOSE(CONTROL!$C$23, $C$12, 100%, $E$12)</f>
        <v>30.203199999999999</v>
      </c>
      <c r="L852" s="66">
        <f>16.1482 * CHOOSE(CONTROL!$C$23, $C$12, 100%, $E$12)</f>
        <v>16.148199999999999</v>
      </c>
      <c r="M852" s="66">
        <f>16.1551 * CHOOSE(CONTROL!$C$23, $C$12, 100%, $E$12)</f>
        <v>16.155100000000001</v>
      </c>
      <c r="N852" s="66">
        <f>16.1482 * CHOOSE(CONTROL!$C$23, $C$12, 100%, $E$12)</f>
        <v>16.148199999999999</v>
      </c>
      <c r="O852" s="66">
        <f>16.1551 * CHOOSE(CONTROL!$C$23, $C$12, 100%, $E$12)</f>
        <v>16.155100000000001</v>
      </c>
    </row>
    <row r="853" spans="1:15" ht="15">
      <c r="A853" s="13">
        <v>67115</v>
      </c>
      <c r="B853" s="65">
        <f>14.3303 * CHOOSE(CONTROL!$C$23, $C$12, 100%, $E$12)</f>
        <v>14.330299999999999</v>
      </c>
      <c r="C853" s="65">
        <f>14.3303 * CHOOSE(CONTROL!$C$23, $C$12, 100%, $E$12)</f>
        <v>14.330299999999999</v>
      </c>
      <c r="D853" s="65">
        <f>14.3343 * CHOOSE(CONTROL!$C$23, $C$12, 100%, $E$12)</f>
        <v>14.334300000000001</v>
      </c>
      <c r="E853" s="66">
        <f>16.2553 * CHOOSE(CONTROL!$C$23, $C$12, 100%, $E$12)</f>
        <v>16.255299999999998</v>
      </c>
      <c r="F853" s="66">
        <f>16.2553 * CHOOSE(CONTROL!$C$23, $C$12, 100%, $E$12)</f>
        <v>16.255299999999998</v>
      </c>
      <c r="G853" s="66">
        <f>16.2602 * CHOOSE(CONTROL!$C$23, $C$12, 100%, $E$12)</f>
        <v>16.260200000000001</v>
      </c>
      <c r="H853" s="66">
        <f>30.2592* CHOOSE(CONTROL!$C$23, $C$12, 100%, $E$12)</f>
        <v>30.2592</v>
      </c>
      <c r="I853" s="66">
        <f>30.2642 * CHOOSE(CONTROL!$C$23, $C$12, 100%, $E$12)</f>
        <v>30.264199999999999</v>
      </c>
      <c r="J853" s="66">
        <f>30.2592 * CHOOSE(CONTROL!$C$23, $C$12, 100%, $E$12)</f>
        <v>30.2592</v>
      </c>
      <c r="K853" s="66">
        <f>30.2642 * CHOOSE(CONTROL!$C$23, $C$12, 100%, $E$12)</f>
        <v>30.264199999999999</v>
      </c>
      <c r="L853" s="66">
        <f>16.2553 * CHOOSE(CONTROL!$C$23, $C$12, 100%, $E$12)</f>
        <v>16.255299999999998</v>
      </c>
      <c r="M853" s="66">
        <f>16.2602 * CHOOSE(CONTROL!$C$23, $C$12, 100%, $E$12)</f>
        <v>16.260200000000001</v>
      </c>
      <c r="N853" s="66">
        <f>16.2553 * CHOOSE(CONTROL!$C$23, $C$12, 100%, $E$12)</f>
        <v>16.255299999999998</v>
      </c>
      <c r="O853" s="66">
        <f>16.2602 * CHOOSE(CONTROL!$C$23, $C$12, 100%, $E$12)</f>
        <v>16.260200000000001</v>
      </c>
    </row>
    <row r="854" spans="1:15" ht="15">
      <c r="A854" s="13">
        <v>67146</v>
      </c>
      <c r="B854" s="65">
        <f>14.3333 * CHOOSE(CONTROL!$C$23, $C$12, 100%, $E$12)</f>
        <v>14.333299999999999</v>
      </c>
      <c r="C854" s="65">
        <f>14.3333 * CHOOSE(CONTROL!$C$23, $C$12, 100%, $E$12)</f>
        <v>14.333299999999999</v>
      </c>
      <c r="D854" s="65">
        <f>14.3373 * CHOOSE(CONTROL!$C$23, $C$12, 100%, $E$12)</f>
        <v>14.337300000000001</v>
      </c>
      <c r="E854" s="66">
        <f>16.3177 * CHOOSE(CONTROL!$C$23, $C$12, 100%, $E$12)</f>
        <v>16.317699999999999</v>
      </c>
      <c r="F854" s="66">
        <f>16.3177 * CHOOSE(CONTROL!$C$23, $C$12, 100%, $E$12)</f>
        <v>16.317699999999999</v>
      </c>
      <c r="G854" s="66">
        <f>16.3226 * CHOOSE(CONTROL!$C$23, $C$12, 100%, $E$12)</f>
        <v>16.322600000000001</v>
      </c>
      <c r="H854" s="66">
        <f>30.3223* CHOOSE(CONTROL!$C$23, $C$12, 100%, $E$12)</f>
        <v>30.322299999999998</v>
      </c>
      <c r="I854" s="66">
        <f>30.3272 * CHOOSE(CONTROL!$C$23, $C$12, 100%, $E$12)</f>
        <v>30.327200000000001</v>
      </c>
      <c r="J854" s="66">
        <f>30.3223 * CHOOSE(CONTROL!$C$23, $C$12, 100%, $E$12)</f>
        <v>30.322299999999998</v>
      </c>
      <c r="K854" s="66">
        <f>30.3272 * CHOOSE(CONTROL!$C$23, $C$12, 100%, $E$12)</f>
        <v>30.327200000000001</v>
      </c>
      <c r="L854" s="66">
        <f>16.3177 * CHOOSE(CONTROL!$C$23, $C$12, 100%, $E$12)</f>
        <v>16.317699999999999</v>
      </c>
      <c r="M854" s="66">
        <f>16.3226 * CHOOSE(CONTROL!$C$23, $C$12, 100%, $E$12)</f>
        <v>16.322600000000001</v>
      </c>
      <c r="N854" s="66">
        <f>16.3177 * CHOOSE(CONTROL!$C$23, $C$12, 100%, $E$12)</f>
        <v>16.317699999999999</v>
      </c>
      <c r="O854" s="66">
        <f>16.3226 * CHOOSE(CONTROL!$C$23, $C$12, 100%, $E$12)</f>
        <v>16.322600000000001</v>
      </c>
    </row>
    <row r="855" spans="1:15" ht="15">
      <c r="A855" s="13">
        <v>67176</v>
      </c>
      <c r="B855" s="65">
        <f>14.3333 * CHOOSE(CONTROL!$C$23, $C$12, 100%, $E$12)</f>
        <v>14.333299999999999</v>
      </c>
      <c r="C855" s="65">
        <f>14.3333 * CHOOSE(CONTROL!$C$23, $C$12, 100%, $E$12)</f>
        <v>14.333299999999999</v>
      </c>
      <c r="D855" s="65">
        <f>14.3373 * CHOOSE(CONTROL!$C$23, $C$12, 100%, $E$12)</f>
        <v>14.337300000000001</v>
      </c>
      <c r="E855" s="66">
        <f>16.1671 * CHOOSE(CONTROL!$C$23, $C$12, 100%, $E$12)</f>
        <v>16.167100000000001</v>
      </c>
      <c r="F855" s="66">
        <f>16.1671 * CHOOSE(CONTROL!$C$23, $C$12, 100%, $E$12)</f>
        <v>16.167100000000001</v>
      </c>
      <c r="G855" s="66">
        <f>16.172 * CHOOSE(CONTROL!$C$23, $C$12, 100%, $E$12)</f>
        <v>16.172000000000001</v>
      </c>
      <c r="H855" s="66">
        <f>30.3854* CHOOSE(CONTROL!$C$23, $C$12, 100%, $E$12)</f>
        <v>30.385400000000001</v>
      </c>
      <c r="I855" s="66">
        <f>30.3904 * CHOOSE(CONTROL!$C$23, $C$12, 100%, $E$12)</f>
        <v>30.3904</v>
      </c>
      <c r="J855" s="66">
        <f>30.3854 * CHOOSE(CONTROL!$C$23, $C$12, 100%, $E$12)</f>
        <v>30.385400000000001</v>
      </c>
      <c r="K855" s="66">
        <f>30.3904 * CHOOSE(CONTROL!$C$23, $C$12, 100%, $E$12)</f>
        <v>30.3904</v>
      </c>
      <c r="L855" s="66">
        <f>16.1671 * CHOOSE(CONTROL!$C$23, $C$12, 100%, $E$12)</f>
        <v>16.167100000000001</v>
      </c>
      <c r="M855" s="66">
        <f>16.172 * CHOOSE(CONTROL!$C$23, $C$12, 100%, $E$12)</f>
        <v>16.172000000000001</v>
      </c>
      <c r="N855" s="66">
        <f>16.1671 * CHOOSE(CONTROL!$C$23, $C$12, 100%, $E$12)</f>
        <v>16.167100000000001</v>
      </c>
      <c r="O855" s="66">
        <f>16.172 * CHOOSE(CONTROL!$C$23, $C$12, 100%, $E$12)</f>
        <v>16.172000000000001</v>
      </c>
    </row>
    <row r="856" spans="1:15" ht="15">
      <c r="A856" s="13">
        <v>67207</v>
      </c>
      <c r="B856" s="65">
        <f>14.3143 * CHOOSE(CONTROL!$C$23, $C$12, 100%, $E$12)</f>
        <v>14.314299999999999</v>
      </c>
      <c r="C856" s="65">
        <f>14.3143 * CHOOSE(CONTROL!$C$23, $C$12, 100%, $E$12)</f>
        <v>14.314299999999999</v>
      </c>
      <c r="D856" s="65">
        <f>14.3183 * CHOOSE(CONTROL!$C$23, $C$12, 100%, $E$12)</f>
        <v>14.318300000000001</v>
      </c>
      <c r="E856" s="66">
        <f>16.2677 * CHOOSE(CONTROL!$C$23, $C$12, 100%, $E$12)</f>
        <v>16.267700000000001</v>
      </c>
      <c r="F856" s="66">
        <f>16.2677 * CHOOSE(CONTROL!$C$23, $C$12, 100%, $E$12)</f>
        <v>16.267700000000001</v>
      </c>
      <c r="G856" s="66">
        <f>16.2726 * CHOOSE(CONTROL!$C$23, $C$12, 100%, $E$12)</f>
        <v>16.272600000000001</v>
      </c>
      <c r="H856" s="66">
        <f>30.1803* CHOOSE(CONTROL!$C$23, $C$12, 100%, $E$12)</f>
        <v>30.180299999999999</v>
      </c>
      <c r="I856" s="66">
        <f>30.1852 * CHOOSE(CONTROL!$C$23, $C$12, 100%, $E$12)</f>
        <v>30.185199999999998</v>
      </c>
      <c r="J856" s="66">
        <f>30.1803 * CHOOSE(CONTROL!$C$23, $C$12, 100%, $E$12)</f>
        <v>30.180299999999999</v>
      </c>
      <c r="K856" s="66">
        <f>30.1852 * CHOOSE(CONTROL!$C$23, $C$12, 100%, $E$12)</f>
        <v>30.185199999999998</v>
      </c>
      <c r="L856" s="66">
        <f>16.2677 * CHOOSE(CONTROL!$C$23, $C$12, 100%, $E$12)</f>
        <v>16.267700000000001</v>
      </c>
      <c r="M856" s="66">
        <f>16.2726 * CHOOSE(CONTROL!$C$23, $C$12, 100%, $E$12)</f>
        <v>16.272600000000001</v>
      </c>
      <c r="N856" s="66">
        <f>16.2677 * CHOOSE(CONTROL!$C$23, $C$12, 100%, $E$12)</f>
        <v>16.267700000000001</v>
      </c>
      <c r="O856" s="66">
        <f>16.2726 * CHOOSE(CONTROL!$C$23, $C$12, 100%, $E$12)</f>
        <v>16.272600000000001</v>
      </c>
    </row>
    <row r="857" spans="1:15" ht="15">
      <c r="A857" s="13">
        <v>67238</v>
      </c>
      <c r="B857" s="65">
        <f>14.3113 * CHOOSE(CONTROL!$C$23, $C$12, 100%, $E$12)</f>
        <v>14.311299999999999</v>
      </c>
      <c r="C857" s="65">
        <f>14.3113 * CHOOSE(CONTROL!$C$23, $C$12, 100%, $E$12)</f>
        <v>14.311299999999999</v>
      </c>
      <c r="D857" s="65">
        <f>14.3153 * CHOOSE(CONTROL!$C$23, $C$12, 100%, $E$12)</f>
        <v>14.315300000000001</v>
      </c>
      <c r="E857" s="66">
        <f>15.976 * CHOOSE(CONTROL!$C$23, $C$12, 100%, $E$12)</f>
        <v>15.976000000000001</v>
      </c>
      <c r="F857" s="66">
        <f>15.976 * CHOOSE(CONTROL!$C$23, $C$12, 100%, $E$12)</f>
        <v>15.976000000000001</v>
      </c>
      <c r="G857" s="66">
        <f>15.981 * CHOOSE(CONTROL!$C$23, $C$12, 100%, $E$12)</f>
        <v>15.981</v>
      </c>
      <c r="H857" s="66">
        <f>30.2432* CHOOSE(CONTROL!$C$23, $C$12, 100%, $E$12)</f>
        <v>30.243200000000002</v>
      </c>
      <c r="I857" s="66">
        <f>30.2481 * CHOOSE(CONTROL!$C$23, $C$12, 100%, $E$12)</f>
        <v>30.248100000000001</v>
      </c>
      <c r="J857" s="66">
        <f>30.2432 * CHOOSE(CONTROL!$C$23, $C$12, 100%, $E$12)</f>
        <v>30.243200000000002</v>
      </c>
      <c r="K857" s="66">
        <f>30.2481 * CHOOSE(CONTROL!$C$23, $C$12, 100%, $E$12)</f>
        <v>30.248100000000001</v>
      </c>
      <c r="L857" s="66">
        <f>15.976 * CHOOSE(CONTROL!$C$23, $C$12, 100%, $E$12)</f>
        <v>15.976000000000001</v>
      </c>
      <c r="M857" s="66">
        <f>15.981 * CHOOSE(CONTROL!$C$23, $C$12, 100%, $E$12)</f>
        <v>15.981</v>
      </c>
      <c r="N857" s="66">
        <f>15.976 * CHOOSE(CONTROL!$C$23, $C$12, 100%, $E$12)</f>
        <v>15.976000000000001</v>
      </c>
      <c r="O857" s="66">
        <f>15.981 * CHOOSE(CONTROL!$C$23, $C$12, 100%, $E$12)</f>
        <v>15.981</v>
      </c>
    </row>
    <row r="858" spans="1:15" ht="15">
      <c r="A858" s="13">
        <v>67267</v>
      </c>
      <c r="B858" s="65">
        <f>14.3082 * CHOOSE(CONTROL!$C$23, $C$12, 100%, $E$12)</f>
        <v>14.308199999999999</v>
      </c>
      <c r="C858" s="65">
        <f>14.3082 * CHOOSE(CONTROL!$C$23, $C$12, 100%, $E$12)</f>
        <v>14.308199999999999</v>
      </c>
      <c r="D858" s="65">
        <f>14.3122 * CHOOSE(CONTROL!$C$23, $C$12, 100%, $E$12)</f>
        <v>14.312200000000001</v>
      </c>
      <c r="E858" s="66">
        <f>16.2022 * CHOOSE(CONTROL!$C$23, $C$12, 100%, $E$12)</f>
        <v>16.202200000000001</v>
      </c>
      <c r="F858" s="66">
        <f>16.2022 * CHOOSE(CONTROL!$C$23, $C$12, 100%, $E$12)</f>
        <v>16.202200000000001</v>
      </c>
      <c r="G858" s="66">
        <f>16.2071 * CHOOSE(CONTROL!$C$23, $C$12, 100%, $E$12)</f>
        <v>16.207100000000001</v>
      </c>
      <c r="H858" s="66">
        <f>30.3062* CHOOSE(CONTROL!$C$23, $C$12, 100%, $E$12)</f>
        <v>30.3062</v>
      </c>
      <c r="I858" s="66">
        <f>30.3111 * CHOOSE(CONTROL!$C$23, $C$12, 100%, $E$12)</f>
        <v>30.3111</v>
      </c>
      <c r="J858" s="66">
        <f>30.3062 * CHOOSE(CONTROL!$C$23, $C$12, 100%, $E$12)</f>
        <v>30.3062</v>
      </c>
      <c r="K858" s="66">
        <f>30.3111 * CHOOSE(CONTROL!$C$23, $C$12, 100%, $E$12)</f>
        <v>30.3111</v>
      </c>
      <c r="L858" s="66">
        <f>16.2022 * CHOOSE(CONTROL!$C$23, $C$12, 100%, $E$12)</f>
        <v>16.202200000000001</v>
      </c>
      <c r="M858" s="66">
        <f>16.2071 * CHOOSE(CONTROL!$C$23, $C$12, 100%, $E$12)</f>
        <v>16.207100000000001</v>
      </c>
      <c r="N858" s="66">
        <f>16.2022 * CHOOSE(CONTROL!$C$23, $C$12, 100%, $E$12)</f>
        <v>16.202200000000001</v>
      </c>
      <c r="O858" s="66">
        <f>16.2071 * CHOOSE(CONTROL!$C$23, $C$12, 100%, $E$12)</f>
        <v>16.207100000000001</v>
      </c>
    </row>
    <row r="859" spans="1:15" ht="15">
      <c r="A859" s="13">
        <v>67298</v>
      </c>
      <c r="B859" s="65">
        <f>14.3145 * CHOOSE(CONTROL!$C$23, $C$12, 100%, $E$12)</f>
        <v>14.314500000000001</v>
      </c>
      <c r="C859" s="65">
        <f>14.3145 * CHOOSE(CONTROL!$C$23, $C$12, 100%, $E$12)</f>
        <v>14.314500000000001</v>
      </c>
      <c r="D859" s="65">
        <f>14.3185 * CHOOSE(CONTROL!$C$23, $C$12, 100%, $E$12)</f>
        <v>14.3185</v>
      </c>
      <c r="E859" s="66">
        <f>16.4431 * CHOOSE(CONTROL!$C$23, $C$12, 100%, $E$12)</f>
        <v>16.443100000000001</v>
      </c>
      <c r="F859" s="66">
        <f>16.4431 * CHOOSE(CONTROL!$C$23, $C$12, 100%, $E$12)</f>
        <v>16.443100000000001</v>
      </c>
      <c r="G859" s="66">
        <f>16.448 * CHOOSE(CONTROL!$C$23, $C$12, 100%, $E$12)</f>
        <v>16.448</v>
      </c>
      <c r="H859" s="66">
        <f>30.3693* CHOOSE(CONTROL!$C$23, $C$12, 100%, $E$12)</f>
        <v>30.369299999999999</v>
      </c>
      <c r="I859" s="66">
        <f>30.3742 * CHOOSE(CONTROL!$C$23, $C$12, 100%, $E$12)</f>
        <v>30.374199999999998</v>
      </c>
      <c r="J859" s="66">
        <f>30.3693 * CHOOSE(CONTROL!$C$23, $C$12, 100%, $E$12)</f>
        <v>30.369299999999999</v>
      </c>
      <c r="K859" s="66">
        <f>30.3742 * CHOOSE(CONTROL!$C$23, $C$12, 100%, $E$12)</f>
        <v>30.374199999999998</v>
      </c>
      <c r="L859" s="66">
        <f>16.4431 * CHOOSE(CONTROL!$C$23, $C$12, 100%, $E$12)</f>
        <v>16.443100000000001</v>
      </c>
      <c r="M859" s="66">
        <f>16.448 * CHOOSE(CONTROL!$C$23, $C$12, 100%, $E$12)</f>
        <v>16.448</v>
      </c>
      <c r="N859" s="66">
        <f>16.4431 * CHOOSE(CONTROL!$C$23, $C$12, 100%, $E$12)</f>
        <v>16.443100000000001</v>
      </c>
      <c r="O859" s="66">
        <f>16.448 * CHOOSE(CONTROL!$C$23, $C$12, 100%, $E$12)</f>
        <v>16.448</v>
      </c>
    </row>
    <row r="860" spans="1:15" ht="15">
      <c r="A860" s="13">
        <v>67328</v>
      </c>
      <c r="B860" s="65">
        <f>14.3145 * CHOOSE(CONTROL!$C$23, $C$12, 100%, $E$12)</f>
        <v>14.314500000000001</v>
      </c>
      <c r="C860" s="65">
        <f>14.3145 * CHOOSE(CONTROL!$C$23, $C$12, 100%, $E$12)</f>
        <v>14.314500000000001</v>
      </c>
      <c r="D860" s="65">
        <f>14.3201 * CHOOSE(CONTROL!$C$23, $C$12, 100%, $E$12)</f>
        <v>14.3201</v>
      </c>
      <c r="E860" s="66">
        <f>16.535 * CHOOSE(CONTROL!$C$23, $C$12, 100%, $E$12)</f>
        <v>16.535</v>
      </c>
      <c r="F860" s="66">
        <f>16.535 * CHOOSE(CONTROL!$C$23, $C$12, 100%, $E$12)</f>
        <v>16.535</v>
      </c>
      <c r="G860" s="66">
        <f>16.5419 * CHOOSE(CONTROL!$C$23, $C$12, 100%, $E$12)</f>
        <v>16.541899999999998</v>
      </c>
      <c r="H860" s="66">
        <f>30.4326* CHOOSE(CONTROL!$C$23, $C$12, 100%, $E$12)</f>
        <v>30.432600000000001</v>
      </c>
      <c r="I860" s="66">
        <f>30.4395 * CHOOSE(CONTROL!$C$23, $C$12, 100%, $E$12)</f>
        <v>30.439499999999999</v>
      </c>
      <c r="J860" s="66">
        <f>30.4326 * CHOOSE(CONTROL!$C$23, $C$12, 100%, $E$12)</f>
        <v>30.432600000000001</v>
      </c>
      <c r="K860" s="66">
        <f>30.4395 * CHOOSE(CONTROL!$C$23, $C$12, 100%, $E$12)</f>
        <v>30.439499999999999</v>
      </c>
      <c r="L860" s="66">
        <f>16.535 * CHOOSE(CONTROL!$C$23, $C$12, 100%, $E$12)</f>
        <v>16.535</v>
      </c>
      <c r="M860" s="66">
        <f>16.5419 * CHOOSE(CONTROL!$C$23, $C$12, 100%, $E$12)</f>
        <v>16.541899999999998</v>
      </c>
      <c r="N860" s="66">
        <f>16.535 * CHOOSE(CONTROL!$C$23, $C$12, 100%, $E$12)</f>
        <v>16.535</v>
      </c>
      <c r="O860" s="66">
        <f>16.5419 * CHOOSE(CONTROL!$C$23, $C$12, 100%, $E$12)</f>
        <v>16.541899999999998</v>
      </c>
    </row>
    <row r="861" spans="1:15" ht="15">
      <c r="A861" s="13">
        <v>67359</v>
      </c>
      <c r="B861" s="65">
        <f>14.3206 * CHOOSE(CONTROL!$C$23, $C$12, 100%, $E$12)</f>
        <v>14.320600000000001</v>
      </c>
      <c r="C861" s="65">
        <f>14.3206 * CHOOSE(CONTROL!$C$23, $C$12, 100%, $E$12)</f>
        <v>14.320600000000001</v>
      </c>
      <c r="D861" s="65">
        <f>14.3262 * CHOOSE(CONTROL!$C$23, $C$12, 100%, $E$12)</f>
        <v>14.3262</v>
      </c>
      <c r="E861" s="66">
        <f>16.4473 * CHOOSE(CONTROL!$C$23, $C$12, 100%, $E$12)</f>
        <v>16.447299999999998</v>
      </c>
      <c r="F861" s="66">
        <f>16.4473 * CHOOSE(CONTROL!$C$23, $C$12, 100%, $E$12)</f>
        <v>16.447299999999998</v>
      </c>
      <c r="G861" s="66">
        <f>16.4542 * CHOOSE(CONTROL!$C$23, $C$12, 100%, $E$12)</f>
        <v>16.4542</v>
      </c>
      <c r="H861" s="66">
        <f>30.496* CHOOSE(CONTROL!$C$23, $C$12, 100%, $E$12)</f>
        <v>30.495999999999999</v>
      </c>
      <c r="I861" s="66">
        <f>30.5029 * CHOOSE(CONTROL!$C$23, $C$12, 100%, $E$12)</f>
        <v>30.5029</v>
      </c>
      <c r="J861" s="66">
        <f>30.496 * CHOOSE(CONTROL!$C$23, $C$12, 100%, $E$12)</f>
        <v>30.495999999999999</v>
      </c>
      <c r="K861" s="66">
        <f>30.5029 * CHOOSE(CONTROL!$C$23, $C$12, 100%, $E$12)</f>
        <v>30.5029</v>
      </c>
      <c r="L861" s="66">
        <f>16.4473 * CHOOSE(CONTROL!$C$23, $C$12, 100%, $E$12)</f>
        <v>16.447299999999998</v>
      </c>
      <c r="M861" s="66">
        <f>16.4542 * CHOOSE(CONTROL!$C$23, $C$12, 100%, $E$12)</f>
        <v>16.4542</v>
      </c>
      <c r="N861" s="66">
        <f>16.4473 * CHOOSE(CONTROL!$C$23, $C$12, 100%, $E$12)</f>
        <v>16.447299999999998</v>
      </c>
      <c r="O861" s="66">
        <f>16.4542 * CHOOSE(CONTROL!$C$23, $C$12, 100%, $E$12)</f>
        <v>16.4542</v>
      </c>
    </row>
    <row r="862" spans="1:15" ht="15">
      <c r="A862" s="13">
        <v>67389</v>
      </c>
      <c r="B862" s="65">
        <f>14.5376 * CHOOSE(CONTROL!$C$23, $C$12, 100%, $E$12)</f>
        <v>14.537599999999999</v>
      </c>
      <c r="C862" s="65">
        <f>14.5376 * CHOOSE(CONTROL!$C$23, $C$12, 100%, $E$12)</f>
        <v>14.537599999999999</v>
      </c>
      <c r="D862" s="65">
        <f>14.5432 * CHOOSE(CONTROL!$C$23, $C$12, 100%, $E$12)</f>
        <v>14.543200000000001</v>
      </c>
      <c r="E862" s="66">
        <f>16.7087 * CHOOSE(CONTROL!$C$23, $C$12, 100%, $E$12)</f>
        <v>16.7087</v>
      </c>
      <c r="F862" s="66">
        <f>16.7087 * CHOOSE(CONTROL!$C$23, $C$12, 100%, $E$12)</f>
        <v>16.7087</v>
      </c>
      <c r="G862" s="66">
        <f>16.7156 * CHOOSE(CONTROL!$C$23, $C$12, 100%, $E$12)</f>
        <v>16.715599999999998</v>
      </c>
      <c r="H862" s="66">
        <f>30.5595* CHOOSE(CONTROL!$C$23, $C$12, 100%, $E$12)</f>
        <v>30.5595</v>
      </c>
      <c r="I862" s="66">
        <f>30.5664 * CHOOSE(CONTROL!$C$23, $C$12, 100%, $E$12)</f>
        <v>30.566400000000002</v>
      </c>
      <c r="J862" s="66">
        <f>30.5595 * CHOOSE(CONTROL!$C$23, $C$12, 100%, $E$12)</f>
        <v>30.5595</v>
      </c>
      <c r="K862" s="66">
        <f>30.5664 * CHOOSE(CONTROL!$C$23, $C$12, 100%, $E$12)</f>
        <v>30.566400000000002</v>
      </c>
      <c r="L862" s="66">
        <f>16.7087 * CHOOSE(CONTROL!$C$23, $C$12, 100%, $E$12)</f>
        <v>16.7087</v>
      </c>
      <c r="M862" s="66">
        <f>16.7156 * CHOOSE(CONTROL!$C$23, $C$12, 100%, $E$12)</f>
        <v>16.715599999999998</v>
      </c>
      <c r="N862" s="66">
        <f>16.7087 * CHOOSE(CONTROL!$C$23, $C$12, 100%, $E$12)</f>
        <v>16.7087</v>
      </c>
      <c r="O862" s="66">
        <f>16.7156 * CHOOSE(CONTROL!$C$23, $C$12, 100%, $E$12)</f>
        <v>16.715599999999998</v>
      </c>
    </row>
    <row r="863" spans="1:15" ht="15">
      <c r="A863" s="13">
        <v>67420</v>
      </c>
      <c r="B863" s="65">
        <f>14.5443 * CHOOSE(CONTROL!$C$23, $C$12, 100%, $E$12)</f>
        <v>14.5443</v>
      </c>
      <c r="C863" s="65">
        <f>14.5443 * CHOOSE(CONTROL!$C$23, $C$12, 100%, $E$12)</f>
        <v>14.5443</v>
      </c>
      <c r="D863" s="65">
        <f>14.5499 * CHOOSE(CONTROL!$C$23, $C$12, 100%, $E$12)</f>
        <v>14.549899999999999</v>
      </c>
      <c r="E863" s="66">
        <f>16.4375 * CHOOSE(CONTROL!$C$23, $C$12, 100%, $E$12)</f>
        <v>16.4375</v>
      </c>
      <c r="F863" s="66">
        <f>16.4375 * CHOOSE(CONTROL!$C$23, $C$12, 100%, $E$12)</f>
        <v>16.4375</v>
      </c>
      <c r="G863" s="66">
        <f>16.4444 * CHOOSE(CONTROL!$C$23, $C$12, 100%, $E$12)</f>
        <v>16.444400000000002</v>
      </c>
      <c r="H863" s="66">
        <f>30.6232* CHOOSE(CONTROL!$C$23, $C$12, 100%, $E$12)</f>
        <v>30.623200000000001</v>
      </c>
      <c r="I863" s="66">
        <f>30.6301 * CHOOSE(CONTROL!$C$23, $C$12, 100%, $E$12)</f>
        <v>30.630099999999999</v>
      </c>
      <c r="J863" s="66">
        <f>30.6232 * CHOOSE(CONTROL!$C$23, $C$12, 100%, $E$12)</f>
        <v>30.623200000000001</v>
      </c>
      <c r="K863" s="66">
        <f>30.6301 * CHOOSE(CONTROL!$C$23, $C$12, 100%, $E$12)</f>
        <v>30.630099999999999</v>
      </c>
      <c r="L863" s="66">
        <f>16.4375 * CHOOSE(CONTROL!$C$23, $C$12, 100%, $E$12)</f>
        <v>16.4375</v>
      </c>
      <c r="M863" s="66">
        <f>16.4444 * CHOOSE(CONTROL!$C$23, $C$12, 100%, $E$12)</f>
        <v>16.444400000000002</v>
      </c>
      <c r="N863" s="66">
        <f>16.4375 * CHOOSE(CONTROL!$C$23, $C$12, 100%, $E$12)</f>
        <v>16.4375</v>
      </c>
      <c r="O863" s="66">
        <f>16.4444 * CHOOSE(CONTROL!$C$23, $C$12, 100%, $E$12)</f>
        <v>16.444400000000002</v>
      </c>
    </row>
    <row r="864" spans="1:15" ht="15">
      <c r="A864" s="13">
        <v>67451</v>
      </c>
      <c r="B864" s="65">
        <f>14.5412 * CHOOSE(CONTROL!$C$23, $C$12, 100%, $E$12)</f>
        <v>14.5412</v>
      </c>
      <c r="C864" s="65">
        <f>14.5412 * CHOOSE(CONTROL!$C$23, $C$12, 100%, $E$12)</f>
        <v>14.5412</v>
      </c>
      <c r="D864" s="65">
        <f>14.5469 * CHOOSE(CONTROL!$C$23, $C$12, 100%, $E$12)</f>
        <v>14.546900000000001</v>
      </c>
      <c r="E864" s="66">
        <f>16.4048 * CHOOSE(CONTROL!$C$23, $C$12, 100%, $E$12)</f>
        <v>16.404800000000002</v>
      </c>
      <c r="F864" s="66">
        <f>16.4048 * CHOOSE(CONTROL!$C$23, $C$12, 100%, $E$12)</f>
        <v>16.404800000000002</v>
      </c>
      <c r="G864" s="66">
        <f>16.4117 * CHOOSE(CONTROL!$C$23, $C$12, 100%, $E$12)</f>
        <v>16.4117</v>
      </c>
      <c r="H864" s="66">
        <f>30.687* CHOOSE(CONTROL!$C$23, $C$12, 100%, $E$12)</f>
        <v>30.687000000000001</v>
      </c>
      <c r="I864" s="66">
        <f>30.6939 * CHOOSE(CONTROL!$C$23, $C$12, 100%, $E$12)</f>
        <v>30.693899999999999</v>
      </c>
      <c r="J864" s="66">
        <f>30.687 * CHOOSE(CONTROL!$C$23, $C$12, 100%, $E$12)</f>
        <v>30.687000000000001</v>
      </c>
      <c r="K864" s="66">
        <f>30.6939 * CHOOSE(CONTROL!$C$23, $C$12, 100%, $E$12)</f>
        <v>30.693899999999999</v>
      </c>
      <c r="L864" s="66">
        <f>16.4048 * CHOOSE(CONTROL!$C$23, $C$12, 100%, $E$12)</f>
        <v>16.404800000000002</v>
      </c>
      <c r="M864" s="66">
        <f>16.4117 * CHOOSE(CONTROL!$C$23, $C$12, 100%, $E$12)</f>
        <v>16.4117</v>
      </c>
      <c r="N864" s="66">
        <f>16.4048 * CHOOSE(CONTROL!$C$23, $C$12, 100%, $E$12)</f>
        <v>16.404800000000002</v>
      </c>
      <c r="O864" s="66">
        <f>16.4117 * CHOOSE(CONTROL!$C$23, $C$12, 100%, $E$12)</f>
        <v>16.4117</v>
      </c>
    </row>
    <row r="865" spans="1:15" ht="15">
      <c r="A865" s="13">
        <v>67481</v>
      </c>
      <c r="B865" s="65">
        <f>14.5702 * CHOOSE(CONTROL!$C$23, $C$12, 100%, $E$12)</f>
        <v>14.5702</v>
      </c>
      <c r="C865" s="65">
        <f>14.5702 * CHOOSE(CONTROL!$C$23, $C$12, 100%, $E$12)</f>
        <v>14.5702</v>
      </c>
      <c r="D865" s="65">
        <f>14.5742 * CHOOSE(CONTROL!$C$23, $C$12, 100%, $E$12)</f>
        <v>14.574199999999999</v>
      </c>
      <c r="E865" s="66">
        <f>16.5139 * CHOOSE(CONTROL!$C$23, $C$12, 100%, $E$12)</f>
        <v>16.5139</v>
      </c>
      <c r="F865" s="66">
        <f>16.5139 * CHOOSE(CONTROL!$C$23, $C$12, 100%, $E$12)</f>
        <v>16.5139</v>
      </c>
      <c r="G865" s="66">
        <f>16.5189 * CHOOSE(CONTROL!$C$23, $C$12, 100%, $E$12)</f>
        <v>16.518899999999999</v>
      </c>
      <c r="H865" s="66">
        <f>30.7509* CHOOSE(CONTROL!$C$23, $C$12, 100%, $E$12)</f>
        <v>30.750900000000001</v>
      </c>
      <c r="I865" s="66">
        <f>30.7558 * CHOOSE(CONTROL!$C$23, $C$12, 100%, $E$12)</f>
        <v>30.755800000000001</v>
      </c>
      <c r="J865" s="66">
        <f>30.7509 * CHOOSE(CONTROL!$C$23, $C$12, 100%, $E$12)</f>
        <v>30.750900000000001</v>
      </c>
      <c r="K865" s="66">
        <f>30.7558 * CHOOSE(CONTROL!$C$23, $C$12, 100%, $E$12)</f>
        <v>30.755800000000001</v>
      </c>
      <c r="L865" s="66">
        <f>16.5139 * CHOOSE(CONTROL!$C$23, $C$12, 100%, $E$12)</f>
        <v>16.5139</v>
      </c>
      <c r="M865" s="66">
        <f>16.5189 * CHOOSE(CONTROL!$C$23, $C$12, 100%, $E$12)</f>
        <v>16.518899999999999</v>
      </c>
      <c r="N865" s="66">
        <f>16.5139 * CHOOSE(CONTROL!$C$23, $C$12, 100%, $E$12)</f>
        <v>16.5139</v>
      </c>
      <c r="O865" s="66">
        <f>16.5189 * CHOOSE(CONTROL!$C$23, $C$12, 100%, $E$12)</f>
        <v>16.518899999999999</v>
      </c>
    </row>
    <row r="866" spans="1:15" ht="15">
      <c r="A866" s="13">
        <v>67512</v>
      </c>
      <c r="B866" s="65">
        <f>14.5733 * CHOOSE(CONTROL!$C$23, $C$12, 100%, $E$12)</f>
        <v>14.5733</v>
      </c>
      <c r="C866" s="65">
        <f>14.5733 * CHOOSE(CONTROL!$C$23, $C$12, 100%, $E$12)</f>
        <v>14.5733</v>
      </c>
      <c r="D866" s="65">
        <f>14.5773 * CHOOSE(CONTROL!$C$23, $C$12, 100%, $E$12)</f>
        <v>14.577299999999999</v>
      </c>
      <c r="E866" s="66">
        <f>16.5773 * CHOOSE(CONTROL!$C$23, $C$12, 100%, $E$12)</f>
        <v>16.577300000000001</v>
      </c>
      <c r="F866" s="66">
        <f>16.5773 * CHOOSE(CONTROL!$C$23, $C$12, 100%, $E$12)</f>
        <v>16.577300000000001</v>
      </c>
      <c r="G866" s="66">
        <f>16.5823 * CHOOSE(CONTROL!$C$23, $C$12, 100%, $E$12)</f>
        <v>16.5823</v>
      </c>
      <c r="H866" s="66">
        <f>30.815* CHOOSE(CONTROL!$C$23, $C$12, 100%, $E$12)</f>
        <v>30.815000000000001</v>
      </c>
      <c r="I866" s="66">
        <f>30.8199 * CHOOSE(CONTROL!$C$23, $C$12, 100%, $E$12)</f>
        <v>30.819900000000001</v>
      </c>
      <c r="J866" s="66">
        <f>30.815 * CHOOSE(CONTROL!$C$23, $C$12, 100%, $E$12)</f>
        <v>30.815000000000001</v>
      </c>
      <c r="K866" s="66">
        <f>30.8199 * CHOOSE(CONTROL!$C$23, $C$12, 100%, $E$12)</f>
        <v>30.819900000000001</v>
      </c>
      <c r="L866" s="66">
        <f>16.5773 * CHOOSE(CONTROL!$C$23, $C$12, 100%, $E$12)</f>
        <v>16.577300000000001</v>
      </c>
      <c r="M866" s="66">
        <f>16.5823 * CHOOSE(CONTROL!$C$23, $C$12, 100%, $E$12)</f>
        <v>16.5823</v>
      </c>
      <c r="N866" s="66">
        <f>16.5773 * CHOOSE(CONTROL!$C$23, $C$12, 100%, $E$12)</f>
        <v>16.577300000000001</v>
      </c>
      <c r="O866" s="66">
        <f>16.5823 * CHOOSE(CONTROL!$C$23, $C$12, 100%, $E$12)</f>
        <v>16.5823</v>
      </c>
    </row>
    <row r="867" spans="1:15" ht="15">
      <c r="A867" s="13">
        <v>67542</v>
      </c>
      <c r="B867" s="65">
        <f>14.5733 * CHOOSE(CONTROL!$C$23, $C$12, 100%, $E$12)</f>
        <v>14.5733</v>
      </c>
      <c r="C867" s="65">
        <f>14.5733 * CHOOSE(CONTROL!$C$23, $C$12, 100%, $E$12)</f>
        <v>14.5733</v>
      </c>
      <c r="D867" s="65">
        <f>14.5773 * CHOOSE(CONTROL!$C$23, $C$12, 100%, $E$12)</f>
        <v>14.577299999999999</v>
      </c>
      <c r="E867" s="66">
        <f>16.4241 * CHOOSE(CONTROL!$C$23, $C$12, 100%, $E$12)</f>
        <v>16.424099999999999</v>
      </c>
      <c r="F867" s="66">
        <f>16.4241 * CHOOSE(CONTROL!$C$23, $C$12, 100%, $E$12)</f>
        <v>16.424099999999999</v>
      </c>
      <c r="G867" s="66">
        <f>16.4291 * CHOOSE(CONTROL!$C$23, $C$12, 100%, $E$12)</f>
        <v>16.429099999999998</v>
      </c>
      <c r="H867" s="66">
        <f>30.8792* CHOOSE(CONTROL!$C$23, $C$12, 100%, $E$12)</f>
        <v>30.879200000000001</v>
      </c>
      <c r="I867" s="66">
        <f>30.8841 * CHOOSE(CONTROL!$C$23, $C$12, 100%, $E$12)</f>
        <v>30.8841</v>
      </c>
      <c r="J867" s="66">
        <f>30.8792 * CHOOSE(CONTROL!$C$23, $C$12, 100%, $E$12)</f>
        <v>30.879200000000001</v>
      </c>
      <c r="K867" s="66">
        <f>30.8841 * CHOOSE(CONTROL!$C$23, $C$12, 100%, $E$12)</f>
        <v>30.8841</v>
      </c>
      <c r="L867" s="66">
        <f>16.4241 * CHOOSE(CONTROL!$C$23, $C$12, 100%, $E$12)</f>
        <v>16.424099999999999</v>
      </c>
      <c r="M867" s="66">
        <f>16.4291 * CHOOSE(CONTROL!$C$23, $C$12, 100%, $E$12)</f>
        <v>16.429099999999998</v>
      </c>
      <c r="N867" s="66">
        <f>16.4241 * CHOOSE(CONTROL!$C$23, $C$12, 100%, $E$12)</f>
        <v>16.424099999999999</v>
      </c>
      <c r="O867" s="66">
        <f>16.4291 * CHOOSE(CONTROL!$C$23, $C$12, 100%, $E$12)</f>
        <v>16.429099999999998</v>
      </c>
    </row>
    <row r="868" spans="1:15" ht="15">
      <c r="A868" s="13">
        <v>67573</v>
      </c>
      <c r="B868" s="65">
        <f>14.5499 * CHOOSE(CONTROL!$C$23, $C$12, 100%, $E$12)</f>
        <v>14.549899999999999</v>
      </c>
      <c r="C868" s="65">
        <f>14.5499 * CHOOSE(CONTROL!$C$23, $C$12, 100%, $E$12)</f>
        <v>14.549899999999999</v>
      </c>
      <c r="D868" s="65">
        <f>14.5539 * CHOOSE(CONTROL!$C$23, $C$12, 100%, $E$12)</f>
        <v>14.553900000000001</v>
      </c>
      <c r="E868" s="66">
        <f>16.5224 * CHOOSE(CONTROL!$C$23, $C$12, 100%, $E$12)</f>
        <v>16.522400000000001</v>
      </c>
      <c r="F868" s="66">
        <f>16.5224 * CHOOSE(CONTROL!$C$23, $C$12, 100%, $E$12)</f>
        <v>16.522400000000001</v>
      </c>
      <c r="G868" s="66">
        <f>16.5273 * CHOOSE(CONTROL!$C$23, $C$12, 100%, $E$12)</f>
        <v>16.5273</v>
      </c>
      <c r="H868" s="66">
        <f>30.6628* CHOOSE(CONTROL!$C$23, $C$12, 100%, $E$12)</f>
        <v>30.662800000000001</v>
      </c>
      <c r="I868" s="66">
        <f>30.6678 * CHOOSE(CONTROL!$C$23, $C$12, 100%, $E$12)</f>
        <v>30.6678</v>
      </c>
      <c r="J868" s="66">
        <f>30.6628 * CHOOSE(CONTROL!$C$23, $C$12, 100%, $E$12)</f>
        <v>30.662800000000001</v>
      </c>
      <c r="K868" s="66">
        <f>30.6678 * CHOOSE(CONTROL!$C$23, $C$12, 100%, $E$12)</f>
        <v>30.6678</v>
      </c>
      <c r="L868" s="66">
        <f>16.5224 * CHOOSE(CONTROL!$C$23, $C$12, 100%, $E$12)</f>
        <v>16.522400000000001</v>
      </c>
      <c r="M868" s="66">
        <f>16.5273 * CHOOSE(CONTROL!$C$23, $C$12, 100%, $E$12)</f>
        <v>16.5273</v>
      </c>
      <c r="N868" s="66">
        <f>16.5224 * CHOOSE(CONTROL!$C$23, $C$12, 100%, $E$12)</f>
        <v>16.522400000000001</v>
      </c>
      <c r="O868" s="66">
        <f>16.5273 * CHOOSE(CONTROL!$C$23, $C$12, 100%, $E$12)</f>
        <v>16.5273</v>
      </c>
    </row>
    <row r="869" spans="1:15" ht="15">
      <c r="A869" s="13">
        <v>67604</v>
      </c>
      <c r="B869" s="65">
        <f>14.5468 * CHOOSE(CONTROL!$C$23, $C$12, 100%, $E$12)</f>
        <v>14.546799999999999</v>
      </c>
      <c r="C869" s="65">
        <f>14.5468 * CHOOSE(CONTROL!$C$23, $C$12, 100%, $E$12)</f>
        <v>14.546799999999999</v>
      </c>
      <c r="D869" s="65">
        <f>14.5508 * CHOOSE(CONTROL!$C$23, $C$12, 100%, $E$12)</f>
        <v>14.550800000000001</v>
      </c>
      <c r="E869" s="66">
        <f>16.2258 * CHOOSE(CONTROL!$C$23, $C$12, 100%, $E$12)</f>
        <v>16.2258</v>
      </c>
      <c r="F869" s="66">
        <f>16.2258 * CHOOSE(CONTROL!$C$23, $C$12, 100%, $E$12)</f>
        <v>16.2258</v>
      </c>
      <c r="G869" s="66">
        <f>16.2307 * CHOOSE(CONTROL!$C$23, $C$12, 100%, $E$12)</f>
        <v>16.230699999999999</v>
      </c>
      <c r="H869" s="66">
        <f>30.7267* CHOOSE(CONTROL!$C$23, $C$12, 100%, $E$12)</f>
        <v>30.726700000000001</v>
      </c>
      <c r="I869" s="66">
        <f>30.7316 * CHOOSE(CONTROL!$C$23, $C$12, 100%, $E$12)</f>
        <v>30.7316</v>
      </c>
      <c r="J869" s="66">
        <f>30.7267 * CHOOSE(CONTROL!$C$23, $C$12, 100%, $E$12)</f>
        <v>30.726700000000001</v>
      </c>
      <c r="K869" s="66">
        <f>30.7316 * CHOOSE(CONTROL!$C$23, $C$12, 100%, $E$12)</f>
        <v>30.7316</v>
      </c>
      <c r="L869" s="66">
        <f>16.2258 * CHOOSE(CONTROL!$C$23, $C$12, 100%, $E$12)</f>
        <v>16.2258</v>
      </c>
      <c r="M869" s="66">
        <f>16.2307 * CHOOSE(CONTROL!$C$23, $C$12, 100%, $E$12)</f>
        <v>16.230699999999999</v>
      </c>
      <c r="N869" s="66">
        <f>16.2258 * CHOOSE(CONTROL!$C$23, $C$12, 100%, $E$12)</f>
        <v>16.2258</v>
      </c>
      <c r="O869" s="66">
        <f>16.2307 * CHOOSE(CONTROL!$C$23, $C$12, 100%, $E$12)</f>
        <v>16.230699999999999</v>
      </c>
    </row>
    <row r="870" spans="1:15" ht="15">
      <c r="A870" s="13">
        <v>67632</v>
      </c>
      <c r="B870" s="65">
        <f>14.5438 * CHOOSE(CONTROL!$C$23, $C$12, 100%, $E$12)</f>
        <v>14.543799999999999</v>
      </c>
      <c r="C870" s="65">
        <f>14.5438 * CHOOSE(CONTROL!$C$23, $C$12, 100%, $E$12)</f>
        <v>14.543799999999999</v>
      </c>
      <c r="D870" s="65">
        <f>14.5478 * CHOOSE(CONTROL!$C$23, $C$12, 100%, $E$12)</f>
        <v>14.547800000000001</v>
      </c>
      <c r="E870" s="66">
        <f>16.4558 * CHOOSE(CONTROL!$C$23, $C$12, 100%, $E$12)</f>
        <v>16.4558</v>
      </c>
      <c r="F870" s="66">
        <f>16.4558 * CHOOSE(CONTROL!$C$23, $C$12, 100%, $E$12)</f>
        <v>16.4558</v>
      </c>
      <c r="G870" s="66">
        <f>16.4608 * CHOOSE(CONTROL!$C$23, $C$12, 100%, $E$12)</f>
        <v>16.460799999999999</v>
      </c>
      <c r="H870" s="66">
        <f>30.7907* CHOOSE(CONTROL!$C$23, $C$12, 100%, $E$12)</f>
        <v>30.790700000000001</v>
      </c>
      <c r="I870" s="66">
        <f>30.7956 * CHOOSE(CONTROL!$C$23, $C$12, 100%, $E$12)</f>
        <v>30.7956</v>
      </c>
      <c r="J870" s="66">
        <f>30.7907 * CHOOSE(CONTROL!$C$23, $C$12, 100%, $E$12)</f>
        <v>30.790700000000001</v>
      </c>
      <c r="K870" s="66">
        <f>30.7956 * CHOOSE(CONTROL!$C$23, $C$12, 100%, $E$12)</f>
        <v>30.7956</v>
      </c>
      <c r="L870" s="66">
        <f>16.4558 * CHOOSE(CONTROL!$C$23, $C$12, 100%, $E$12)</f>
        <v>16.4558</v>
      </c>
      <c r="M870" s="66">
        <f>16.4608 * CHOOSE(CONTROL!$C$23, $C$12, 100%, $E$12)</f>
        <v>16.460799999999999</v>
      </c>
      <c r="N870" s="66">
        <f>16.4558 * CHOOSE(CONTROL!$C$23, $C$12, 100%, $E$12)</f>
        <v>16.4558</v>
      </c>
      <c r="O870" s="66">
        <f>16.4608 * CHOOSE(CONTROL!$C$23, $C$12, 100%, $E$12)</f>
        <v>16.460799999999999</v>
      </c>
    </row>
    <row r="871" spans="1:15" ht="15">
      <c r="A871" s="13">
        <v>67663</v>
      </c>
      <c r="B871" s="65">
        <f>14.5503 * CHOOSE(CONTROL!$C$23, $C$12, 100%, $E$12)</f>
        <v>14.5503</v>
      </c>
      <c r="C871" s="65">
        <f>14.5503 * CHOOSE(CONTROL!$C$23, $C$12, 100%, $E$12)</f>
        <v>14.5503</v>
      </c>
      <c r="D871" s="65">
        <f>14.5543 * CHOOSE(CONTROL!$C$23, $C$12, 100%, $E$12)</f>
        <v>14.5543</v>
      </c>
      <c r="E871" s="66">
        <f>16.7009 * CHOOSE(CONTROL!$C$23, $C$12, 100%, $E$12)</f>
        <v>16.700900000000001</v>
      </c>
      <c r="F871" s="66">
        <f>16.7009 * CHOOSE(CONTROL!$C$23, $C$12, 100%, $E$12)</f>
        <v>16.700900000000001</v>
      </c>
      <c r="G871" s="66">
        <f>16.7058 * CHOOSE(CONTROL!$C$23, $C$12, 100%, $E$12)</f>
        <v>16.7058</v>
      </c>
      <c r="H871" s="66">
        <f>30.8549* CHOOSE(CONTROL!$C$23, $C$12, 100%, $E$12)</f>
        <v>30.854900000000001</v>
      </c>
      <c r="I871" s="66">
        <f>30.8598 * CHOOSE(CONTROL!$C$23, $C$12, 100%, $E$12)</f>
        <v>30.8598</v>
      </c>
      <c r="J871" s="66">
        <f>30.8549 * CHOOSE(CONTROL!$C$23, $C$12, 100%, $E$12)</f>
        <v>30.854900000000001</v>
      </c>
      <c r="K871" s="66">
        <f>30.8598 * CHOOSE(CONTROL!$C$23, $C$12, 100%, $E$12)</f>
        <v>30.8598</v>
      </c>
      <c r="L871" s="66">
        <f>16.7009 * CHOOSE(CONTROL!$C$23, $C$12, 100%, $E$12)</f>
        <v>16.700900000000001</v>
      </c>
      <c r="M871" s="66">
        <f>16.7058 * CHOOSE(CONTROL!$C$23, $C$12, 100%, $E$12)</f>
        <v>16.7058</v>
      </c>
      <c r="N871" s="66">
        <f>16.7009 * CHOOSE(CONTROL!$C$23, $C$12, 100%, $E$12)</f>
        <v>16.700900000000001</v>
      </c>
      <c r="O871" s="66">
        <f>16.7058 * CHOOSE(CONTROL!$C$23, $C$12, 100%, $E$12)</f>
        <v>16.7058</v>
      </c>
    </row>
    <row r="872" spans="1:15" ht="15">
      <c r="A872" s="13">
        <v>67693</v>
      </c>
      <c r="B872" s="65">
        <f>14.5503 * CHOOSE(CONTROL!$C$23, $C$12, 100%, $E$12)</f>
        <v>14.5503</v>
      </c>
      <c r="C872" s="65">
        <f>14.5503 * CHOOSE(CONTROL!$C$23, $C$12, 100%, $E$12)</f>
        <v>14.5503</v>
      </c>
      <c r="D872" s="65">
        <f>14.5559 * CHOOSE(CONTROL!$C$23, $C$12, 100%, $E$12)</f>
        <v>14.555899999999999</v>
      </c>
      <c r="E872" s="66">
        <f>16.7944 * CHOOSE(CONTROL!$C$23, $C$12, 100%, $E$12)</f>
        <v>16.7944</v>
      </c>
      <c r="F872" s="66">
        <f>16.7944 * CHOOSE(CONTROL!$C$23, $C$12, 100%, $E$12)</f>
        <v>16.7944</v>
      </c>
      <c r="G872" s="66">
        <f>16.8013 * CHOOSE(CONTROL!$C$23, $C$12, 100%, $E$12)</f>
        <v>16.801300000000001</v>
      </c>
      <c r="H872" s="66">
        <f>30.9192* CHOOSE(CONTROL!$C$23, $C$12, 100%, $E$12)</f>
        <v>30.9192</v>
      </c>
      <c r="I872" s="66">
        <f>30.926 * CHOOSE(CONTROL!$C$23, $C$12, 100%, $E$12)</f>
        <v>30.925999999999998</v>
      </c>
      <c r="J872" s="66">
        <f>30.9192 * CHOOSE(CONTROL!$C$23, $C$12, 100%, $E$12)</f>
        <v>30.9192</v>
      </c>
      <c r="K872" s="66">
        <f>30.926 * CHOOSE(CONTROL!$C$23, $C$12, 100%, $E$12)</f>
        <v>30.925999999999998</v>
      </c>
      <c r="L872" s="66">
        <f>16.7944 * CHOOSE(CONTROL!$C$23, $C$12, 100%, $E$12)</f>
        <v>16.7944</v>
      </c>
      <c r="M872" s="66">
        <f>16.8013 * CHOOSE(CONTROL!$C$23, $C$12, 100%, $E$12)</f>
        <v>16.801300000000001</v>
      </c>
      <c r="N872" s="66">
        <f>16.7944 * CHOOSE(CONTROL!$C$23, $C$12, 100%, $E$12)</f>
        <v>16.7944</v>
      </c>
      <c r="O872" s="66">
        <f>16.8013 * CHOOSE(CONTROL!$C$23, $C$12, 100%, $E$12)</f>
        <v>16.801300000000001</v>
      </c>
    </row>
    <row r="873" spans="1:15" ht="15">
      <c r="A873" s="13">
        <v>67724</v>
      </c>
      <c r="B873" s="65">
        <f>14.5564 * CHOOSE(CONTROL!$C$23, $C$12, 100%, $E$12)</f>
        <v>14.5564</v>
      </c>
      <c r="C873" s="65">
        <f>14.5564 * CHOOSE(CONTROL!$C$23, $C$12, 100%, $E$12)</f>
        <v>14.5564</v>
      </c>
      <c r="D873" s="65">
        <f>14.562 * CHOOSE(CONTROL!$C$23, $C$12, 100%, $E$12)</f>
        <v>14.561999999999999</v>
      </c>
      <c r="E873" s="66">
        <f>16.7052 * CHOOSE(CONTROL!$C$23, $C$12, 100%, $E$12)</f>
        <v>16.705200000000001</v>
      </c>
      <c r="F873" s="66">
        <f>16.7052 * CHOOSE(CONTROL!$C$23, $C$12, 100%, $E$12)</f>
        <v>16.705200000000001</v>
      </c>
      <c r="G873" s="66">
        <f>16.712 * CHOOSE(CONTROL!$C$23, $C$12, 100%, $E$12)</f>
        <v>16.712</v>
      </c>
      <c r="H873" s="66">
        <f>30.9836* CHOOSE(CONTROL!$C$23, $C$12, 100%, $E$12)</f>
        <v>30.983599999999999</v>
      </c>
      <c r="I873" s="66">
        <f>30.9905 * CHOOSE(CONTROL!$C$23, $C$12, 100%, $E$12)</f>
        <v>30.990500000000001</v>
      </c>
      <c r="J873" s="66">
        <f>30.9836 * CHOOSE(CONTROL!$C$23, $C$12, 100%, $E$12)</f>
        <v>30.983599999999999</v>
      </c>
      <c r="K873" s="66">
        <f>30.9905 * CHOOSE(CONTROL!$C$23, $C$12, 100%, $E$12)</f>
        <v>30.990500000000001</v>
      </c>
      <c r="L873" s="66">
        <f>16.7052 * CHOOSE(CONTROL!$C$23, $C$12, 100%, $E$12)</f>
        <v>16.705200000000001</v>
      </c>
      <c r="M873" s="66">
        <f>16.712 * CHOOSE(CONTROL!$C$23, $C$12, 100%, $E$12)</f>
        <v>16.712</v>
      </c>
      <c r="N873" s="66">
        <f>16.7052 * CHOOSE(CONTROL!$C$23, $C$12, 100%, $E$12)</f>
        <v>16.705200000000001</v>
      </c>
      <c r="O873" s="66">
        <f>16.712 * CHOOSE(CONTROL!$C$23, $C$12, 100%, $E$12)</f>
        <v>16.712</v>
      </c>
    </row>
    <row r="874" spans="1:15" ht="15">
      <c r="A874" s="13">
        <v>67754</v>
      </c>
      <c r="B874" s="65">
        <f>14.7768 * CHOOSE(CONTROL!$C$23, $C$12, 100%, $E$12)</f>
        <v>14.7768</v>
      </c>
      <c r="C874" s="65">
        <f>14.7768 * CHOOSE(CONTROL!$C$23, $C$12, 100%, $E$12)</f>
        <v>14.7768</v>
      </c>
      <c r="D874" s="65">
        <f>14.7824 * CHOOSE(CONTROL!$C$23, $C$12, 100%, $E$12)</f>
        <v>14.782400000000001</v>
      </c>
      <c r="E874" s="66">
        <f>16.9704 * CHOOSE(CONTROL!$C$23, $C$12, 100%, $E$12)</f>
        <v>16.970400000000001</v>
      </c>
      <c r="F874" s="66">
        <f>16.9704 * CHOOSE(CONTROL!$C$23, $C$12, 100%, $E$12)</f>
        <v>16.970400000000001</v>
      </c>
      <c r="G874" s="66">
        <f>16.9773 * CHOOSE(CONTROL!$C$23, $C$12, 100%, $E$12)</f>
        <v>16.9773</v>
      </c>
      <c r="H874" s="66">
        <f>31.0481* CHOOSE(CONTROL!$C$23, $C$12, 100%, $E$12)</f>
        <v>31.048100000000002</v>
      </c>
      <c r="I874" s="66">
        <f>31.055 * CHOOSE(CONTROL!$C$23, $C$12, 100%, $E$12)</f>
        <v>31.055</v>
      </c>
      <c r="J874" s="66">
        <f>31.0481 * CHOOSE(CONTROL!$C$23, $C$12, 100%, $E$12)</f>
        <v>31.048100000000002</v>
      </c>
      <c r="K874" s="66">
        <f>31.055 * CHOOSE(CONTROL!$C$23, $C$12, 100%, $E$12)</f>
        <v>31.055</v>
      </c>
      <c r="L874" s="66">
        <f>16.9704 * CHOOSE(CONTROL!$C$23, $C$12, 100%, $E$12)</f>
        <v>16.970400000000001</v>
      </c>
      <c r="M874" s="66">
        <f>16.9773 * CHOOSE(CONTROL!$C$23, $C$12, 100%, $E$12)</f>
        <v>16.9773</v>
      </c>
      <c r="N874" s="66">
        <f>16.9704 * CHOOSE(CONTROL!$C$23, $C$12, 100%, $E$12)</f>
        <v>16.970400000000001</v>
      </c>
      <c r="O874" s="66">
        <f>16.9773 * CHOOSE(CONTROL!$C$23, $C$12, 100%, $E$12)</f>
        <v>16.9773</v>
      </c>
    </row>
    <row r="875" spans="1:15" ht="15">
      <c r="A875" s="13">
        <v>67785</v>
      </c>
      <c r="B875" s="65">
        <f>14.7835 * CHOOSE(CONTROL!$C$23, $C$12, 100%, $E$12)</f>
        <v>14.7835</v>
      </c>
      <c r="C875" s="65">
        <f>14.7835 * CHOOSE(CONTROL!$C$23, $C$12, 100%, $E$12)</f>
        <v>14.7835</v>
      </c>
      <c r="D875" s="65">
        <f>14.7891 * CHOOSE(CONTROL!$C$23, $C$12, 100%, $E$12)</f>
        <v>14.789099999999999</v>
      </c>
      <c r="E875" s="66">
        <f>16.6946 * CHOOSE(CONTROL!$C$23, $C$12, 100%, $E$12)</f>
        <v>16.694600000000001</v>
      </c>
      <c r="F875" s="66">
        <f>16.6946 * CHOOSE(CONTROL!$C$23, $C$12, 100%, $E$12)</f>
        <v>16.694600000000001</v>
      </c>
      <c r="G875" s="66">
        <f>16.7015 * CHOOSE(CONTROL!$C$23, $C$12, 100%, $E$12)</f>
        <v>16.701499999999999</v>
      </c>
      <c r="H875" s="66">
        <f>31.1128* CHOOSE(CONTROL!$C$23, $C$12, 100%, $E$12)</f>
        <v>31.1128</v>
      </c>
      <c r="I875" s="66">
        <f>31.1197 * CHOOSE(CONTROL!$C$23, $C$12, 100%, $E$12)</f>
        <v>31.119700000000002</v>
      </c>
      <c r="J875" s="66">
        <f>31.1128 * CHOOSE(CONTROL!$C$23, $C$12, 100%, $E$12)</f>
        <v>31.1128</v>
      </c>
      <c r="K875" s="66">
        <f>31.1197 * CHOOSE(CONTROL!$C$23, $C$12, 100%, $E$12)</f>
        <v>31.119700000000002</v>
      </c>
      <c r="L875" s="66">
        <f>16.6946 * CHOOSE(CONTROL!$C$23, $C$12, 100%, $E$12)</f>
        <v>16.694600000000001</v>
      </c>
      <c r="M875" s="66">
        <f>16.7015 * CHOOSE(CONTROL!$C$23, $C$12, 100%, $E$12)</f>
        <v>16.701499999999999</v>
      </c>
      <c r="N875" s="66">
        <f>16.6946 * CHOOSE(CONTROL!$C$23, $C$12, 100%, $E$12)</f>
        <v>16.694600000000001</v>
      </c>
      <c r="O875" s="66">
        <f>16.7015 * CHOOSE(CONTROL!$C$23, $C$12, 100%, $E$12)</f>
        <v>16.701499999999999</v>
      </c>
    </row>
    <row r="876" spans="1:15" ht="15">
      <c r="A876" s="13">
        <v>67816</v>
      </c>
      <c r="B876" s="65">
        <f>14.7804 * CHOOSE(CONTROL!$C$23, $C$12, 100%, $E$12)</f>
        <v>14.7804</v>
      </c>
      <c r="C876" s="65">
        <f>14.7804 * CHOOSE(CONTROL!$C$23, $C$12, 100%, $E$12)</f>
        <v>14.7804</v>
      </c>
      <c r="D876" s="65">
        <f>14.7861 * CHOOSE(CONTROL!$C$23, $C$12, 100%, $E$12)</f>
        <v>14.786099999999999</v>
      </c>
      <c r="E876" s="66">
        <f>16.6613 * CHOOSE(CONTROL!$C$23, $C$12, 100%, $E$12)</f>
        <v>16.661300000000001</v>
      </c>
      <c r="F876" s="66">
        <f>16.6613 * CHOOSE(CONTROL!$C$23, $C$12, 100%, $E$12)</f>
        <v>16.661300000000001</v>
      </c>
      <c r="G876" s="66">
        <f>16.6682 * CHOOSE(CONTROL!$C$23, $C$12, 100%, $E$12)</f>
        <v>16.668199999999999</v>
      </c>
      <c r="H876" s="66">
        <f>31.1776* CHOOSE(CONTROL!$C$23, $C$12, 100%, $E$12)</f>
        <v>31.177600000000002</v>
      </c>
      <c r="I876" s="66">
        <f>31.1845 * CHOOSE(CONTROL!$C$23, $C$12, 100%, $E$12)</f>
        <v>31.1845</v>
      </c>
      <c r="J876" s="66">
        <f>31.1776 * CHOOSE(CONTROL!$C$23, $C$12, 100%, $E$12)</f>
        <v>31.177600000000002</v>
      </c>
      <c r="K876" s="66">
        <f>31.1845 * CHOOSE(CONTROL!$C$23, $C$12, 100%, $E$12)</f>
        <v>31.1845</v>
      </c>
      <c r="L876" s="66">
        <f>16.6613 * CHOOSE(CONTROL!$C$23, $C$12, 100%, $E$12)</f>
        <v>16.661300000000001</v>
      </c>
      <c r="M876" s="66">
        <f>16.6682 * CHOOSE(CONTROL!$C$23, $C$12, 100%, $E$12)</f>
        <v>16.668199999999999</v>
      </c>
      <c r="N876" s="66">
        <f>16.6613 * CHOOSE(CONTROL!$C$23, $C$12, 100%, $E$12)</f>
        <v>16.661300000000001</v>
      </c>
      <c r="O876" s="66">
        <f>16.6682 * CHOOSE(CONTROL!$C$23, $C$12, 100%, $E$12)</f>
        <v>16.668199999999999</v>
      </c>
    </row>
    <row r="877" spans="1:15" ht="15">
      <c r="A877" s="13">
        <v>67846</v>
      </c>
      <c r="B877" s="65">
        <f>14.8102 * CHOOSE(CONTROL!$C$23, $C$12, 100%, $E$12)</f>
        <v>14.8102</v>
      </c>
      <c r="C877" s="65">
        <f>14.8102 * CHOOSE(CONTROL!$C$23, $C$12, 100%, $E$12)</f>
        <v>14.8102</v>
      </c>
      <c r="D877" s="65">
        <f>14.8142 * CHOOSE(CONTROL!$C$23, $C$12, 100%, $E$12)</f>
        <v>14.8142</v>
      </c>
      <c r="E877" s="66">
        <f>16.7726 * CHOOSE(CONTROL!$C$23, $C$12, 100%, $E$12)</f>
        <v>16.772600000000001</v>
      </c>
      <c r="F877" s="66">
        <f>16.7726 * CHOOSE(CONTROL!$C$23, $C$12, 100%, $E$12)</f>
        <v>16.772600000000001</v>
      </c>
      <c r="G877" s="66">
        <f>16.7775 * CHOOSE(CONTROL!$C$23, $C$12, 100%, $E$12)</f>
        <v>16.7775</v>
      </c>
      <c r="H877" s="66">
        <f>31.2426* CHOOSE(CONTROL!$C$23, $C$12, 100%, $E$12)</f>
        <v>31.242599999999999</v>
      </c>
      <c r="I877" s="66">
        <f>31.2475 * CHOOSE(CONTROL!$C$23, $C$12, 100%, $E$12)</f>
        <v>31.247499999999999</v>
      </c>
      <c r="J877" s="66">
        <f>31.2426 * CHOOSE(CONTROL!$C$23, $C$12, 100%, $E$12)</f>
        <v>31.242599999999999</v>
      </c>
      <c r="K877" s="66">
        <f>31.2475 * CHOOSE(CONTROL!$C$23, $C$12, 100%, $E$12)</f>
        <v>31.247499999999999</v>
      </c>
      <c r="L877" s="66">
        <f>16.7726 * CHOOSE(CONTROL!$C$23, $C$12, 100%, $E$12)</f>
        <v>16.772600000000001</v>
      </c>
      <c r="M877" s="66">
        <f>16.7775 * CHOOSE(CONTROL!$C$23, $C$12, 100%, $E$12)</f>
        <v>16.7775</v>
      </c>
      <c r="N877" s="66">
        <f>16.7726 * CHOOSE(CONTROL!$C$23, $C$12, 100%, $E$12)</f>
        <v>16.772600000000001</v>
      </c>
      <c r="O877" s="66">
        <f>16.7775 * CHOOSE(CONTROL!$C$23, $C$12, 100%, $E$12)</f>
        <v>16.7775</v>
      </c>
    </row>
    <row r="878" spans="1:15" ht="15">
      <c r="A878" s="13">
        <v>67877</v>
      </c>
      <c r="B878" s="65">
        <f>14.8132 * CHOOSE(CONTROL!$C$23, $C$12, 100%, $E$12)</f>
        <v>14.8132</v>
      </c>
      <c r="C878" s="65">
        <f>14.8132 * CHOOSE(CONTROL!$C$23, $C$12, 100%, $E$12)</f>
        <v>14.8132</v>
      </c>
      <c r="D878" s="65">
        <f>14.8172 * CHOOSE(CONTROL!$C$23, $C$12, 100%, $E$12)</f>
        <v>14.8172</v>
      </c>
      <c r="E878" s="66">
        <f>16.837 * CHOOSE(CONTROL!$C$23, $C$12, 100%, $E$12)</f>
        <v>16.837</v>
      </c>
      <c r="F878" s="66">
        <f>16.837 * CHOOSE(CONTROL!$C$23, $C$12, 100%, $E$12)</f>
        <v>16.837</v>
      </c>
      <c r="G878" s="66">
        <f>16.8419 * CHOOSE(CONTROL!$C$23, $C$12, 100%, $E$12)</f>
        <v>16.841899999999999</v>
      </c>
      <c r="H878" s="66">
        <f>31.3077* CHOOSE(CONTROL!$C$23, $C$12, 100%, $E$12)</f>
        <v>31.307700000000001</v>
      </c>
      <c r="I878" s="66">
        <f>31.3126 * CHOOSE(CONTROL!$C$23, $C$12, 100%, $E$12)</f>
        <v>31.3126</v>
      </c>
      <c r="J878" s="66">
        <f>31.3077 * CHOOSE(CONTROL!$C$23, $C$12, 100%, $E$12)</f>
        <v>31.307700000000001</v>
      </c>
      <c r="K878" s="66">
        <f>31.3126 * CHOOSE(CONTROL!$C$23, $C$12, 100%, $E$12)</f>
        <v>31.3126</v>
      </c>
      <c r="L878" s="66">
        <f>16.837 * CHOOSE(CONTROL!$C$23, $C$12, 100%, $E$12)</f>
        <v>16.837</v>
      </c>
      <c r="M878" s="66">
        <f>16.8419 * CHOOSE(CONTROL!$C$23, $C$12, 100%, $E$12)</f>
        <v>16.841899999999999</v>
      </c>
      <c r="N878" s="66">
        <f>16.837 * CHOOSE(CONTROL!$C$23, $C$12, 100%, $E$12)</f>
        <v>16.837</v>
      </c>
      <c r="O878" s="66">
        <f>16.8419 * CHOOSE(CONTROL!$C$23, $C$12, 100%, $E$12)</f>
        <v>16.841899999999999</v>
      </c>
    </row>
    <row r="879" spans="1:15" ht="15">
      <c r="A879" s="13">
        <v>67907</v>
      </c>
      <c r="B879" s="65">
        <f>14.8132 * CHOOSE(CONTROL!$C$23, $C$12, 100%, $E$12)</f>
        <v>14.8132</v>
      </c>
      <c r="C879" s="65">
        <f>14.8132 * CHOOSE(CONTROL!$C$23, $C$12, 100%, $E$12)</f>
        <v>14.8132</v>
      </c>
      <c r="D879" s="65">
        <f>14.8172 * CHOOSE(CONTROL!$C$23, $C$12, 100%, $E$12)</f>
        <v>14.8172</v>
      </c>
      <c r="E879" s="66">
        <f>16.6812 * CHOOSE(CONTROL!$C$23, $C$12, 100%, $E$12)</f>
        <v>16.6812</v>
      </c>
      <c r="F879" s="66">
        <f>16.6812 * CHOOSE(CONTROL!$C$23, $C$12, 100%, $E$12)</f>
        <v>16.6812</v>
      </c>
      <c r="G879" s="66">
        <f>16.6861 * CHOOSE(CONTROL!$C$23, $C$12, 100%, $E$12)</f>
        <v>16.6861</v>
      </c>
      <c r="H879" s="66">
        <f>31.3729* CHOOSE(CONTROL!$C$23, $C$12, 100%, $E$12)</f>
        <v>31.372900000000001</v>
      </c>
      <c r="I879" s="66">
        <f>31.3778 * CHOOSE(CONTROL!$C$23, $C$12, 100%, $E$12)</f>
        <v>31.377800000000001</v>
      </c>
      <c r="J879" s="66">
        <f>31.3729 * CHOOSE(CONTROL!$C$23, $C$12, 100%, $E$12)</f>
        <v>31.372900000000001</v>
      </c>
      <c r="K879" s="66">
        <f>31.3778 * CHOOSE(CONTROL!$C$23, $C$12, 100%, $E$12)</f>
        <v>31.377800000000001</v>
      </c>
      <c r="L879" s="66">
        <f>16.6812 * CHOOSE(CONTROL!$C$23, $C$12, 100%, $E$12)</f>
        <v>16.6812</v>
      </c>
      <c r="M879" s="66">
        <f>16.6861 * CHOOSE(CONTROL!$C$23, $C$12, 100%, $E$12)</f>
        <v>16.6861</v>
      </c>
      <c r="N879" s="66">
        <f>16.6812 * CHOOSE(CONTROL!$C$23, $C$12, 100%, $E$12)</f>
        <v>16.6812</v>
      </c>
      <c r="O879" s="66">
        <f>16.6861 * CHOOSE(CONTROL!$C$23, $C$12, 100%, $E$12)</f>
        <v>16.6861</v>
      </c>
    </row>
    <row r="880" spans="1:15" ht="15">
      <c r="A880" s="13">
        <v>67938</v>
      </c>
      <c r="B880" s="65">
        <f>14.7854 * CHOOSE(CONTROL!$C$23, $C$12, 100%, $E$12)</f>
        <v>14.785399999999999</v>
      </c>
      <c r="C880" s="65">
        <f>14.7854 * CHOOSE(CONTROL!$C$23, $C$12, 100%, $E$12)</f>
        <v>14.785399999999999</v>
      </c>
      <c r="D880" s="65">
        <f>14.7894 * CHOOSE(CONTROL!$C$23, $C$12, 100%, $E$12)</f>
        <v>14.789400000000001</v>
      </c>
      <c r="E880" s="66">
        <f>16.7771 * CHOOSE(CONTROL!$C$23, $C$12, 100%, $E$12)</f>
        <v>16.777100000000001</v>
      </c>
      <c r="F880" s="66">
        <f>16.7771 * CHOOSE(CONTROL!$C$23, $C$12, 100%, $E$12)</f>
        <v>16.777100000000001</v>
      </c>
      <c r="G880" s="66">
        <f>16.7821 * CHOOSE(CONTROL!$C$23, $C$12, 100%, $E$12)</f>
        <v>16.7821</v>
      </c>
      <c r="H880" s="66">
        <f>31.1454* CHOOSE(CONTROL!$C$23, $C$12, 100%, $E$12)</f>
        <v>31.145399999999999</v>
      </c>
      <c r="I880" s="66">
        <f>31.1503 * CHOOSE(CONTROL!$C$23, $C$12, 100%, $E$12)</f>
        <v>31.150300000000001</v>
      </c>
      <c r="J880" s="66">
        <f>31.1454 * CHOOSE(CONTROL!$C$23, $C$12, 100%, $E$12)</f>
        <v>31.145399999999999</v>
      </c>
      <c r="K880" s="66">
        <f>31.1503 * CHOOSE(CONTROL!$C$23, $C$12, 100%, $E$12)</f>
        <v>31.150300000000001</v>
      </c>
      <c r="L880" s="66">
        <f>16.7771 * CHOOSE(CONTROL!$C$23, $C$12, 100%, $E$12)</f>
        <v>16.777100000000001</v>
      </c>
      <c r="M880" s="66">
        <f>16.7821 * CHOOSE(CONTROL!$C$23, $C$12, 100%, $E$12)</f>
        <v>16.7821</v>
      </c>
      <c r="N880" s="66">
        <f>16.7771 * CHOOSE(CONTROL!$C$23, $C$12, 100%, $E$12)</f>
        <v>16.777100000000001</v>
      </c>
      <c r="O880" s="66">
        <f>16.7821 * CHOOSE(CONTROL!$C$23, $C$12, 100%, $E$12)</f>
        <v>16.7821</v>
      </c>
    </row>
    <row r="881" spans="1:15" ht="15">
      <c r="A881" s="13">
        <v>67969</v>
      </c>
      <c r="B881" s="65">
        <f>14.7824 * CHOOSE(CONTROL!$C$23, $C$12, 100%, $E$12)</f>
        <v>14.782400000000001</v>
      </c>
      <c r="C881" s="65">
        <f>14.7824 * CHOOSE(CONTROL!$C$23, $C$12, 100%, $E$12)</f>
        <v>14.782400000000001</v>
      </c>
      <c r="D881" s="65">
        <f>14.7864 * CHOOSE(CONTROL!$C$23, $C$12, 100%, $E$12)</f>
        <v>14.7864</v>
      </c>
      <c r="E881" s="66">
        <f>16.4756 * CHOOSE(CONTROL!$C$23, $C$12, 100%, $E$12)</f>
        <v>16.4756</v>
      </c>
      <c r="F881" s="66">
        <f>16.4756 * CHOOSE(CONTROL!$C$23, $C$12, 100%, $E$12)</f>
        <v>16.4756</v>
      </c>
      <c r="G881" s="66">
        <f>16.4805 * CHOOSE(CONTROL!$C$23, $C$12, 100%, $E$12)</f>
        <v>16.480499999999999</v>
      </c>
      <c r="H881" s="66">
        <f>31.2103* CHOOSE(CONTROL!$C$23, $C$12, 100%, $E$12)</f>
        <v>31.2103</v>
      </c>
      <c r="I881" s="66">
        <f>31.2152 * CHOOSE(CONTROL!$C$23, $C$12, 100%, $E$12)</f>
        <v>31.215199999999999</v>
      </c>
      <c r="J881" s="66">
        <f>31.2103 * CHOOSE(CONTROL!$C$23, $C$12, 100%, $E$12)</f>
        <v>31.2103</v>
      </c>
      <c r="K881" s="66">
        <f>31.2152 * CHOOSE(CONTROL!$C$23, $C$12, 100%, $E$12)</f>
        <v>31.215199999999999</v>
      </c>
      <c r="L881" s="66">
        <f>16.4756 * CHOOSE(CONTROL!$C$23, $C$12, 100%, $E$12)</f>
        <v>16.4756</v>
      </c>
      <c r="M881" s="66">
        <f>16.4805 * CHOOSE(CONTROL!$C$23, $C$12, 100%, $E$12)</f>
        <v>16.480499999999999</v>
      </c>
      <c r="N881" s="66">
        <f>16.4756 * CHOOSE(CONTROL!$C$23, $C$12, 100%, $E$12)</f>
        <v>16.4756</v>
      </c>
      <c r="O881" s="66">
        <f>16.4805 * CHOOSE(CONTROL!$C$23, $C$12, 100%, $E$12)</f>
        <v>16.480499999999999</v>
      </c>
    </row>
    <row r="882" spans="1:15" ht="15">
      <c r="A882" s="13">
        <v>67997</v>
      </c>
      <c r="B882" s="65">
        <f>14.7794 * CHOOSE(CONTROL!$C$23, $C$12, 100%, $E$12)</f>
        <v>14.779400000000001</v>
      </c>
      <c r="C882" s="65">
        <f>14.7794 * CHOOSE(CONTROL!$C$23, $C$12, 100%, $E$12)</f>
        <v>14.779400000000001</v>
      </c>
      <c r="D882" s="65">
        <f>14.7834 * CHOOSE(CONTROL!$C$23, $C$12, 100%, $E$12)</f>
        <v>14.7834</v>
      </c>
      <c r="E882" s="66">
        <f>16.7095 * CHOOSE(CONTROL!$C$23, $C$12, 100%, $E$12)</f>
        <v>16.709499999999998</v>
      </c>
      <c r="F882" s="66">
        <f>16.7095 * CHOOSE(CONTROL!$C$23, $C$12, 100%, $E$12)</f>
        <v>16.709499999999998</v>
      </c>
      <c r="G882" s="66">
        <f>16.7144 * CHOOSE(CONTROL!$C$23, $C$12, 100%, $E$12)</f>
        <v>16.714400000000001</v>
      </c>
      <c r="H882" s="66">
        <f>31.2753* CHOOSE(CONTROL!$C$23, $C$12, 100%, $E$12)</f>
        <v>31.275300000000001</v>
      </c>
      <c r="I882" s="66">
        <f>31.2802 * CHOOSE(CONTROL!$C$23, $C$12, 100%, $E$12)</f>
        <v>31.280200000000001</v>
      </c>
      <c r="J882" s="66">
        <f>31.2753 * CHOOSE(CONTROL!$C$23, $C$12, 100%, $E$12)</f>
        <v>31.275300000000001</v>
      </c>
      <c r="K882" s="66">
        <f>31.2802 * CHOOSE(CONTROL!$C$23, $C$12, 100%, $E$12)</f>
        <v>31.280200000000001</v>
      </c>
      <c r="L882" s="66">
        <f>16.7095 * CHOOSE(CONTROL!$C$23, $C$12, 100%, $E$12)</f>
        <v>16.709499999999998</v>
      </c>
      <c r="M882" s="66">
        <f>16.7144 * CHOOSE(CONTROL!$C$23, $C$12, 100%, $E$12)</f>
        <v>16.714400000000001</v>
      </c>
      <c r="N882" s="66">
        <f>16.7095 * CHOOSE(CONTROL!$C$23, $C$12, 100%, $E$12)</f>
        <v>16.709499999999998</v>
      </c>
      <c r="O882" s="66">
        <f>16.7144 * CHOOSE(CONTROL!$C$23, $C$12, 100%, $E$12)</f>
        <v>16.714400000000001</v>
      </c>
    </row>
    <row r="883" spans="1:15" ht="15">
      <c r="A883" s="13">
        <v>68028</v>
      </c>
      <c r="B883" s="65">
        <f>14.786 * CHOOSE(CONTROL!$C$23, $C$12, 100%, $E$12)</f>
        <v>14.786</v>
      </c>
      <c r="C883" s="65">
        <f>14.786 * CHOOSE(CONTROL!$C$23, $C$12, 100%, $E$12)</f>
        <v>14.786</v>
      </c>
      <c r="D883" s="65">
        <f>14.79 * CHOOSE(CONTROL!$C$23, $C$12, 100%, $E$12)</f>
        <v>14.79</v>
      </c>
      <c r="E883" s="66">
        <f>16.9588 * CHOOSE(CONTROL!$C$23, $C$12, 100%, $E$12)</f>
        <v>16.9588</v>
      </c>
      <c r="F883" s="66">
        <f>16.9588 * CHOOSE(CONTROL!$C$23, $C$12, 100%, $E$12)</f>
        <v>16.9588</v>
      </c>
      <c r="G883" s="66">
        <f>16.9637 * CHOOSE(CONTROL!$C$23, $C$12, 100%, $E$12)</f>
        <v>16.963699999999999</v>
      </c>
      <c r="H883" s="66">
        <f>31.3404* CHOOSE(CONTROL!$C$23, $C$12, 100%, $E$12)</f>
        <v>31.340399999999999</v>
      </c>
      <c r="I883" s="66">
        <f>31.3454 * CHOOSE(CONTROL!$C$23, $C$12, 100%, $E$12)</f>
        <v>31.345400000000001</v>
      </c>
      <c r="J883" s="66">
        <f>31.3404 * CHOOSE(CONTROL!$C$23, $C$12, 100%, $E$12)</f>
        <v>31.340399999999999</v>
      </c>
      <c r="K883" s="66">
        <f>31.3454 * CHOOSE(CONTROL!$C$23, $C$12, 100%, $E$12)</f>
        <v>31.345400000000001</v>
      </c>
      <c r="L883" s="66">
        <f>16.9588 * CHOOSE(CONTROL!$C$23, $C$12, 100%, $E$12)</f>
        <v>16.9588</v>
      </c>
      <c r="M883" s="66">
        <f>16.9637 * CHOOSE(CONTROL!$C$23, $C$12, 100%, $E$12)</f>
        <v>16.963699999999999</v>
      </c>
      <c r="N883" s="66">
        <f>16.9588 * CHOOSE(CONTROL!$C$23, $C$12, 100%, $E$12)</f>
        <v>16.9588</v>
      </c>
      <c r="O883" s="66">
        <f>16.9637 * CHOOSE(CONTROL!$C$23, $C$12, 100%, $E$12)</f>
        <v>16.963699999999999</v>
      </c>
    </row>
    <row r="884" spans="1:15" ht="15">
      <c r="A884" s="13">
        <v>68058</v>
      </c>
      <c r="B884" s="65">
        <f>14.786 * CHOOSE(CONTROL!$C$23, $C$12, 100%, $E$12)</f>
        <v>14.786</v>
      </c>
      <c r="C884" s="65">
        <f>14.786 * CHOOSE(CONTROL!$C$23, $C$12, 100%, $E$12)</f>
        <v>14.786</v>
      </c>
      <c r="D884" s="65">
        <f>14.7917 * CHOOSE(CONTROL!$C$23, $C$12, 100%, $E$12)</f>
        <v>14.791700000000001</v>
      </c>
      <c r="E884" s="66">
        <f>17.0538 * CHOOSE(CONTROL!$C$23, $C$12, 100%, $E$12)</f>
        <v>17.053799999999999</v>
      </c>
      <c r="F884" s="66">
        <f>17.0538 * CHOOSE(CONTROL!$C$23, $C$12, 100%, $E$12)</f>
        <v>17.053799999999999</v>
      </c>
      <c r="G884" s="66">
        <f>17.0607 * CHOOSE(CONTROL!$C$23, $C$12, 100%, $E$12)</f>
        <v>17.060700000000001</v>
      </c>
      <c r="H884" s="66">
        <f>31.4057* CHOOSE(CONTROL!$C$23, $C$12, 100%, $E$12)</f>
        <v>31.4057</v>
      </c>
      <c r="I884" s="66">
        <f>31.4126 * CHOOSE(CONTROL!$C$23, $C$12, 100%, $E$12)</f>
        <v>31.412600000000001</v>
      </c>
      <c r="J884" s="66">
        <f>31.4057 * CHOOSE(CONTROL!$C$23, $C$12, 100%, $E$12)</f>
        <v>31.4057</v>
      </c>
      <c r="K884" s="66">
        <f>31.4126 * CHOOSE(CONTROL!$C$23, $C$12, 100%, $E$12)</f>
        <v>31.412600000000001</v>
      </c>
      <c r="L884" s="66">
        <f>17.0538 * CHOOSE(CONTROL!$C$23, $C$12, 100%, $E$12)</f>
        <v>17.053799999999999</v>
      </c>
      <c r="M884" s="66">
        <f>17.0607 * CHOOSE(CONTROL!$C$23, $C$12, 100%, $E$12)</f>
        <v>17.060700000000001</v>
      </c>
      <c r="N884" s="66">
        <f>17.0538 * CHOOSE(CONTROL!$C$23, $C$12, 100%, $E$12)</f>
        <v>17.053799999999999</v>
      </c>
      <c r="O884" s="66">
        <f>17.0607 * CHOOSE(CONTROL!$C$23, $C$12, 100%, $E$12)</f>
        <v>17.060700000000001</v>
      </c>
    </row>
    <row r="885" spans="1:15" ht="15">
      <c r="A885" s="13">
        <v>68089</v>
      </c>
      <c r="B885" s="65">
        <f>14.7921 * CHOOSE(CONTROL!$C$23, $C$12, 100%, $E$12)</f>
        <v>14.7921</v>
      </c>
      <c r="C885" s="65">
        <f>14.7921 * CHOOSE(CONTROL!$C$23, $C$12, 100%, $E$12)</f>
        <v>14.7921</v>
      </c>
      <c r="D885" s="65">
        <f>14.7978 * CHOOSE(CONTROL!$C$23, $C$12, 100%, $E$12)</f>
        <v>14.797800000000001</v>
      </c>
      <c r="E885" s="66">
        <f>16.963 * CHOOSE(CONTROL!$C$23, $C$12, 100%, $E$12)</f>
        <v>16.963000000000001</v>
      </c>
      <c r="F885" s="66">
        <f>16.963 * CHOOSE(CONTROL!$C$23, $C$12, 100%, $E$12)</f>
        <v>16.963000000000001</v>
      </c>
      <c r="G885" s="66">
        <f>16.9699 * CHOOSE(CONTROL!$C$23, $C$12, 100%, $E$12)</f>
        <v>16.969899999999999</v>
      </c>
      <c r="H885" s="66">
        <f>31.4712* CHOOSE(CONTROL!$C$23, $C$12, 100%, $E$12)</f>
        <v>31.4712</v>
      </c>
      <c r="I885" s="66">
        <f>31.4781 * CHOOSE(CONTROL!$C$23, $C$12, 100%, $E$12)</f>
        <v>31.478100000000001</v>
      </c>
      <c r="J885" s="66">
        <f>31.4712 * CHOOSE(CONTROL!$C$23, $C$12, 100%, $E$12)</f>
        <v>31.4712</v>
      </c>
      <c r="K885" s="66">
        <f>31.4781 * CHOOSE(CONTROL!$C$23, $C$12, 100%, $E$12)</f>
        <v>31.478100000000001</v>
      </c>
      <c r="L885" s="66">
        <f>16.963 * CHOOSE(CONTROL!$C$23, $C$12, 100%, $E$12)</f>
        <v>16.963000000000001</v>
      </c>
      <c r="M885" s="66">
        <f>16.9699 * CHOOSE(CONTROL!$C$23, $C$12, 100%, $E$12)</f>
        <v>16.969899999999999</v>
      </c>
      <c r="N885" s="66">
        <f>16.963 * CHOOSE(CONTROL!$C$23, $C$12, 100%, $E$12)</f>
        <v>16.963000000000001</v>
      </c>
      <c r="O885" s="66">
        <f>16.9699 * CHOOSE(CONTROL!$C$23, $C$12, 100%, $E$12)</f>
        <v>16.969899999999999</v>
      </c>
    </row>
    <row r="886" spans="1:15" ht="15">
      <c r="A886" s="13">
        <v>68119</v>
      </c>
      <c r="B886" s="65">
        <f>15.016 * CHOOSE(CONTROL!$C$23, $C$12, 100%, $E$12)</f>
        <v>15.016</v>
      </c>
      <c r="C886" s="65">
        <f>15.016 * CHOOSE(CONTROL!$C$23, $C$12, 100%, $E$12)</f>
        <v>15.016</v>
      </c>
      <c r="D886" s="65">
        <f>15.0216 * CHOOSE(CONTROL!$C$23, $C$12, 100%, $E$12)</f>
        <v>15.021599999999999</v>
      </c>
      <c r="E886" s="66">
        <f>17.2322 * CHOOSE(CONTROL!$C$23, $C$12, 100%, $E$12)</f>
        <v>17.232199999999999</v>
      </c>
      <c r="F886" s="66">
        <f>17.2322 * CHOOSE(CONTROL!$C$23, $C$12, 100%, $E$12)</f>
        <v>17.232199999999999</v>
      </c>
      <c r="G886" s="66">
        <f>17.2391 * CHOOSE(CONTROL!$C$23, $C$12, 100%, $E$12)</f>
        <v>17.239100000000001</v>
      </c>
      <c r="H886" s="66">
        <f>31.5367* CHOOSE(CONTROL!$C$23, $C$12, 100%, $E$12)</f>
        <v>31.5367</v>
      </c>
      <c r="I886" s="66">
        <f>31.5436 * CHOOSE(CONTROL!$C$23, $C$12, 100%, $E$12)</f>
        <v>31.543600000000001</v>
      </c>
      <c r="J886" s="66">
        <f>31.5367 * CHOOSE(CONTROL!$C$23, $C$12, 100%, $E$12)</f>
        <v>31.5367</v>
      </c>
      <c r="K886" s="66">
        <f>31.5436 * CHOOSE(CONTROL!$C$23, $C$12, 100%, $E$12)</f>
        <v>31.543600000000001</v>
      </c>
      <c r="L886" s="66">
        <f>17.2322 * CHOOSE(CONTROL!$C$23, $C$12, 100%, $E$12)</f>
        <v>17.232199999999999</v>
      </c>
      <c r="M886" s="66">
        <f>17.2391 * CHOOSE(CONTROL!$C$23, $C$12, 100%, $E$12)</f>
        <v>17.239100000000001</v>
      </c>
      <c r="N886" s="66">
        <f>17.2322 * CHOOSE(CONTROL!$C$23, $C$12, 100%, $E$12)</f>
        <v>17.232199999999999</v>
      </c>
      <c r="O886" s="66">
        <f>17.2391 * CHOOSE(CONTROL!$C$23, $C$12, 100%, $E$12)</f>
        <v>17.239100000000001</v>
      </c>
    </row>
    <row r="887" spans="1:15" ht="15">
      <c r="A887" s="13">
        <v>68150</v>
      </c>
      <c r="B887" s="65">
        <f>15.0226 * CHOOSE(CONTROL!$C$23, $C$12, 100%, $E$12)</f>
        <v>15.022600000000001</v>
      </c>
      <c r="C887" s="65">
        <f>15.0226 * CHOOSE(CONTROL!$C$23, $C$12, 100%, $E$12)</f>
        <v>15.022600000000001</v>
      </c>
      <c r="D887" s="65">
        <f>15.0283 * CHOOSE(CONTROL!$C$23, $C$12, 100%, $E$12)</f>
        <v>15.0283</v>
      </c>
      <c r="E887" s="66">
        <f>16.9517 * CHOOSE(CONTROL!$C$23, $C$12, 100%, $E$12)</f>
        <v>16.951699999999999</v>
      </c>
      <c r="F887" s="66">
        <f>16.9517 * CHOOSE(CONTROL!$C$23, $C$12, 100%, $E$12)</f>
        <v>16.951699999999999</v>
      </c>
      <c r="G887" s="66">
        <f>16.9586 * CHOOSE(CONTROL!$C$23, $C$12, 100%, $E$12)</f>
        <v>16.958600000000001</v>
      </c>
      <c r="H887" s="66">
        <f>31.6024* CHOOSE(CONTROL!$C$23, $C$12, 100%, $E$12)</f>
        <v>31.602399999999999</v>
      </c>
      <c r="I887" s="66">
        <f>31.6093 * CHOOSE(CONTROL!$C$23, $C$12, 100%, $E$12)</f>
        <v>31.609300000000001</v>
      </c>
      <c r="J887" s="66">
        <f>31.6024 * CHOOSE(CONTROL!$C$23, $C$12, 100%, $E$12)</f>
        <v>31.602399999999999</v>
      </c>
      <c r="K887" s="66">
        <f>31.6093 * CHOOSE(CONTROL!$C$23, $C$12, 100%, $E$12)</f>
        <v>31.609300000000001</v>
      </c>
      <c r="L887" s="66">
        <f>16.9517 * CHOOSE(CONTROL!$C$23, $C$12, 100%, $E$12)</f>
        <v>16.951699999999999</v>
      </c>
      <c r="M887" s="66">
        <f>16.9586 * CHOOSE(CONTROL!$C$23, $C$12, 100%, $E$12)</f>
        <v>16.958600000000001</v>
      </c>
      <c r="N887" s="66">
        <f>16.9517 * CHOOSE(CONTROL!$C$23, $C$12, 100%, $E$12)</f>
        <v>16.951699999999999</v>
      </c>
      <c r="O887" s="66">
        <f>16.9586 * CHOOSE(CONTROL!$C$23, $C$12, 100%, $E$12)</f>
        <v>16.958600000000001</v>
      </c>
    </row>
    <row r="888" spans="1:15" ht="15">
      <c r="A888" s="13">
        <v>68181</v>
      </c>
      <c r="B888" s="65">
        <f>15.0196 * CHOOSE(CONTROL!$C$23, $C$12, 100%, $E$12)</f>
        <v>15.019600000000001</v>
      </c>
      <c r="C888" s="65">
        <f>15.0196 * CHOOSE(CONTROL!$C$23, $C$12, 100%, $E$12)</f>
        <v>15.019600000000001</v>
      </c>
      <c r="D888" s="65">
        <f>15.0252 * CHOOSE(CONTROL!$C$23, $C$12, 100%, $E$12)</f>
        <v>15.0252</v>
      </c>
      <c r="E888" s="66">
        <f>16.9179 * CHOOSE(CONTROL!$C$23, $C$12, 100%, $E$12)</f>
        <v>16.917899999999999</v>
      </c>
      <c r="F888" s="66">
        <f>16.9179 * CHOOSE(CONTROL!$C$23, $C$12, 100%, $E$12)</f>
        <v>16.917899999999999</v>
      </c>
      <c r="G888" s="66">
        <f>16.9248 * CHOOSE(CONTROL!$C$23, $C$12, 100%, $E$12)</f>
        <v>16.924800000000001</v>
      </c>
      <c r="H888" s="66">
        <f>31.6683* CHOOSE(CONTROL!$C$23, $C$12, 100%, $E$12)</f>
        <v>31.668299999999999</v>
      </c>
      <c r="I888" s="66">
        <f>31.6752 * CHOOSE(CONTROL!$C$23, $C$12, 100%, $E$12)</f>
        <v>31.6752</v>
      </c>
      <c r="J888" s="66">
        <f>31.6683 * CHOOSE(CONTROL!$C$23, $C$12, 100%, $E$12)</f>
        <v>31.668299999999999</v>
      </c>
      <c r="K888" s="66">
        <f>31.6752 * CHOOSE(CONTROL!$C$23, $C$12, 100%, $E$12)</f>
        <v>31.6752</v>
      </c>
      <c r="L888" s="66">
        <f>16.9179 * CHOOSE(CONTROL!$C$23, $C$12, 100%, $E$12)</f>
        <v>16.917899999999999</v>
      </c>
      <c r="M888" s="66">
        <f>16.9248 * CHOOSE(CONTROL!$C$23, $C$12, 100%, $E$12)</f>
        <v>16.924800000000001</v>
      </c>
      <c r="N888" s="66">
        <f>16.9179 * CHOOSE(CONTROL!$C$23, $C$12, 100%, $E$12)</f>
        <v>16.917899999999999</v>
      </c>
      <c r="O888" s="66">
        <f>16.9248 * CHOOSE(CONTROL!$C$23, $C$12, 100%, $E$12)</f>
        <v>16.924800000000001</v>
      </c>
    </row>
    <row r="889" spans="1:15" ht="15">
      <c r="A889" s="13">
        <v>68211</v>
      </c>
      <c r="B889" s="65">
        <f>15.0501 * CHOOSE(CONTROL!$C$23, $C$12, 100%, $E$12)</f>
        <v>15.0501</v>
      </c>
      <c r="C889" s="65">
        <f>15.0501 * CHOOSE(CONTROL!$C$23, $C$12, 100%, $E$12)</f>
        <v>15.0501</v>
      </c>
      <c r="D889" s="65">
        <f>15.0541 * CHOOSE(CONTROL!$C$23, $C$12, 100%, $E$12)</f>
        <v>15.0541</v>
      </c>
      <c r="E889" s="66">
        <f>17.0312 * CHOOSE(CONTROL!$C$23, $C$12, 100%, $E$12)</f>
        <v>17.031199999999998</v>
      </c>
      <c r="F889" s="66">
        <f>17.0312 * CHOOSE(CONTROL!$C$23, $C$12, 100%, $E$12)</f>
        <v>17.031199999999998</v>
      </c>
      <c r="G889" s="66">
        <f>17.0361 * CHOOSE(CONTROL!$C$23, $C$12, 100%, $E$12)</f>
        <v>17.036100000000001</v>
      </c>
      <c r="H889" s="66">
        <f>31.7342* CHOOSE(CONTROL!$C$23, $C$12, 100%, $E$12)</f>
        <v>31.734200000000001</v>
      </c>
      <c r="I889" s="66">
        <f>31.7392 * CHOOSE(CONTROL!$C$23, $C$12, 100%, $E$12)</f>
        <v>31.7392</v>
      </c>
      <c r="J889" s="66">
        <f>31.7342 * CHOOSE(CONTROL!$C$23, $C$12, 100%, $E$12)</f>
        <v>31.734200000000001</v>
      </c>
      <c r="K889" s="66">
        <f>31.7392 * CHOOSE(CONTROL!$C$23, $C$12, 100%, $E$12)</f>
        <v>31.7392</v>
      </c>
      <c r="L889" s="66">
        <f>17.0312 * CHOOSE(CONTROL!$C$23, $C$12, 100%, $E$12)</f>
        <v>17.031199999999998</v>
      </c>
      <c r="M889" s="66">
        <f>17.0361 * CHOOSE(CONTROL!$C$23, $C$12, 100%, $E$12)</f>
        <v>17.036100000000001</v>
      </c>
      <c r="N889" s="66">
        <f>17.0312 * CHOOSE(CONTROL!$C$23, $C$12, 100%, $E$12)</f>
        <v>17.031199999999998</v>
      </c>
      <c r="O889" s="66">
        <f>17.0361 * CHOOSE(CONTROL!$C$23, $C$12, 100%, $E$12)</f>
        <v>17.036100000000001</v>
      </c>
    </row>
    <row r="890" spans="1:15" ht="15">
      <c r="A890" s="13">
        <v>68242</v>
      </c>
      <c r="B890" s="65">
        <f>15.0532 * CHOOSE(CONTROL!$C$23, $C$12, 100%, $E$12)</f>
        <v>15.0532</v>
      </c>
      <c r="C890" s="65">
        <f>15.0532 * CHOOSE(CONTROL!$C$23, $C$12, 100%, $E$12)</f>
        <v>15.0532</v>
      </c>
      <c r="D890" s="65">
        <f>15.0572 * CHOOSE(CONTROL!$C$23, $C$12, 100%, $E$12)</f>
        <v>15.0572</v>
      </c>
      <c r="E890" s="66">
        <f>17.0967 * CHOOSE(CONTROL!$C$23, $C$12, 100%, $E$12)</f>
        <v>17.096699999999998</v>
      </c>
      <c r="F890" s="66">
        <f>17.0967 * CHOOSE(CONTROL!$C$23, $C$12, 100%, $E$12)</f>
        <v>17.096699999999998</v>
      </c>
      <c r="G890" s="66">
        <f>17.1016 * CHOOSE(CONTROL!$C$23, $C$12, 100%, $E$12)</f>
        <v>17.101600000000001</v>
      </c>
      <c r="H890" s="66">
        <f>31.8004* CHOOSE(CONTROL!$C$23, $C$12, 100%, $E$12)</f>
        <v>31.8004</v>
      </c>
      <c r="I890" s="66">
        <f>31.8053 * CHOOSE(CONTROL!$C$23, $C$12, 100%, $E$12)</f>
        <v>31.805299999999999</v>
      </c>
      <c r="J890" s="66">
        <f>31.8004 * CHOOSE(CONTROL!$C$23, $C$12, 100%, $E$12)</f>
        <v>31.8004</v>
      </c>
      <c r="K890" s="66">
        <f>31.8053 * CHOOSE(CONTROL!$C$23, $C$12, 100%, $E$12)</f>
        <v>31.805299999999999</v>
      </c>
      <c r="L890" s="66">
        <f>17.0967 * CHOOSE(CONTROL!$C$23, $C$12, 100%, $E$12)</f>
        <v>17.096699999999998</v>
      </c>
      <c r="M890" s="66">
        <f>17.1016 * CHOOSE(CONTROL!$C$23, $C$12, 100%, $E$12)</f>
        <v>17.101600000000001</v>
      </c>
      <c r="N890" s="66">
        <f>17.0967 * CHOOSE(CONTROL!$C$23, $C$12, 100%, $E$12)</f>
        <v>17.096699999999998</v>
      </c>
      <c r="O890" s="66">
        <f>17.1016 * CHOOSE(CONTROL!$C$23, $C$12, 100%, $E$12)</f>
        <v>17.101600000000001</v>
      </c>
    </row>
    <row r="891" spans="1:15" ht="15">
      <c r="A891" s="13">
        <v>68272</v>
      </c>
      <c r="B891" s="65">
        <f>15.0532 * CHOOSE(CONTROL!$C$23, $C$12, 100%, $E$12)</f>
        <v>15.0532</v>
      </c>
      <c r="C891" s="65">
        <f>15.0532 * CHOOSE(CONTROL!$C$23, $C$12, 100%, $E$12)</f>
        <v>15.0532</v>
      </c>
      <c r="D891" s="65">
        <f>15.0572 * CHOOSE(CONTROL!$C$23, $C$12, 100%, $E$12)</f>
        <v>15.0572</v>
      </c>
      <c r="E891" s="66">
        <f>16.9383 * CHOOSE(CONTROL!$C$23, $C$12, 100%, $E$12)</f>
        <v>16.938300000000002</v>
      </c>
      <c r="F891" s="66">
        <f>16.9383 * CHOOSE(CONTROL!$C$23, $C$12, 100%, $E$12)</f>
        <v>16.938300000000002</v>
      </c>
      <c r="G891" s="66">
        <f>16.9432 * CHOOSE(CONTROL!$C$23, $C$12, 100%, $E$12)</f>
        <v>16.943200000000001</v>
      </c>
      <c r="H891" s="66">
        <f>31.8666* CHOOSE(CONTROL!$C$23, $C$12, 100%, $E$12)</f>
        <v>31.866599999999998</v>
      </c>
      <c r="I891" s="66">
        <f>31.8715 * CHOOSE(CONTROL!$C$23, $C$12, 100%, $E$12)</f>
        <v>31.871500000000001</v>
      </c>
      <c r="J891" s="66">
        <f>31.8666 * CHOOSE(CONTROL!$C$23, $C$12, 100%, $E$12)</f>
        <v>31.866599999999998</v>
      </c>
      <c r="K891" s="66">
        <f>31.8715 * CHOOSE(CONTROL!$C$23, $C$12, 100%, $E$12)</f>
        <v>31.871500000000001</v>
      </c>
      <c r="L891" s="66">
        <f>16.9383 * CHOOSE(CONTROL!$C$23, $C$12, 100%, $E$12)</f>
        <v>16.938300000000002</v>
      </c>
      <c r="M891" s="66">
        <f>16.9432 * CHOOSE(CONTROL!$C$23, $C$12, 100%, $E$12)</f>
        <v>16.943200000000001</v>
      </c>
      <c r="N891" s="66">
        <f>16.9383 * CHOOSE(CONTROL!$C$23, $C$12, 100%, $E$12)</f>
        <v>16.938300000000002</v>
      </c>
      <c r="O891" s="66">
        <f>16.9432 * CHOOSE(CONTROL!$C$23, $C$12, 100%, $E$12)</f>
        <v>16.943200000000001</v>
      </c>
    </row>
    <row r="892" spans="1:15" ht="15">
      <c r="A892" s="13">
        <v>68303</v>
      </c>
      <c r="B892" s="65">
        <f>15.021 * CHOOSE(CONTROL!$C$23, $C$12, 100%, $E$12)</f>
        <v>15.021000000000001</v>
      </c>
      <c r="C892" s="65">
        <f>15.021 * CHOOSE(CONTROL!$C$23, $C$12, 100%, $E$12)</f>
        <v>15.021000000000001</v>
      </c>
      <c r="D892" s="65">
        <f>15.025 * CHOOSE(CONTROL!$C$23, $C$12, 100%, $E$12)</f>
        <v>15.025</v>
      </c>
      <c r="E892" s="66">
        <f>17.0319 * CHOOSE(CONTROL!$C$23, $C$12, 100%, $E$12)</f>
        <v>17.0319</v>
      </c>
      <c r="F892" s="66">
        <f>17.0319 * CHOOSE(CONTROL!$C$23, $C$12, 100%, $E$12)</f>
        <v>17.0319</v>
      </c>
      <c r="G892" s="66">
        <f>17.0368 * CHOOSE(CONTROL!$C$23, $C$12, 100%, $E$12)</f>
        <v>17.036799999999999</v>
      </c>
      <c r="H892" s="66">
        <f>31.6279* CHOOSE(CONTROL!$C$23, $C$12, 100%, $E$12)</f>
        <v>31.6279</v>
      </c>
      <c r="I892" s="66">
        <f>31.6328 * CHOOSE(CONTROL!$C$23, $C$12, 100%, $E$12)</f>
        <v>31.6328</v>
      </c>
      <c r="J892" s="66">
        <f>31.6279 * CHOOSE(CONTROL!$C$23, $C$12, 100%, $E$12)</f>
        <v>31.6279</v>
      </c>
      <c r="K892" s="66">
        <f>31.6328 * CHOOSE(CONTROL!$C$23, $C$12, 100%, $E$12)</f>
        <v>31.6328</v>
      </c>
      <c r="L892" s="66">
        <f>17.0319 * CHOOSE(CONTROL!$C$23, $C$12, 100%, $E$12)</f>
        <v>17.0319</v>
      </c>
      <c r="M892" s="66">
        <f>17.0368 * CHOOSE(CONTROL!$C$23, $C$12, 100%, $E$12)</f>
        <v>17.036799999999999</v>
      </c>
      <c r="N892" s="66">
        <f>17.0319 * CHOOSE(CONTROL!$C$23, $C$12, 100%, $E$12)</f>
        <v>17.0319</v>
      </c>
      <c r="O892" s="66">
        <f>17.0368 * CHOOSE(CONTROL!$C$23, $C$12, 100%, $E$12)</f>
        <v>17.036799999999999</v>
      </c>
    </row>
    <row r="893" spans="1:15" ht="15">
      <c r="A893" s="13">
        <v>68334</v>
      </c>
      <c r="B893" s="65">
        <f>15.018 * CHOOSE(CONTROL!$C$23, $C$12, 100%, $E$12)</f>
        <v>15.018000000000001</v>
      </c>
      <c r="C893" s="65">
        <f>15.018 * CHOOSE(CONTROL!$C$23, $C$12, 100%, $E$12)</f>
        <v>15.018000000000001</v>
      </c>
      <c r="D893" s="65">
        <f>15.022 * CHOOSE(CONTROL!$C$23, $C$12, 100%, $E$12)</f>
        <v>15.022</v>
      </c>
      <c r="E893" s="66">
        <f>16.7254 * CHOOSE(CONTROL!$C$23, $C$12, 100%, $E$12)</f>
        <v>16.7254</v>
      </c>
      <c r="F893" s="66">
        <f>16.7254 * CHOOSE(CONTROL!$C$23, $C$12, 100%, $E$12)</f>
        <v>16.7254</v>
      </c>
      <c r="G893" s="66">
        <f>16.7303 * CHOOSE(CONTROL!$C$23, $C$12, 100%, $E$12)</f>
        <v>16.7303</v>
      </c>
      <c r="H893" s="66">
        <f>31.6938* CHOOSE(CONTROL!$C$23, $C$12, 100%, $E$12)</f>
        <v>31.6938</v>
      </c>
      <c r="I893" s="66">
        <f>31.6987 * CHOOSE(CONTROL!$C$23, $C$12, 100%, $E$12)</f>
        <v>31.698699999999999</v>
      </c>
      <c r="J893" s="66">
        <f>31.6938 * CHOOSE(CONTROL!$C$23, $C$12, 100%, $E$12)</f>
        <v>31.6938</v>
      </c>
      <c r="K893" s="66">
        <f>31.6987 * CHOOSE(CONTROL!$C$23, $C$12, 100%, $E$12)</f>
        <v>31.698699999999999</v>
      </c>
      <c r="L893" s="66">
        <f>16.7254 * CHOOSE(CONTROL!$C$23, $C$12, 100%, $E$12)</f>
        <v>16.7254</v>
      </c>
      <c r="M893" s="66">
        <f>16.7303 * CHOOSE(CONTROL!$C$23, $C$12, 100%, $E$12)</f>
        <v>16.7303</v>
      </c>
      <c r="N893" s="66">
        <f>16.7254 * CHOOSE(CONTROL!$C$23, $C$12, 100%, $E$12)</f>
        <v>16.7254</v>
      </c>
      <c r="O893" s="66">
        <f>16.7303 * CHOOSE(CONTROL!$C$23, $C$12, 100%, $E$12)</f>
        <v>16.7303</v>
      </c>
    </row>
    <row r="894" spans="1:15" ht="15">
      <c r="A894" s="13">
        <v>68362</v>
      </c>
      <c r="B894" s="65">
        <f>15.0149 * CHOOSE(CONTROL!$C$23, $C$12, 100%, $E$12)</f>
        <v>15.014900000000001</v>
      </c>
      <c r="C894" s="65">
        <f>15.0149 * CHOOSE(CONTROL!$C$23, $C$12, 100%, $E$12)</f>
        <v>15.014900000000001</v>
      </c>
      <c r="D894" s="65">
        <f>15.0189 * CHOOSE(CONTROL!$C$23, $C$12, 100%, $E$12)</f>
        <v>15.0189</v>
      </c>
      <c r="E894" s="66">
        <f>16.9632 * CHOOSE(CONTROL!$C$23, $C$12, 100%, $E$12)</f>
        <v>16.963200000000001</v>
      </c>
      <c r="F894" s="66">
        <f>16.9632 * CHOOSE(CONTROL!$C$23, $C$12, 100%, $E$12)</f>
        <v>16.963200000000001</v>
      </c>
      <c r="G894" s="66">
        <f>16.9681 * CHOOSE(CONTROL!$C$23, $C$12, 100%, $E$12)</f>
        <v>16.9681</v>
      </c>
      <c r="H894" s="66">
        <f>31.7598* CHOOSE(CONTROL!$C$23, $C$12, 100%, $E$12)</f>
        <v>31.759799999999998</v>
      </c>
      <c r="I894" s="66">
        <f>31.7648 * CHOOSE(CONTROL!$C$23, $C$12, 100%, $E$12)</f>
        <v>31.764800000000001</v>
      </c>
      <c r="J894" s="66">
        <f>31.7598 * CHOOSE(CONTROL!$C$23, $C$12, 100%, $E$12)</f>
        <v>31.759799999999998</v>
      </c>
      <c r="K894" s="66">
        <f>31.7648 * CHOOSE(CONTROL!$C$23, $C$12, 100%, $E$12)</f>
        <v>31.764800000000001</v>
      </c>
      <c r="L894" s="66">
        <f>16.9632 * CHOOSE(CONTROL!$C$23, $C$12, 100%, $E$12)</f>
        <v>16.963200000000001</v>
      </c>
      <c r="M894" s="66">
        <f>16.9681 * CHOOSE(CONTROL!$C$23, $C$12, 100%, $E$12)</f>
        <v>16.9681</v>
      </c>
      <c r="N894" s="66">
        <f>16.9632 * CHOOSE(CONTROL!$C$23, $C$12, 100%, $E$12)</f>
        <v>16.963200000000001</v>
      </c>
      <c r="O894" s="66">
        <f>16.9681 * CHOOSE(CONTROL!$C$23, $C$12, 100%, $E$12)</f>
        <v>16.9681</v>
      </c>
    </row>
    <row r="895" spans="1:15" ht="15">
      <c r="A895" s="13">
        <v>68393</v>
      </c>
      <c r="B895" s="65">
        <f>15.0218 * CHOOSE(CONTROL!$C$23, $C$12, 100%, $E$12)</f>
        <v>15.021800000000001</v>
      </c>
      <c r="C895" s="65">
        <f>15.0218 * CHOOSE(CONTROL!$C$23, $C$12, 100%, $E$12)</f>
        <v>15.021800000000001</v>
      </c>
      <c r="D895" s="65">
        <f>15.0258 * CHOOSE(CONTROL!$C$23, $C$12, 100%, $E$12)</f>
        <v>15.0258</v>
      </c>
      <c r="E895" s="66">
        <f>17.2166 * CHOOSE(CONTROL!$C$23, $C$12, 100%, $E$12)</f>
        <v>17.2166</v>
      </c>
      <c r="F895" s="66">
        <f>17.2166 * CHOOSE(CONTROL!$C$23, $C$12, 100%, $E$12)</f>
        <v>17.2166</v>
      </c>
      <c r="G895" s="66">
        <f>17.2216 * CHOOSE(CONTROL!$C$23, $C$12, 100%, $E$12)</f>
        <v>17.221599999999999</v>
      </c>
      <c r="H895" s="66">
        <f>31.826* CHOOSE(CONTROL!$C$23, $C$12, 100%, $E$12)</f>
        <v>31.826000000000001</v>
      </c>
      <c r="I895" s="66">
        <f>31.8309 * CHOOSE(CONTROL!$C$23, $C$12, 100%, $E$12)</f>
        <v>31.8309</v>
      </c>
      <c r="J895" s="66">
        <f>31.826 * CHOOSE(CONTROL!$C$23, $C$12, 100%, $E$12)</f>
        <v>31.826000000000001</v>
      </c>
      <c r="K895" s="66">
        <f>31.8309 * CHOOSE(CONTROL!$C$23, $C$12, 100%, $E$12)</f>
        <v>31.8309</v>
      </c>
      <c r="L895" s="66">
        <f>17.2166 * CHOOSE(CONTROL!$C$23, $C$12, 100%, $E$12)</f>
        <v>17.2166</v>
      </c>
      <c r="M895" s="66">
        <f>17.2216 * CHOOSE(CONTROL!$C$23, $C$12, 100%, $E$12)</f>
        <v>17.221599999999999</v>
      </c>
      <c r="N895" s="66">
        <f>17.2166 * CHOOSE(CONTROL!$C$23, $C$12, 100%, $E$12)</f>
        <v>17.2166</v>
      </c>
      <c r="O895" s="66">
        <f>17.2216 * CHOOSE(CONTROL!$C$23, $C$12, 100%, $E$12)</f>
        <v>17.221599999999999</v>
      </c>
    </row>
    <row r="896" spans="1:15" ht="15">
      <c r="A896" s="13">
        <v>68423</v>
      </c>
      <c r="B896" s="65">
        <f>15.0218 * CHOOSE(CONTROL!$C$23, $C$12, 100%, $E$12)</f>
        <v>15.021800000000001</v>
      </c>
      <c r="C896" s="65">
        <f>15.0218 * CHOOSE(CONTROL!$C$23, $C$12, 100%, $E$12)</f>
        <v>15.021800000000001</v>
      </c>
      <c r="D896" s="65">
        <f>15.0274 * CHOOSE(CONTROL!$C$23, $C$12, 100%, $E$12)</f>
        <v>15.0274</v>
      </c>
      <c r="E896" s="66">
        <f>17.3133 * CHOOSE(CONTROL!$C$23, $C$12, 100%, $E$12)</f>
        <v>17.313300000000002</v>
      </c>
      <c r="F896" s="66">
        <f>17.3133 * CHOOSE(CONTROL!$C$23, $C$12, 100%, $E$12)</f>
        <v>17.313300000000002</v>
      </c>
      <c r="G896" s="66">
        <f>17.3202 * CHOOSE(CONTROL!$C$23, $C$12, 100%, $E$12)</f>
        <v>17.3202</v>
      </c>
      <c r="H896" s="66">
        <f>31.8923* CHOOSE(CONTROL!$C$23, $C$12, 100%, $E$12)</f>
        <v>31.892299999999999</v>
      </c>
      <c r="I896" s="66">
        <f>31.8992 * CHOOSE(CONTROL!$C$23, $C$12, 100%, $E$12)</f>
        <v>31.8992</v>
      </c>
      <c r="J896" s="66">
        <f>31.8923 * CHOOSE(CONTROL!$C$23, $C$12, 100%, $E$12)</f>
        <v>31.892299999999999</v>
      </c>
      <c r="K896" s="66">
        <f>31.8992 * CHOOSE(CONTROL!$C$23, $C$12, 100%, $E$12)</f>
        <v>31.8992</v>
      </c>
      <c r="L896" s="66">
        <f>17.3133 * CHOOSE(CONTROL!$C$23, $C$12, 100%, $E$12)</f>
        <v>17.313300000000002</v>
      </c>
      <c r="M896" s="66">
        <f>17.3202 * CHOOSE(CONTROL!$C$23, $C$12, 100%, $E$12)</f>
        <v>17.3202</v>
      </c>
      <c r="N896" s="66">
        <f>17.3133 * CHOOSE(CONTROL!$C$23, $C$12, 100%, $E$12)</f>
        <v>17.313300000000002</v>
      </c>
      <c r="O896" s="66">
        <f>17.3202 * CHOOSE(CONTROL!$C$23, $C$12, 100%, $E$12)</f>
        <v>17.3202</v>
      </c>
    </row>
    <row r="897" spans="1:15" ht="15">
      <c r="A897" s="13">
        <v>68454</v>
      </c>
      <c r="B897" s="65">
        <f>15.0279 * CHOOSE(CONTROL!$C$23, $C$12, 100%, $E$12)</f>
        <v>15.027900000000001</v>
      </c>
      <c r="C897" s="65">
        <f>15.0279 * CHOOSE(CONTROL!$C$23, $C$12, 100%, $E$12)</f>
        <v>15.027900000000001</v>
      </c>
      <c r="D897" s="65">
        <f>15.0335 * CHOOSE(CONTROL!$C$23, $C$12, 100%, $E$12)</f>
        <v>15.0335</v>
      </c>
      <c r="E897" s="66">
        <f>17.2209 * CHOOSE(CONTROL!$C$23, $C$12, 100%, $E$12)</f>
        <v>17.2209</v>
      </c>
      <c r="F897" s="66">
        <f>17.2209 * CHOOSE(CONTROL!$C$23, $C$12, 100%, $E$12)</f>
        <v>17.2209</v>
      </c>
      <c r="G897" s="66">
        <f>17.2278 * CHOOSE(CONTROL!$C$23, $C$12, 100%, $E$12)</f>
        <v>17.227799999999998</v>
      </c>
      <c r="H897" s="66">
        <f>31.9588* CHOOSE(CONTROL!$C$23, $C$12, 100%, $E$12)</f>
        <v>31.9588</v>
      </c>
      <c r="I897" s="66">
        <f>31.9657 * CHOOSE(CONTROL!$C$23, $C$12, 100%, $E$12)</f>
        <v>31.965699999999998</v>
      </c>
      <c r="J897" s="66">
        <f>31.9588 * CHOOSE(CONTROL!$C$23, $C$12, 100%, $E$12)</f>
        <v>31.9588</v>
      </c>
      <c r="K897" s="66">
        <f>31.9657 * CHOOSE(CONTROL!$C$23, $C$12, 100%, $E$12)</f>
        <v>31.965699999999998</v>
      </c>
      <c r="L897" s="66">
        <f>17.2209 * CHOOSE(CONTROL!$C$23, $C$12, 100%, $E$12)</f>
        <v>17.2209</v>
      </c>
      <c r="M897" s="66">
        <f>17.2278 * CHOOSE(CONTROL!$C$23, $C$12, 100%, $E$12)</f>
        <v>17.227799999999998</v>
      </c>
      <c r="N897" s="66">
        <f>17.2209 * CHOOSE(CONTROL!$C$23, $C$12, 100%, $E$12)</f>
        <v>17.2209</v>
      </c>
      <c r="O897" s="66">
        <f>17.2278 * CHOOSE(CONTROL!$C$23, $C$12, 100%, $E$12)</f>
        <v>17.227799999999998</v>
      </c>
    </row>
    <row r="898" spans="1:15" ht="15">
      <c r="A898" s="13">
        <v>68484</v>
      </c>
      <c r="B898" s="65">
        <f>15.2551 * CHOOSE(CONTROL!$C$23, $C$12, 100%, $E$12)</f>
        <v>15.255100000000001</v>
      </c>
      <c r="C898" s="65">
        <f>15.2551 * CHOOSE(CONTROL!$C$23, $C$12, 100%, $E$12)</f>
        <v>15.255100000000001</v>
      </c>
      <c r="D898" s="65">
        <f>15.2608 * CHOOSE(CONTROL!$C$23, $C$12, 100%, $E$12)</f>
        <v>15.2608</v>
      </c>
      <c r="E898" s="66">
        <f>17.494 * CHOOSE(CONTROL!$C$23, $C$12, 100%, $E$12)</f>
        <v>17.494</v>
      </c>
      <c r="F898" s="66">
        <f>17.494 * CHOOSE(CONTROL!$C$23, $C$12, 100%, $E$12)</f>
        <v>17.494</v>
      </c>
      <c r="G898" s="66">
        <f>17.5009 * CHOOSE(CONTROL!$C$23, $C$12, 100%, $E$12)</f>
        <v>17.500900000000001</v>
      </c>
      <c r="H898" s="66">
        <f>32.0253* CHOOSE(CONTROL!$C$23, $C$12, 100%, $E$12)</f>
        <v>32.025300000000001</v>
      </c>
      <c r="I898" s="66">
        <f>32.0322 * CHOOSE(CONTROL!$C$23, $C$12, 100%, $E$12)</f>
        <v>32.032200000000003</v>
      </c>
      <c r="J898" s="66">
        <f>32.0253 * CHOOSE(CONTROL!$C$23, $C$12, 100%, $E$12)</f>
        <v>32.025300000000001</v>
      </c>
      <c r="K898" s="66">
        <f>32.0322 * CHOOSE(CONTROL!$C$23, $C$12, 100%, $E$12)</f>
        <v>32.032200000000003</v>
      </c>
      <c r="L898" s="66">
        <f>17.494 * CHOOSE(CONTROL!$C$23, $C$12, 100%, $E$12)</f>
        <v>17.494</v>
      </c>
      <c r="M898" s="66">
        <f>17.5009 * CHOOSE(CONTROL!$C$23, $C$12, 100%, $E$12)</f>
        <v>17.500900000000001</v>
      </c>
      <c r="N898" s="66">
        <f>17.494 * CHOOSE(CONTROL!$C$23, $C$12, 100%, $E$12)</f>
        <v>17.494</v>
      </c>
      <c r="O898" s="66">
        <f>17.5009 * CHOOSE(CONTROL!$C$23, $C$12, 100%, $E$12)</f>
        <v>17.500900000000001</v>
      </c>
    </row>
    <row r="899" spans="1:15" ht="15">
      <c r="A899" s="13">
        <v>68515</v>
      </c>
      <c r="B899" s="65">
        <f>15.2618 * CHOOSE(CONTROL!$C$23, $C$12, 100%, $E$12)</f>
        <v>15.261799999999999</v>
      </c>
      <c r="C899" s="65">
        <f>15.2618 * CHOOSE(CONTROL!$C$23, $C$12, 100%, $E$12)</f>
        <v>15.261799999999999</v>
      </c>
      <c r="D899" s="65">
        <f>15.2675 * CHOOSE(CONTROL!$C$23, $C$12, 100%, $E$12)</f>
        <v>15.2675</v>
      </c>
      <c r="E899" s="66">
        <f>17.2088 * CHOOSE(CONTROL!$C$23, $C$12, 100%, $E$12)</f>
        <v>17.2088</v>
      </c>
      <c r="F899" s="66">
        <f>17.2088 * CHOOSE(CONTROL!$C$23, $C$12, 100%, $E$12)</f>
        <v>17.2088</v>
      </c>
      <c r="G899" s="66">
        <f>17.2157 * CHOOSE(CONTROL!$C$23, $C$12, 100%, $E$12)</f>
        <v>17.215699999999998</v>
      </c>
      <c r="H899" s="66">
        <f>32.0921* CHOOSE(CONTROL!$C$23, $C$12, 100%, $E$12)</f>
        <v>32.092100000000002</v>
      </c>
      <c r="I899" s="66">
        <f>32.099 * CHOOSE(CONTROL!$C$23, $C$12, 100%, $E$12)</f>
        <v>32.098999999999997</v>
      </c>
      <c r="J899" s="66">
        <f>32.0921 * CHOOSE(CONTROL!$C$23, $C$12, 100%, $E$12)</f>
        <v>32.092100000000002</v>
      </c>
      <c r="K899" s="66">
        <f>32.099 * CHOOSE(CONTROL!$C$23, $C$12, 100%, $E$12)</f>
        <v>32.098999999999997</v>
      </c>
      <c r="L899" s="66">
        <f>17.2088 * CHOOSE(CONTROL!$C$23, $C$12, 100%, $E$12)</f>
        <v>17.2088</v>
      </c>
      <c r="M899" s="66">
        <f>17.2157 * CHOOSE(CONTROL!$C$23, $C$12, 100%, $E$12)</f>
        <v>17.215699999999998</v>
      </c>
      <c r="N899" s="66">
        <f>17.2088 * CHOOSE(CONTROL!$C$23, $C$12, 100%, $E$12)</f>
        <v>17.2088</v>
      </c>
      <c r="O899" s="66">
        <f>17.2157 * CHOOSE(CONTROL!$C$23, $C$12, 100%, $E$12)</f>
        <v>17.215699999999998</v>
      </c>
    </row>
    <row r="900" spans="1:15" ht="15">
      <c r="A900" s="13">
        <v>68546</v>
      </c>
      <c r="B900" s="65">
        <f>15.2588 * CHOOSE(CONTROL!$C$23, $C$12, 100%, $E$12)</f>
        <v>15.258800000000001</v>
      </c>
      <c r="C900" s="65">
        <f>15.2588 * CHOOSE(CONTROL!$C$23, $C$12, 100%, $E$12)</f>
        <v>15.258800000000001</v>
      </c>
      <c r="D900" s="65">
        <f>15.2644 * CHOOSE(CONTROL!$C$23, $C$12, 100%, $E$12)</f>
        <v>15.2644</v>
      </c>
      <c r="E900" s="66">
        <f>17.1744 * CHOOSE(CONTROL!$C$23, $C$12, 100%, $E$12)</f>
        <v>17.174399999999999</v>
      </c>
      <c r="F900" s="66">
        <f>17.1744 * CHOOSE(CONTROL!$C$23, $C$12, 100%, $E$12)</f>
        <v>17.174399999999999</v>
      </c>
      <c r="G900" s="66">
        <f>17.1813 * CHOOSE(CONTROL!$C$23, $C$12, 100%, $E$12)</f>
        <v>17.1813</v>
      </c>
      <c r="H900" s="66">
        <f>32.1589* CHOOSE(CONTROL!$C$23, $C$12, 100%, $E$12)</f>
        <v>32.158900000000003</v>
      </c>
      <c r="I900" s="66">
        <f>32.1658 * CHOOSE(CONTROL!$C$23, $C$12, 100%, $E$12)</f>
        <v>32.165799999999997</v>
      </c>
      <c r="J900" s="66">
        <f>32.1589 * CHOOSE(CONTROL!$C$23, $C$12, 100%, $E$12)</f>
        <v>32.158900000000003</v>
      </c>
      <c r="K900" s="66">
        <f>32.1658 * CHOOSE(CONTROL!$C$23, $C$12, 100%, $E$12)</f>
        <v>32.165799999999997</v>
      </c>
      <c r="L900" s="66">
        <f>17.1744 * CHOOSE(CONTROL!$C$23, $C$12, 100%, $E$12)</f>
        <v>17.174399999999999</v>
      </c>
      <c r="M900" s="66">
        <f>17.1813 * CHOOSE(CONTROL!$C$23, $C$12, 100%, $E$12)</f>
        <v>17.1813</v>
      </c>
      <c r="N900" s="66">
        <f>17.1744 * CHOOSE(CONTROL!$C$23, $C$12, 100%, $E$12)</f>
        <v>17.174399999999999</v>
      </c>
      <c r="O900" s="66">
        <f>17.1813 * CHOOSE(CONTROL!$C$23, $C$12, 100%, $E$12)</f>
        <v>17.1813</v>
      </c>
    </row>
    <row r="901" spans="1:15" ht="15">
      <c r="A901" s="13">
        <v>68576</v>
      </c>
      <c r="B901" s="65">
        <f>15.2901 * CHOOSE(CONTROL!$C$23, $C$12, 100%, $E$12)</f>
        <v>15.290100000000001</v>
      </c>
      <c r="C901" s="65">
        <f>15.2901 * CHOOSE(CONTROL!$C$23, $C$12, 100%, $E$12)</f>
        <v>15.290100000000001</v>
      </c>
      <c r="D901" s="65">
        <f>15.2941 * CHOOSE(CONTROL!$C$23, $C$12, 100%, $E$12)</f>
        <v>15.2941</v>
      </c>
      <c r="E901" s="66">
        <f>17.2899 * CHOOSE(CONTROL!$C$23, $C$12, 100%, $E$12)</f>
        <v>17.289899999999999</v>
      </c>
      <c r="F901" s="66">
        <f>17.2899 * CHOOSE(CONTROL!$C$23, $C$12, 100%, $E$12)</f>
        <v>17.289899999999999</v>
      </c>
      <c r="G901" s="66">
        <f>17.2948 * CHOOSE(CONTROL!$C$23, $C$12, 100%, $E$12)</f>
        <v>17.294799999999999</v>
      </c>
      <c r="H901" s="66">
        <f>32.2259* CHOOSE(CONTROL!$C$23, $C$12, 100%, $E$12)</f>
        <v>32.225900000000003</v>
      </c>
      <c r="I901" s="66">
        <f>32.2308 * CHOOSE(CONTROL!$C$23, $C$12, 100%, $E$12)</f>
        <v>32.230800000000002</v>
      </c>
      <c r="J901" s="66">
        <f>32.2259 * CHOOSE(CONTROL!$C$23, $C$12, 100%, $E$12)</f>
        <v>32.225900000000003</v>
      </c>
      <c r="K901" s="66">
        <f>32.2308 * CHOOSE(CONTROL!$C$23, $C$12, 100%, $E$12)</f>
        <v>32.230800000000002</v>
      </c>
      <c r="L901" s="66">
        <f>17.2899 * CHOOSE(CONTROL!$C$23, $C$12, 100%, $E$12)</f>
        <v>17.289899999999999</v>
      </c>
      <c r="M901" s="66">
        <f>17.2948 * CHOOSE(CONTROL!$C$23, $C$12, 100%, $E$12)</f>
        <v>17.294799999999999</v>
      </c>
      <c r="N901" s="66">
        <f>17.2899 * CHOOSE(CONTROL!$C$23, $C$12, 100%, $E$12)</f>
        <v>17.289899999999999</v>
      </c>
      <c r="O901" s="66">
        <f>17.2948 * CHOOSE(CONTROL!$C$23, $C$12, 100%, $E$12)</f>
        <v>17.294799999999999</v>
      </c>
    </row>
    <row r="902" spans="1:15" ht="15">
      <c r="A902" s="13">
        <v>68607</v>
      </c>
      <c r="B902" s="65">
        <f>15.2931 * CHOOSE(CONTROL!$C$23, $C$12, 100%, $E$12)</f>
        <v>15.293100000000001</v>
      </c>
      <c r="C902" s="65">
        <f>15.2931 * CHOOSE(CONTROL!$C$23, $C$12, 100%, $E$12)</f>
        <v>15.293100000000001</v>
      </c>
      <c r="D902" s="65">
        <f>15.2971 * CHOOSE(CONTROL!$C$23, $C$12, 100%, $E$12)</f>
        <v>15.2971</v>
      </c>
      <c r="E902" s="66">
        <f>17.3564 * CHOOSE(CONTROL!$C$23, $C$12, 100%, $E$12)</f>
        <v>17.356400000000001</v>
      </c>
      <c r="F902" s="66">
        <f>17.3564 * CHOOSE(CONTROL!$C$23, $C$12, 100%, $E$12)</f>
        <v>17.356400000000001</v>
      </c>
      <c r="G902" s="66">
        <f>17.3613 * CHOOSE(CONTROL!$C$23, $C$12, 100%, $E$12)</f>
        <v>17.3613</v>
      </c>
      <c r="H902" s="66">
        <f>32.2931* CHOOSE(CONTROL!$C$23, $C$12, 100%, $E$12)</f>
        <v>32.293100000000003</v>
      </c>
      <c r="I902" s="66">
        <f>32.298 * CHOOSE(CONTROL!$C$23, $C$12, 100%, $E$12)</f>
        <v>32.298000000000002</v>
      </c>
      <c r="J902" s="66">
        <f>32.2931 * CHOOSE(CONTROL!$C$23, $C$12, 100%, $E$12)</f>
        <v>32.293100000000003</v>
      </c>
      <c r="K902" s="66">
        <f>32.298 * CHOOSE(CONTROL!$C$23, $C$12, 100%, $E$12)</f>
        <v>32.298000000000002</v>
      </c>
      <c r="L902" s="66">
        <f>17.3564 * CHOOSE(CONTROL!$C$23, $C$12, 100%, $E$12)</f>
        <v>17.356400000000001</v>
      </c>
      <c r="M902" s="66">
        <f>17.3613 * CHOOSE(CONTROL!$C$23, $C$12, 100%, $E$12)</f>
        <v>17.3613</v>
      </c>
      <c r="N902" s="66">
        <f>17.3564 * CHOOSE(CONTROL!$C$23, $C$12, 100%, $E$12)</f>
        <v>17.356400000000001</v>
      </c>
      <c r="O902" s="66">
        <f>17.3613 * CHOOSE(CONTROL!$C$23, $C$12, 100%, $E$12)</f>
        <v>17.3613</v>
      </c>
    </row>
    <row r="903" spans="1:15" ht="15">
      <c r="A903" s="13">
        <v>68637</v>
      </c>
      <c r="B903" s="65">
        <f>15.2931 * CHOOSE(CONTROL!$C$23, $C$12, 100%, $E$12)</f>
        <v>15.293100000000001</v>
      </c>
      <c r="C903" s="65">
        <f>15.2931 * CHOOSE(CONTROL!$C$23, $C$12, 100%, $E$12)</f>
        <v>15.293100000000001</v>
      </c>
      <c r="D903" s="65">
        <f>15.2971 * CHOOSE(CONTROL!$C$23, $C$12, 100%, $E$12)</f>
        <v>15.2971</v>
      </c>
      <c r="E903" s="66">
        <f>17.1953 * CHOOSE(CONTROL!$C$23, $C$12, 100%, $E$12)</f>
        <v>17.1953</v>
      </c>
      <c r="F903" s="66">
        <f>17.1953 * CHOOSE(CONTROL!$C$23, $C$12, 100%, $E$12)</f>
        <v>17.1953</v>
      </c>
      <c r="G903" s="66">
        <f>17.2003 * CHOOSE(CONTROL!$C$23, $C$12, 100%, $E$12)</f>
        <v>17.200299999999999</v>
      </c>
      <c r="H903" s="66">
        <f>32.3603* CHOOSE(CONTROL!$C$23, $C$12, 100%, $E$12)</f>
        <v>32.360300000000002</v>
      </c>
      <c r="I903" s="66">
        <f>32.3653 * CHOOSE(CONTROL!$C$23, $C$12, 100%, $E$12)</f>
        <v>32.365299999999998</v>
      </c>
      <c r="J903" s="66">
        <f>32.3603 * CHOOSE(CONTROL!$C$23, $C$12, 100%, $E$12)</f>
        <v>32.360300000000002</v>
      </c>
      <c r="K903" s="66">
        <f>32.3653 * CHOOSE(CONTROL!$C$23, $C$12, 100%, $E$12)</f>
        <v>32.365299999999998</v>
      </c>
      <c r="L903" s="66">
        <f>17.1953 * CHOOSE(CONTROL!$C$23, $C$12, 100%, $E$12)</f>
        <v>17.1953</v>
      </c>
      <c r="M903" s="66">
        <f>17.2003 * CHOOSE(CONTROL!$C$23, $C$12, 100%, $E$12)</f>
        <v>17.200299999999999</v>
      </c>
      <c r="N903" s="66">
        <f>17.1953 * CHOOSE(CONTROL!$C$23, $C$12, 100%, $E$12)</f>
        <v>17.1953</v>
      </c>
      <c r="O903" s="66">
        <f>17.2003 * CHOOSE(CONTROL!$C$23, $C$12, 100%, $E$12)</f>
        <v>17.200299999999999</v>
      </c>
    </row>
    <row r="904" spans="1:15" ht="15">
      <c r="A904" s="13">
        <v>68668</v>
      </c>
      <c r="B904" s="65">
        <f>15.2566 * CHOOSE(CONTROL!$C$23, $C$12, 100%, $E$12)</f>
        <v>15.256600000000001</v>
      </c>
      <c r="C904" s="65">
        <f>15.2566 * CHOOSE(CONTROL!$C$23, $C$12, 100%, $E$12)</f>
        <v>15.256600000000001</v>
      </c>
      <c r="D904" s="65">
        <f>15.2606 * CHOOSE(CONTROL!$C$23, $C$12, 100%, $E$12)</f>
        <v>15.2606</v>
      </c>
      <c r="E904" s="66">
        <f>17.2866 * CHOOSE(CONTROL!$C$23, $C$12, 100%, $E$12)</f>
        <v>17.2866</v>
      </c>
      <c r="F904" s="66">
        <f>17.2866 * CHOOSE(CONTROL!$C$23, $C$12, 100%, $E$12)</f>
        <v>17.2866</v>
      </c>
      <c r="G904" s="66">
        <f>17.2915 * CHOOSE(CONTROL!$C$23, $C$12, 100%, $E$12)</f>
        <v>17.291499999999999</v>
      </c>
      <c r="H904" s="66">
        <f>32.1105* CHOOSE(CONTROL!$C$23, $C$12, 100%, $E$12)</f>
        <v>32.110500000000002</v>
      </c>
      <c r="I904" s="66">
        <f>32.1154 * CHOOSE(CONTROL!$C$23, $C$12, 100%, $E$12)</f>
        <v>32.115400000000001</v>
      </c>
      <c r="J904" s="66">
        <f>32.1105 * CHOOSE(CONTROL!$C$23, $C$12, 100%, $E$12)</f>
        <v>32.110500000000002</v>
      </c>
      <c r="K904" s="66">
        <f>32.1154 * CHOOSE(CONTROL!$C$23, $C$12, 100%, $E$12)</f>
        <v>32.115400000000001</v>
      </c>
      <c r="L904" s="66">
        <f>17.2866 * CHOOSE(CONTROL!$C$23, $C$12, 100%, $E$12)</f>
        <v>17.2866</v>
      </c>
      <c r="M904" s="66">
        <f>17.2915 * CHOOSE(CONTROL!$C$23, $C$12, 100%, $E$12)</f>
        <v>17.291499999999999</v>
      </c>
      <c r="N904" s="66">
        <f>17.2866 * CHOOSE(CONTROL!$C$23, $C$12, 100%, $E$12)</f>
        <v>17.2866</v>
      </c>
      <c r="O904" s="66">
        <f>17.2915 * CHOOSE(CONTROL!$C$23, $C$12, 100%, $E$12)</f>
        <v>17.291499999999999</v>
      </c>
    </row>
    <row r="905" spans="1:15" ht="15">
      <c r="A905" s="13">
        <v>68699</v>
      </c>
      <c r="B905" s="65">
        <f>15.2536 * CHOOSE(CONTROL!$C$23, $C$12, 100%, $E$12)</f>
        <v>15.2536</v>
      </c>
      <c r="C905" s="65">
        <f>15.2536 * CHOOSE(CONTROL!$C$23, $C$12, 100%, $E$12)</f>
        <v>15.2536</v>
      </c>
      <c r="D905" s="65">
        <f>15.2575 * CHOOSE(CONTROL!$C$23, $C$12, 100%, $E$12)</f>
        <v>15.2575</v>
      </c>
      <c r="E905" s="66">
        <f>16.9752 * CHOOSE(CONTROL!$C$23, $C$12, 100%, $E$12)</f>
        <v>16.975200000000001</v>
      </c>
      <c r="F905" s="66">
        <f>16.9752 * CHOOSE(CONTROL!$C$23, $C$12, 100%, $E$12)</f>
        <v>16.975200000000001</v>
      </c>
      <c r="G905" s="66">
        <f>16.9801 * CHOOSE(CONTROL!$C$23, $C$12, 100%, $E$12)</f>
        <v>16.9801</v>
      </c>
      <c r="H905" s="66">
        <f>32.1774* CHOOSE(CONTROL!$C$23, $C$12, 100%, $E$12)</f>
        <v>32.177399999999999</v>
      </c>
      <c r="I905" s="66">
        <f>32.1823 * CHOOSE(CONTROL!$C$23, $C$12, 100%, $E$12)</f>
        <v>32.182299999999998</v>
      </c>
      <c r="J905" s="66">
        <f>32.1774 * CHOOSE(CONTROL!$C$23, $C$12, 100%, $E$12)</f>
        <v>32.177399999999999</v>
      </c>
      <c r="K905" s="66">
        <f>32.1823 * CHOOSE(CONTROL!$C$23, $C$12, 100%, $E$12)</f>
        <v>32.182299999999998</v>
      </c>
      <c r="L905" s="66">
        <f>16.9752 * CHOOSE(CONTROL!$C$23, $C$12, 100%, $E$12)</f>
        <v>16.975200000000001</v>
      </c>
      <c r="M905" s="66">
        <f>16.9801 * CHOOSE(CONTROL!$C$23, $C$12, 100%, $E$12)</f>
        <v>16.9801</v>
      </c>
      <c r="N905" s="66">
        <f>16.9752 * CHOOSE(CONTROL!$C$23, $C$12, 100%, $E$12)</f>
        <v>16.975200000000001</v>
      </c>
      <c r="O905" s="66">
        <f>16.9801 * CHOOSE(CONTROL!$C$23, $C$12, 100%, $E$12)</f>
        <v>16.9801</v>
      </c>
    </row>
    <row r="906" spans="1:15" ht="15">
      <c r="A906" s="13">
        <v>68728</v>
      </c>
      <c r="B906" s="65">
        <f>15.2505 * CHOOSE(CONTROL!$C$23, $C$12, 100%, $E$12)</f>
        <v>15.250500000000001</v>
      </c>
      <c r="C906" s="65">
        <f>15.2505 * CHOOSE(CONTROL!$C$23, $C$12, 100%, $E$12)</f>
        <v>15.250500000000001</v>
      </c>
      <c r="D906" s="65">
        <f>15.2545 * CHOOSE(CONTROL!$C$23, $C$12, 100%, $E$12)</f>
        <v>15.2545</v>
      </c>
      <c r="E906" s="66">
        <f>17.2169 * CHOOSE(CONTROL!$C$23, $C$12, 100%, $E$12)</f>
        <v>17.216899999999999</v>
      </c>
      <c r="F906" s="66">
        <f>17.2169 * CHOOSE(CONTROL!$C$23, $C$12, 100%, $E$12)</f>
        <v>17.216899999999999</v>
      </c>
      <c r="G906" s="66">
        <f>17.2218 * CHOOSE(CONTROL!$C$23, $C$12, 100%, $E$12)</f>
        <v>17.221800000000002</v>
      </c>
      <c r="H906" s="66">
        <f>32.2444* CHOOSE(CONTROL!$C$23, $C$12, 100%, $E$12)</f>
        <v>32.244399999999999</v>
      </c>
      <c r="I906" s="66">
        <f>32.2493 * CHOOSE(CONTROL!$C$23, $C$12, 100%, $E$12)</f>
        <v>32.249299999999998</v>
      </c>
      <c r="J906" s="66">
        <f>32.2444 * CHOOSE(CONTROL!$C$23, $C$12, 100%, $E$12)</f>
        <v>32.244399999999999</v>
      </c>
      <c r="K906" s="66">
        <f>32.2493 * CHOOSE(CONTROL!$C$23, $C$12, 100%, $E$12)</f>
        <v>32.249299999999998</v>
      </c>
      <c r="L906" s="66">
        <f>17.2169 * CHOOSE(CONTROL!$C$23, $C$12, 100%, $E$12)</f>
        <v>17.216899999999999</v>
      </c>
      <c r="M906" s="66">
        <f>17.2218 * CHOOSE(CONTROL!$C$23, $C$12, 100%, $E$12)</f>
        <v>17.221800000000002</v>
      </c>
      <c r="N906" s="66">
        <f>17.2169 * CHOOSE(CONTROL!$C$23, $C$12, 100%, $E$12)</f>
        <v>17.216899999999999</v>
      </c>
      <c r="O906" s="66">
        <f>17.2218 * CHOOSE(CONTROL!$C$23, $C$12, 100%, $E$12)</f>
        <v>17.221800000000002</v>
      </c>
    </row>
    <row r="907" spans="1:15" ht="15">
      <c r="A907" s="13">
        <v>68759</v>
      </c>
      <c r="B907" s="65">
        <f>15.2576 * CHOOSE(CONTROL!$C$23, $C$12, 100%, $E$12)</f>
        <v>15.2576</v>
      </c>
      <c r="C907" s="65">
        <f>15.2576 * CHOOSE(CONTROL!$C$23, $C$12, 100%, $E$12)</f>
        <v>15.2576</v>
      </c>
      <c r="D907" s="65">
        <f>15.2616 * CHOOSE(CONTROL!$C$23, $C$12, 100%, $E$12)</f>
        <v>15.2616</v>
      </c>
      <c r="E907" s="66">
        <f>17.4745 * CHOOSE(CONTROL!$C$23, $C$12, 100%, $E$12)</f>
        <v>17.474499999999999</v>
      </c>
      <c r="F907" s="66">
        <f>17.4745 * CHOOSE(CONTROL!$C$23, $C$12, 100%, $E$12)</f>
        <v>17.474499999999999</v>
      </c>
      <c r="G907" s="66">
        <f>17.4794 * CHOOSE(CONTROL!$C$23, $C$12, 100%, $E$12)</f>
        <v>17.479399999999998</v>
      </c>
      <c r="H907" s="66">
        <f>32.3116* CHOOSE(CONTROL!$C$23, $C$12, 100%, $E$12)</f>
        <v>32.311599999999999</v>
      </c>
      <c r="I907" s="66">
        <f>32.3165 * CHOOSE(CONTROL!$C$23, $C$12, 100%, $E$12)</f>
        <v>32.316499999999998</v>
      </c>
      <c r="J907" s="66">
        <f>32.3116 * CHOOSE(CONTROL!$C$23, $C$12, 100%, $E$12)</f>
        <v>32.311599999999999</v>
      </c>
      <c r="K907" s="66">
        <f>32.3165 * CHOOSE(CONTROL!$C$23, $C$12, 100%, $E$12)</f>
        <v>32.316499999999998</v>
      </c>
      <c r="L907" s="66">
        <f>17.4745 * CHOOSE(CONTROL!$C$23, $C$12, 100%, $E$12)</f>
        <v>17.474499999999999</v>
      </c>
      <c r="M907" s="66">
        <f>17.4794 * CHOOSE(CONTROL!$C$23, $C$12, 100%, $E$12)</f>
        <v>17.479399999999998</v>
      </c>
      <c r="N907" s="66">
        <f>17.4745 * CHOOSE(CONTROL!$C$23, $C$12, 100%, $E$12)</f>
        <v>17.474499999999999</v>
      </c>
      <c r="O907" s="66">
        <f>17.4794 * CHOOSE(CONTROL!$C$23, $C$12, 100%, $E$12)</f>
        <v>17.479399999999998</v>
      </c>
    </row>
    <row r="908" spans="1:15" ht="15">
      <c r="A908" s="13">
        <v>68789</v>
      </c>
      <c r="B908" s="65">
        <f>15.2576 * CHOOSE(CONTROL!$C$23, $C$12, 100%, $E$12)</f>
        <v>15.2576</v>
      </c>
      <c r="C908" s="65">
        <f>15.2576 * CHOOSE(CONTROL!$C$23, $C$12, 100%, $E$12)</f>
        <v>15.2576</v>
      </c>
      <c r="D908" s="65">
        <f>15.2632 * CHOOSE(CONTROL!$C$23, $C$12, 100%, $E$12)</f>
        <v>15.263199999999999</v>
      </c>
      <c r="E908" s="66">
        <f>17.5727 * CHOOSE(CONTROL!$C$23, $C$12, 100%, $E$12)</f>
        <v>17.572700000000001</v>
      </c>
      <c r="F908" s="66">
        <f>17.5727 * CHOOSE(CONTROL!$C$23, $C$12, 100%, $E$12)</f>
        <v>17.572700000000001</v>
      </c>
      <c r="G908" s="66">
        <f>17.5796 * CHOOSE(CONTROL!$C$23, $C$12, 100%, $E$12)</f>
        <v>17.579599999999999</v>
      </c>
      <c r="H908" s="66">
        <f>32.3789* CHOOSE(CONTROL!$C$23, $C$12, 100%, $E$12)</f>
        <v>32.378900000000002</v>
      </c>
      <c r="I908" s="66">
        <f>32.3858 * CHOOSE(CONTROL!$C$23, $C$12, 100%, $E$12)</f>
        <v>32.385800000000003</v>
      </c>
      <c r="J908" s="66">
        <f>32.3789 * CHOOSE(CONTROL!$C$23, $C$12, 100%, $E$12)</f>
        <v>32.378900000000002</v>
      </c>
      <c r="K908" s="66">
        <f>32.3858 * CHOOSE(CONTROL!$C$23, $C$12, 100%, $E$12)</f>
        <v>32.385800000000003</v>
      </c>
      <c r="L908" s="66">
        <f>17.5727 * CHOOSE(CONTROL!$C$23, $C$12, 100%, $E$12)</f>
        <v>17.572700000000001</v>
      </c>
      <c r="M908" s="66">
        <f>17.5796 * CHOOSE(CONTROL!$C$23, $C$12, 100%, $E$12)</f>
        <v>17.579599999999999</v>
      </c>
      <c r="N908" s="66">
        <f>17.5727 * CHOOSE(CONTROL!$C$23, $C$12, 100%, $E$12)</f>
        <v>17.572700000000001</v>
      </c>
      <c r="O908" s="66">
        <f>17.5796 * CHOOSE(CONTROL!$C$23, $C$12, 100%, $E$12)</f>
        <v>17.579599999999999</v>
      </c>
    </row>
    <row r="909" spans="1:15" ht="15">
      <c r="A909" s="13">
        <v>68820</v>
      </c>
      <c r="B909" s="65">
        <f>15.2637 * CHOOSE(CONTROL!$C$23, $C$12, 100%, $E$12)</f>
        <v>15.2637</v>
      </c>
      <c r="C909" s="65">
        <f>15.2637 * CHOOSE(CONTROL!$C$23, $C$12, 100%, $E$12)</f>
        <v>15.2637</v>
      </c>
      <c r="D909" s="65">
        <f>15.2693 * CHOOSE(CONTROL!$C$23, $C$12, 100%, $E$12)</f>
        <v>15.269299999999999</v>
      </c>
      <c r="E909" s="66">
        <f>17.4787 * CHOOSE(CONTROL!$C$23, $C$12, 100%, $E$12)</f>
        <v>17.4787</v>
      </c>
      <c r="F909" s="66">
        <f>17.4787 * CHOOSE(CONTROL!$C$23, $C$12, 100%, $E$12)</f>
        <v>17.4787</v>
      </c>
      <c r="G909" s="66">
        <f>17.4856 * CHOOSE(CONTROL!$C$23, $C$12, 100%, $E$12)</f>
        <v>17.485600000000002</v>
      </c>
      <c r="H909" s="66">
        <f>32.4464* CHOOSE(CONTROL!$C$23, $C$12, 100%, $E$12)</f>
        <v>32.446399999999997</v>
      </c>
      <c r="I909" s="66">
        <f>32.4532 * CHOOSE(CONTROL!$C$23, $C$12, 100%, $E$12)</f>
        <v>32.453200000000002</v>
      </c>
      <c r="J909" s="66">
        <f>32.4464 * CHOOSE(CONTROL!$C$23, $C$12, 100%, $E$12)</f>
        <v>32.446399999999997</v>
      </c>
      <c r="K909" s="66">
        <f>32.4532 * CHOOSE(CONTROL!$C$23, $C$12, 100%, $E$12)</f>
        <v>32.453200000000002</v>
      </c>
      <c r="L909" s="66">
        <f>17.4787 * CHOOSE(CONTROL!$C$23, $C$12, 100%, $E$12)</f>
        <v>17.4787</v>
      </c>
      <c r="M909" s="66">
        <f>17.4856 * CHOOSE(CONTROL!$C$23, $C$12, 100%, $E$12)</f>
        <v>17.485600000000002</v>
      </c>
      <c r="N909" s="66">
        <f>17.4787 * CHOOSE(CONTROL!$C$23, $C$12, 100%, $E$12)</f>
        <v>17.4787</v>
      </c>
      <c r="O909" s="66">
        <f>17.4856 * CHOOSE(CONTROL!$C$23, $C$12, 100%, $E$12)</f>
        <v>17.485600000000002</v>
      </c>
    </row>
    <row r="910" spans="1:15" ht="15">
      <c r="A910" s="13">
        <v>68850</v>
      </c>
      <c r="B910" s="65">
        <f>15.4943 * CHOOSE(CONTROL!$C$23, $C$12, 100%, $E$12)</f>
        <v>15.494300000000001</v>
      </c>
      <c r="C910" s="65">
        <f>15.4943 * CHOOSE(CONTROL!$C$23, $C$12, 100%, $E$12)</f>
        <v>15.494300000000001</v>
      </c>
      <c r="D910" s="65">
        <f>15.5 * CHOOSE(CONTROL!$C$23, $C$12, 100%, $E$12)</f>
        <v>15.5</v>
      </c>
      <c r="E910" s="66">
        <f>17.7558 * CHOOSE(CONTROL!$C$23, $C$12, 100%, $E$12)</f>
        <v>17.755800000000001</v>
      </c>
      <c r="F910" s="66">
        <f>17.7558 * CHOOSE(CONTROL!$C$23, $C$12, 100%, $E$12)</f>
        <v>17.755800000000001</v>
      </c>
      <c r="G910" s="66">
        <f>17.7626 * CHOOSE(CONTROL!$C$23, $C$12, 100%, $E$12)</f>
        <v>17.762599999999999</v>
      </c>
      <c r="H910" s="66">
        <f>32.514* CHOOSE(CONTROL!$C$23, $C$12, 100%, $E$12)</f>
        <v>32.514000000000003</v>
      </c>
      <c r="I910" s="66">
        <f>32.5208 * CHOOSE(CONTROL!$C$23, $C$12, 100%, $E$12)</f>
        <v>32.520800000000001</v>
      </c>
      <c r="J910" s="66">
        <f>32.514 * CHOOSE(CONTROL!$C$23, $C$12, 100%, $E$12)</f>
        <v>32.514000000000003</v>
      </c>
      <c r="K910" s="66">
        <f>32.5208 * CHOOSE(CONTROL!$C$23, $C$12, 100%, $E$12)</f>
        <v>32.520800000000001</v>
      </c>
      <c r="L910" s="66">
        <f>17.7558 * CHOOSE(CONTROL!$C$23, $C$12, 100%, $E$12)</f>
        <v>17.755800000000001</v>
      </c>
      <c r="M910" s="66">
        <f>17.7626 * CHOOSE(CONTROL!$C$23, $C$12, 100%, $E$12)</f>
        <v>17.762599999999999</v>
      </c>
      <c r="N910" s="66">
        <f>17.7558 * CHOOSE(CONTROL!$C$23, $C$12, 100%, $E$12)</f>
        <v>17.755800000000001</v>
      </c>
      <c r="O910" s="66">
        <f>17.7626 * CHOOSE(CONTROL!$C$23, $C$12, 100%, $E$12)</f>
        <v>17.762599999999999</v>
      </c>
    </row>
    <row r="911" spans="1:15" ht="15">
      <c r="A911" s="13">
        <v>68881</v>
      </c>
      <c r="B911" s="65">
        <f>15.501 * CHOOSE(CONTROL!$C$23, $C$12, 100%, $E$12)</f>
        <v>15.500999999999999</v>
      </c>
      <c r="C911" s="65">
        <f>15.501 * CHOOSE(CONTROL!$C$23, $C$12, 100%, $E$12)</f>
        <v>15.500999999999999</v>
      </c>
      <c r="D911" s="65">
        <f>15.5066 * CHOOSE(CONTROL!$C$23, $C$12, 100%, $E$12)</f>
        <v>15.506600000000001</v>
      </c>
      <c r="E911" s="66">
        <f>17.4658 * CHOOSE(CONTROL!$C$23, $C$12, 100%, $E$12)</f>
        <v>17.465800000000002</v>
      </c>
      <c r="F911" s="66">
        <f>17.4658 * CHOOSE(CONTROL!$C$23, $C$12, 100%, $E$12)</f>
        <v>17.465800000000002</v>
      </c>
      <c r="G911" s="66">
        <f>17.4727 * CHOOSE(CONTROL!$C$23, $C$12, 100%, $E$12)</f>
        <v>17.4727</v>
      </c>
      <c r="H911" s="66">
        <f>32.5817* CHOOSE(CONTROL!$C$23, $C$12, 100%, $E$12)</f>
        <v>32.581699999999998</v>
      </c>
      <c r="I911" s="66">
        <f>32.5886 * CHOOSE(CONTROL!$C$23, $C$12, 100%, $E$12)</f>
        <v>32.5886</v>
      </c>
      <c r="J911" s="66">
        <f>32.5817 * CHOOSE(CONTROL!$C$23, $C$12, 100%, $E$12)</f>
        <v>32.581699999999998</v>
      </c>
      <c r="K911" s="66">
        <f>32.5886 * CHOOSE(CONTROL!$C$23, $C$12, 100%, $E$12)</f>
        <v>32.5886</v>
      </c>
      <c r="L911" s="66">
        <f>17.4658 * CHOOSE(CONTROL!$C$23, $C$12, 100%, $E$12)</f>
        <v>17.465800000000002</v>
      </c>
      <c r="M911" s="66">
        <f>17.4727 * CHOOSE(CONTROL!$C$23, $C$12, 100%, $E$12)</f>
        <v>17.4727</v>
      </c>
      <c r="N911" s="66">
        <f>17.4658 * CHOOSE(CONTROL!$C$23, $C$12, 100%, $E$12)</f>
        <v>17.465800000000002</v>
      </c>
      <c r="O911" s="66">
        <f>17.4727 * CHOOSE(CONTROL!$C$23, $C$12, 100%, $E$12)</f>
        <v>17.4727</v>
      </c>
    </row>
    <row r="912" spans="1:15" ht="15">
      <c r="A912" s="13">
        <v>68912</v>
      </c>
      <c r="B912" s="65">
        <f>15.498 * CHOOSE(CONTROL!$C$23, $C$12, 100%, $E$12)</f>
        <v>15.497999999999999</v>
      </c>
      <c r="C912" s="65">
        <f>15.498 * CHOOSE(CONTROL!$C$23, $C$12, 100%, $E$12)</f>
        <v>15.497999999999999</v>
      </c>
      <c r="D912" s="65">
        <f>15.5036 * CHOOSE(CONTROL!$C$23, $C$12, 100%, $E$12)</f>
        <v>15.5036</v>
      </c>
      <c r="E912" s="66">
        <f>17.431 * CHOOSE(CONTROL!$C$23, $C$12, 100%, $E$12)</f>
        <v>17.431000000000001</v>
      </c>
      <c r="F912" s="66">
        <f>17.431 * CHOOSE(CONTROL!$C$23, $C$12, 100%, $E$12)</f>
        <v>17.431000000000001</v>
      </c>
      <c r="G912" s="66">
        <f>17.4379 * CHOOSE(CONTROL!$C$23, $C$12, 100%, $E$12)</f>
        <v>17.437899999999999</v>
      </c>
      <c r="H912" s="66">
        <f>32.6496* CHOOSE(CONTROL!$C$23, $C$12, 100%, $E$12)</f>
        <v>32.6496</v>
      </c>
      <c r="I912" s="66">
        <f>32.6565 * CHOOSE(CONTROL!$C$23, $C$12, 100%, $E$12)</f>
        <v>32.656500000000001</v>
      </c>
      <c r="J912" s="66">
        <f>32.6496 * CHOOSE(CONTROL!$C$23, $C$12, 100%, $E$12)</f>
        <v>32.6496</v>
      </c>
      <c r="K912" s="66">
        <f>32.6565 * CHOOSE(CONTROL!$C$23, $C$12, 100%, $E$12)</f>
        <v>32.656500000000001</v>
      </c>
      <c r="L912" s="66">
        <f>17.431 * CHOOSE(CONTROL!$C$23, $C$12, 100%, $E$12)</f>
        <v>17.431000000000001</v>
      </c>
      <c r="M912" s="66">
        <f>17.4379 * CHOOSE(CONTROL!$C$23, $C$12, 100%, $E$12)</f>
        <v>17.437899999999999</v>
      </c>
      <c r="N912" s="66">
        <f>17.431 * CHOOSE(CONTROL!$C$23, $C$12, 100%, $E$12)</f>
        <v>17.431000000000001</v>
      </c>
      <c r="O912" s="66">
        <f>17.4379 * CHOOSE(CONTROL!$C$23, $C$12, 100%, $E$12)</f>
        <v>17.437899999999999</v>
      </c>
    </row>
    <row r="913" spans="1:15" ht="15">
      <c r="A913" s="13">
        <v>68942</v>
      </c>
      <c r="B913" s="65">
        <f>15.53 * CHOOSE(CONTROL!$C$23, $C$12, 100%, $E$12)</f>
        <v>15.53</v>
      </c>
      <c r="C913" s="65">
        <f>15.53 * CHOOSE(CONTROL!$C$23, $C$12, 100%, $E$12)</f>
        <v>15.53</v>
      </c>
      <c r="D913" s="65">
        <f>15.534 * CHOOSE(CONTROL!$C$23, $C$12, 100%, $E$12)</f>
        <v>15.534000000000001</v>
      </c>
      <c r="E913" s="66">
        <f>17.5485 * CHOOSE(CONTROL!$C$23, $C$12, 100%, $E$12)</f>
        <v>17.548500000000001</v>
      </c>
      <c r="F913" s="66">
        <f>17.5485 * CHOOSE(CONTROL!$C$23, $C$12, 100%, $E$12)</f>
        <v>17.548500000000001</v>
      </c>
      <c r="G913" s="66">
        <f>17.5534 * CHOOSE(CONTROL!$C$23, $C$12, 100%, $E$12)</f>
        <v>17.5534</v>
      </c>
      <c r="H913" s="66">
        <f>32.7176* CHOOSE(CONTROL!$C$23, $C$12, 100%, $E$12)</f>
        <v>32.717599999999997</v>
      </c>
      <c r="I913" s="66">
        <f>32.7225 * CHOOSE(CONTROL!$C$23, $C$12, 100%, $E$12)</f>
        <v>32.722499999999997</v>
      </c>
      <c r="J913" s="66">
        <f>32.7176 * CHOOSE(CONTROL!$C$23, $C$12, 100%, $E$12)</f>
        <v>32.717599999999997</v>
      </c>
      <c r="K913" s="66">
        <f>32.7225 * CHOOSE(CONTROL!$C$23, $C$12, 100%, $E$12)</f>
        <v>32.722499999999997</v>
      </c>
      <c r="L913" s="66">
        <f>17.5485 * CHOOSE(CONTROL!$C$23, $C$12, 100%, $E$12)</f>
        <v>17.548500000000001</v>
      </c>
      <c r="M913" s="66">
        <f>17.5534 * CHOOSE(CONTROL!$C$23, $C$12, 100%, $E$12)</f>
        <v>17.5534</v>
      </c>
      <c r="N913" s="66">
        <f>17.5485 * CHOOSE(CONTROL!$C$23, $C$12, 100%, $E$12)</f>
        <v>17.548500000000001</v>
      </c>
      <c r="O913" s="66">
        <f>17.5534 * CHOOSE(CONTROL!$C$23, $C$12, 100%, $E$12)</f>
        <v>17.5534</v>
      </c>
    </row>
    <row r="914" spans="1:15" ht="15">
      <c r="A914" s="13">
        <v>68973</v>
      </c>
      <c r="B914" s="65">
        <f>15.533 * CHOOSE(CONTROL!$C$23, $C$12, 100%, $E$12)</f>
        <v>15.532999999999999</v>
      </c>
      <c r="C914" s="65">
        <f>15.533 * CHOOSE(CONTROL!$C$23, $C$12, 100%, $E$12)</f>
        <v>15.532999999999999</v>
      </c>
      <c r="D914" s="65">
        <f>15.537 * CHOOSE(CONTROL!$C$23, $C$12, 100%, $E$12)</f>
        <v>15.537000000000001</v>
      </c>
      <c r="E914" s="66">
        <f>17.6161 * CHOOSE(CONTROL!$C$23, $C$12, 100%, $E$12)</f>
        <v>17.616099999999999</v>
      </c>
      <c r="F914" s="66">
        <f>17.6161 * CHOOSE(CONTROL!$C$23, $C$12, 100%, $E$12)</f>
        <v>17.616099999999999</v>
      </c>
      <c r="G914" s="66">
        <f>17.621 * CHOOSE(CONTROL!$C$23, $C$12, 100%, $E$12)</f>
        <v>17.620999999999999</v>
      </c>
      <c r="H914" s="66">
        <f>32.7857* CHOOSE(CONTROL!$C$23, $C$12, 100%, $E$12)</f>
        <v>32.785699999999999</v>
      </c>
      <c r="I914" s="66">
        <f>32.7907 * CHOOSE(CONTROL!$C$23, $C$12, 100%, $E$12)</f>
        <v>32.790700000000001</v>
      </c>
      <c r="J914" s="66">
        <f>32.7857 * CHOOSE(CONTROL!$C$23, $C$12, 100%, $E$12)</f>
        <v>32.785699999999999</v>
      </c>
      <c r="K914" s="66">
        <f>32.7907 * CHOOSE(CONTROL!$C$23, $C$12, 100%, $E$12)</f>
        <v>32.790700000000001</v>
      </c>
      <c r="L914" s="66">
        <f>17.6161 * CHOOSE(CONTROL!$C$23, $C$12, 100%, $E$12)</f>
        <v>17.616099999999999</v>
      </c>
      <c r="M914" s="66">
        <f>17.621 * CHOOSE(CONTROL!$C$23, $C$12, 100%, $E$12)</f>
        <v>17.620999999999999</v>
      </c>
      <c r="N914" s="66">
        <f>17.6161 * CHOOSE(CONTROL!$C$23, $C$12, 100%, $E$12)</f>
        <v>17.616099999999999</v>
      </c>
      <c r="O914" s="66">
        <f>17.621 * CHOOSE(CONTROL!$C$23, $C$12, 100%, $E$12)</f>
        <v>17.620999999999999</v>
      </c>
    </row>
    <row r="915" spans="1:15" ht="15">
      <c r="A915" s="13">
        <v>69003</v>
      </c>
      <c r="B915" s="65">
        <f>15.533 * CHOOSE(CONTROL!$C$23, $C$12, 100%, $E$12)</f>
        <v>15.532999999999999</v>
      </c>
      <c r="C915" s="65">
        <f>15.533 * CHOOSE(CONTROL!$C$23, $C$12, 100%, $E$12)</f>
        <v>15.532999999999999</v>
      </c>
      <c r="D915" s="65">
        <f>15.537 * CHOOSE(CONTROL!$C$23, $C$12, 100%, $E$12)</f>
        <v>15.537000000000001</v>
      </c>
      <c r="E915" s="66">
        <f>17.4524 * CHOOSE(CONTROL!$C$23, $C$12, 100%, $E$12)</f>
        <v>17.452400000000001</v>
      </c>
      <c r="F915" s="66">
        <f>17.4524 * CHOOSE(CONTROL!$C$23, $C$12, 100%, $E$12)</f>
        <v>17.452400000000001</v>
      </c>
      <c r="G915" s="66">
        <f>17.4573 * CHOOSE(CONTROL!$C$23, $C$12, 100%, $E$12)</f>
        <v>17.4573</v>
      </c>
      <c r="H915" s="66">
        <f>32.8541* CHOOSE(CONTROL!$C$23, $C$12, 100%, $E$12)</f>
        <v>32.854100000000003</v>
      </c>
      <c r="I915" s="66">
        <f>32.859 * CHOOSE(CONTROL!$C$23, $C$12, 100%, $E$12)</f>
        <v>32.859000000000002</v>
      </c>
      <c r="J915" s="66">
        <f>32.8541 * CHOOSE(CONTROL!$C$23, $C$12, 100%, $E$12)</f>
        <v>32.854100000000003</v>
      </c>
      <c r="K915" s="66">
        <f>32.859 * CHOOSE(CONTROL!$C$23, $C$12, 100%, $E$12)</f>
        <v>32.859000000000002</v>
      </c>
      <c r="L915" s="66">
        <f>17.4524 * CHOOSE(CONTROL!$C$23, $C$12, 100%, $E$12)</f>
        <v>17.452400000000001</v>
      </c>
      <c r="M915" s="66">
        <f>17.4573 * CHOOSE(CONTROL!$C$23, $C$12, 100%, $E$12)</f>
        <v>17.4573</v>
      </c>
      <c r="N915" s="66">
        <f>17.4524 * CHOOSE(CONTROL!$C$23, $C$12, 100%, $E$12)</f>
        <v>17.452400000000001</v>
      </c>
      <c r="O915" s="66">
        <f>17.4573 * CHOOSE(CONTROL!$C$23, $C$12, 100%, $E$12)</f>
        <v>17.4573</v>
      </c>
    </row>
    <row r="916" spans="1:15" ht="15">
      <c r="A916" s="13">
        <v>69034</v>
      </c>
      <c r="B916" s="65">
        <f>15.4922 * CHOOSE(CONTROL!$C$23, $C$12, 100%, $E$12)</f>
        <v>15.4922</v>
      </c>
      <c r="C916" s="65">
        <f>15.4922 * CHOOSE(CONTROL!$C$23, $C$12, 100%, $E$12)</f>
        <v>15.4922</v>
      </c>
      <c r="D916" s="65">
        <f>15.4962 * CHOOSE(CONTROL!$C$23, $C$12, 100%, $E$12)</f>
        <v>15.4962</v>
      </c>
      <c r="E916" s="66">
        <f>17.5413 * CHOOSE(CONTROL!$C$23, $C$12, 100%, $E$12)</f>
        <v>17.5413</v>
      </c>
      <c r="F916" s="66">
        <f>17.5413 * CHOOSE(CONTROL!$C$23, $C$12, 100%, $E$12)</f>
        <v>17.5413</v>
      </c>
      <c r="G916" s="66">
        <f>17.5462 * CHOOSE(CONTROL!$C$23, $C$12, 100%, $E$12)</f>
        <v>17.546199999999999</v>
      </c>
      <c r="H916" s="66">
        <f>32.593* CHOOSE(CONTROL!$C$23, $C$12, 100%, $E$12)</f>
        <v>32.593000000000004</v>
      </c>
      <c r="I916" s="66">
        <f>32.5979 * CHOOSE(CONTROL!$C$23, $C$12, 100%, $E$12)</f>
        <v>32.597900000000003</v>
      </c>
      <c r="J916" s="66">
        <f>32.593 * CHOOSE(CONTROL!$C$23, $C$12, 100%, $E$12)</f>
        <v>32.593000000000004</v>
      </c>
      <c r="K916" s="66">
        <f>32.5979 * CHOOSE(CONTROL!$C$23, $C$12, 100%, $E$12)</f>
        <v>32.597900000000003</v>
      </c>
      <c r="L916" s="66">
        <f>17.5413 * CHOOSE(CONTROL!$C$23, $C$12, 100%, $E$12)</f>
        <v>17.5413</v>
      </c>
      <c r="M916" s="66">
        <f>17.5462 * CHOOSE(CONTROL!$C$23, $C$12, 100%, $E$12)</f>
        <v>17.546199999999999</v>
      </c>
      <c r="N916" s="66">
        <f>17.5413 * CHOOSE(CONTROL!$C$23, $C$12, 100%, $E$12)</f>
        <v>17.5413</v>
      </c>
      <c r="O916" s="66">
        <f>17.5462 * CHOOSE(CONTROL!$C$23, $C$12, 100%, $E$12)</f>
        <v>17.546199999999999</v>
      </c>
    </row>
    <row r="917" spans="1:15" ht="15">
      <c r="A917" s="13">
        <v>69065</v>
      </c>
      <c r="B917" s="65">
        <f>15.4891 * CHOOSE(CONTROL!$C$23, $C$12, 100%, $E$12)</f>
        <v>15.489100000000001</v>
      </c>
      <c r="C917" s="65">
        <f>15.4891 * CHOOSE(CONTROL!$C$23, $C$12, 100%, $E$12)</f>
        <v>15.489100000000001</v>
      </c>
      <c r="D917" s="65">
        <f>15.4931 * CHOOSE(CONTROL!$C$23, $C$12, 100%, $E$12)</f>
        <v>15.4931</v>
      </c>
      <c r="E917" s="66">
        <f>17.225 * CHOOSE(CONTROL!$C$23, $C$12, 100%, $E$12)</f>
        <v>17.225000000000001</v>
      </c>
      <c r="F917" s="66">
        <f>17.225 * CHOOSE(CONTROL!$C$23, $C$12, 100%, $E$12)</f>
        <v>17.225000000000001</v>
      </c>
      <c r="G917" s="66">
        <f>17.2299 * CHOOSE(CONTROL!$C$23, $C$12, 100%, $E$12)</f>
        <v>17.229900000000001</v>
      </c>
      <c r="H917" s="66">
        <f>32.6609* CHOOSE(CONTROL!$C$23, $C$12, 100%, $E$12)</f>
        <v>32.660899999999998</v>
      </c>
      <c r="I917" s="66">
        <f>32.6658 * CHOOSE(CONTROL!$C$23, $C$12, 100%, $E$12)</f>
        <v>32.665799999999997</v>
      </c>
      <c r="J917" s="66">
        <f>32.6609 * CHOOSE(CONTROL!$C$23, $C$12, 100%, $E$12)</f>
        <v>32.660899999999998</v>
      </c>
      <c r="K917" s="66">
        <f>32.6658 * CHOOSE(CONTROL!$C$23, $C$12, 100%, $E$12)</f>
        <v>32.665799999999997</v>
      </c>
      <c r="L917" s="66">
        <f>17.225 * CHOOSE(CONTROL!$C$23, $C$12, 100%, $E$12)</f>
        <v>17.225000000000001</v>
      </c>
      <c r="M917" s="66">
        <f>17.2299 * CHOOSE(CONTROL!$C$23, $C$12, 100%, $E$12)</f>
        <v>17.229900000000001</v>
      </c>
      <c r="N917" s="66">
        <f>17.225 * CHOOSE(CONTROL!$C$23, $C$12, 100%, $E$12)</f>
        <v>17.225000000000001</v>
      </c>
      <c r="O917" s="66">
        <f>17.2299 * CHOOSE(CONTROL!$C$23, $C$12, 100%, $E$12)</f>
        <v>17.229900000000001</v>
      </c>
    </row>
    <row r="918" spans="1:15" ht="15">
      <c r="A918" s="13">
        <v>69093</v>
      </c>
      <c r="B918" s="65">
        <f>15.4861 * CHOOSE(CONTROL!$C$23, $C$12, 100%, $E$12)</f>
        <v>15.4861</v>
      </c>
      <c r="C918" s="65">
        <f>15.4861 * CHOOSE(CONTROL!$C$23, $C$12, 100%, $E$12)</f>
        <v>15.4861</v>
      </c>
      <c r="D918" s="65">
        <f>15.4901 * CHOOSE(CONTROL!$C$23, $C$12, 100%, $E$12)</f>
        <v>15.4901</v>
      </c>
      <c r="E918" s="66">
        <f>17.4706 * CHOOSE(CONTROL!$C$23, $C$12, 100%, $E$12)</f>
        <v>17.470600000000001</v>
      </c>
      <c r="F918" s="66">
        <f>17.4706 * CHOOSE(CONTROL!$C$23, $C$12, 100%, $E$12)</f>
        <v>17.470600000000001</v>
      </c>
      <c r="G918" s="66">
        <f>17.4755 * CHOOSE(CONTROL!$C$23, $C$12, 100%, $E$12)</f>
        <v>17.4755</v>
      </c>
      <c r="H918" s="66">
        <f>32.729* CHOOSE(CONTROL!$C$23, $C$12, 100%, $E$12)</f>
        <v>32.728999999999999</v>
      </c>
      <c r="I918" s="66">
        <f>32.7339 * CHOOSE(CONTROL!$C$23, $C$12, 100%, $E$12)</f>
        <v>32.733899999999998</v>
      </c>
      <c r="J918" s="66">
        <f>32.729 * CHOOSE(CONTROL!$C$23, $C$12, 100%, $E$12)</f>
        <v>32.728999999999999</v>
      </c>
      <c r="K918" s="66">
        <f>32.7339 * CHOOSE(CONTROL!$C$23, $C$12, 100%, $E$12)</f>
        <v>32.733899999999998</v>
      </c>
      <c r="L918" s="66">
        <f>17.4706 * CHOOSE(CONTROL!$C$23, $C$12, 100%, $E$12)</f>
        <v>17.470600000000001</v>
      </c>
      <c r="M918" s="66">
        <f>17.4755 * CHOOSE(CONTROL!$C$23, $C$12, 100%, $E$12)</f>
        <v>17.4755</v>
      </c>
      <c r="N918" s="66">
        <f>17.4706 * CHOOSE(CONTROL!$C$23, $C$12, 100%, $E$12)</f>
        <v>17.470600000000001</v>
      </c>
      <c r="O918" s="66">
        <f>17.4755 * CHOOSE(CONTROL!$C$23, $C$12, 100%, $E$12)</f>
        <v>17.4755</v>
      </c>
    </row>
    <row r="919" spans="1:15" ht="15">
      <c r="A919" s="13">
        <v>69124</v>
      </c>
      <c r="B919" s="65">
        <f>15.4933 * CHOOSE(CONTROL!$C$23, $C$12, 100%, $E$12)</f>
        <v>15.4933</v>
      </c>
      <c r="C919" s="65">
        <f>15.4933 * CHOOSE(CONTROL!$C$23, $C$12, 100%, $E$12)</f>
        <v>15.4933</v>
      </c>
      <c r="D919" s="65">
        <f>15.4973 * CHOOSE(CONTROL!$C$23, $C$12, 100%, $E$12)</f>
        <v>15.497299999999999</v>
      </c>
      <c r="E919" s="66">
        <f>17.7324 * CHOOSE(CONTROL!$C$23, $C$12, 100%, $E$12)</f>
        <v>17.732399999999998</v>
      </c>
      <c r="F919" s="66">
        <f>17.7324 * CHOOSE(CONTROL!$C$23, $C$12, 100%, $E$12)</f>
        <v>17.732399999999998</v>
      </c>
      <c r="G919" s="66">
        <f>17.7373 * CHOOSE(CONTROL!$C$23, $C$12, 100%, $E$12)</f>
        <v>17.737300000000001</v>
      </c>
      <c r="H919" s="66">
        <f>32.7972* CHOOSE(CONTROL!$C$23, $C$12, 100%, $E$12)</f>
        <v>32.797199999999997</v>
      </c>
      <c r="I919" s="66">
        <f>32.8021 * CHOOSE(CONTROL!$C$23, $C$12, 100%, $E$12)</f>
        <v>32.802100000000003</v>
      </c>
      <c r="J919" s="66">
        <f>32.7972 * CHOOSE(CONTROL!$C$23, $C$12, 100%, $E$12)</f>
        <v>32.797199999999997</v>
      </c>
      <c r="K919" s="66">
        <f>32.8021 * CHOOSE(CONTROL!$C$23, $C$12, 100%, $E$12)</f>
        <v>32.802100000000003</v>
      </c>
      <c r="L919" s="66">
        <f>17.7324 * CHOOSE(CONTROL!$C$23, $C$12, 100%, $E$12)</f>
        <v>17.732399999999998</v>
      </c>
      <c r="M919" s="66">
        <f>17.7373 * CHOOSE(CONTROL!$C$23, $C$12, 100%, $E$12)</f>
        <v>17.737300000000001</v>
      </c>
      <c r="N919" s="66">
        <f>17.7324 * CHOOSE(CONTROL!$C$23, $C$12, 100%, $E$12)</f>
        <v>17.732399999999998</v>
      </c>
      <c r="O919" s="66">
        <f>17.7373 * CHOOSE(CONTROL!$C$23, $C$12, 100%, $E$12)</f>
        <v>17.737300000000001</v>
      </c>
    </row>
    <row r="920" spans="1:15" ht="15">
      <c r="A920" s="13">
        <v>69154</v>
      </c>
      <c r="B920" s="65">
        <f>15.4933 * CHOOSE(CONTROL!$C$23, $C$12, 100%, $E$12)</f>
        <v>15.4933</v>
      </c>
      <c r="C920" s="65">
        <f>15.4933 * CHOOSE(CONTROL!$C$23, $C$12, 100%, $E$12)</f>
        <v>15.4933</v>
      </c>
      <c r="D920" s="65">
        <f>15.499 * CHOOSE(CONTROL!$C$23, $C$12, 100%, $E$12)</f>
        <v>15.499000000000001</v>
      </c>
      <c r="E920" s="66">
        <f>17.8321 * CHOOSE(CONTROL!$C$23, $C$12, 100%, $E$12)</f>
        <v>17.832100000000001</v>
      </c>
      <c r="F920" s="66">
        <f>17.8321 * CHOOSE(CONTROL!$C$23, $C$12, 100%, $E$12)</f>
        <v>17.832100000000001</v>
      </c>
      <c r="G920" s="66">
        <f>17.839 * CHOOSE(CONTROL!$C$23, $C$12, 100%, $E$12)</f>
        <v>17.838999999999999</v>
      </c>
      <c r="H920" s="66">
        <f>32.8655* CHOOSE(CONTROL!$C$23, $C$12, 100%, $E$12)</f>
        <v>32.865499999999997</v>
      </c>
      <c r="I920" s="66">
        <f>32.8724 * CHOOSE(CONTROL!$C$23, $C$12, 100%, $E$12)</f>
        <v>32.872399999999999</v>
      </c>
      <c r="J920" s="66">
        <f>32.8655 * CHOOSE(CONTROL!$C$23, $C$12, 100%, $E$12)</f>
        <v>32.865499999999997</v>
      </c>
      <c r="K920" s="66">
        <f>32.8724 * CHOOSE(CONTROL!$C$23, $C$12, 100%, $E$12)</f>
        <v>32.872399999999999</v>
      </c>
      <c r="L920" s="66">
        <f>17.8321 * CHOOSE(CONTROL!$C$23, $C$12, 100%, $E$12)</f>
        <v>17.832100000000001</v>
      </c>
      <c r="M920" s="66">
        <f>17.839 * CHOOSE(CONTROL!$C$23, $C$12, 100%, $E$12)</f>
        <v>17.838999999999999</v>
      </c>
      <c r="N920" s="66">
        <f>17.8321 * CHOOSE(CONTROL!$C$23, $C$12, 100%, $E$12)</f>
        <v>17.832100000000001</v>
      </c>
      <c r="O920" s="66">
        <f>17.839 * CHOOSE(CONTROL!$C$23, $C$12, 100%, $E$12)</f>
        <v>17.838999999999999</v>
      </c>
    </row>
    <row r="921" spans="1:15" ht="15">
      <c r="A921" s="13">
        <v>69185</v>
      </c>
      <c r="B921" s="65">
        <f>15.4994 * CHOOSE(CONTROL!$C$23, $C$12, 100%, $E$12)</f>
        <v>15.4994</v>
      </c>
      <c r="C921" s="65">
        <f>15.4994 * CHOOSE(CONTROL!$C$23, $C$12, 100%, $E$12)</f>
        <v>15.4994</v>
      </c>
      <c r="D921" s="65">
        <f>15.5051 * CHOOSE(CONTROL!$C$23, $C$12, 100%, $E$12)</f>
        <v>15.505100000000001</v>
      </c>
      <c r="E921" s="66">
        <f>17.7366 * CHOOSE(CONTROL!$C$23, $C$12, 100%, $E$12)</f>
        <v>17.736599999999999</v>
      </c>
      <c r="F921" s="66">
        <f>17.7366 * CHOOSE(CONTROL!$C$23, $C$12, 100%, $E$12)</f>
        <v>17.736599999999999</v>
      </c>
      <c r="G921" s="66">
        <f>17.7435 * CHOOSE(CONTROL!$C$23, $C$12, 100%, $E$12)</f>
        <v>17.743500000000001</v>
      </c>
      <c r="H921" s="66">
        <f>32.9339* CHOOSE(CONTROL!$C$23, $C$12, 100%, $E$12)</f>
        <v>32.933900000000001</v>
      </c>
      <c r="I921" s="66">
        <f>32.9408 * CHOOSE(CONTROL!$C$23, $C$12, 100%, $E$12)</f>
        <v>32.940800000000003</v>
      </c>
      <c r="J921" s="66">
        <f>32.9339 * CHOOSE(CONTROL!$C$23, $C$12, 100%, $E$12)</f>
        <v>32.933900000000001</v>
      </c>
      <c r="K921" s="66">
        <f>32.9408 * CHOOSE(CONTROL!$C$23, $C$12, 100%, $E$12)</f>
        <v>32.940800000000003</v>
      </c>
      <c r="L921" s="66">
        <f>17.7366 * CHOOSE(CONTROL!$C$23, $C$12, 100%, $E$12)</f>
        <v>17.736599999999999</v>
      </c>
      <c r="M921" s="66">
        <f>17.7435 * CHOOSE(CONTROL!$C$23, $C$12, 100%, $E$12)</f>
        <v>17.743500000000001</v>
      </c>
      <c r="N921" s="66">
        <f>17.7366 * CHOOSE(CONTROL!$C$23, $C$12, 100%, $E$12)</f>
        <v>17.736599999999999</v>
      </c>
      <c r="O921" s="66">
        <f>17.7435 * CHOOSE(CONTROL!$C$23, $C$12, 100%, $E$12)</f>
        <v>17.743500000000001</v>
      </c>
    </row>
    <row r="922" spans="1:15" ht="15">
      <c r="A922" s="13">
        <v>69215</v>
      </c>
      <c r="B922" s="65">
        <f>15.7335 * CHOOSE(CONTROL!$C$23, $C$12, 100%, $E$12)</f>
        <v>15.733499999999999</v>
      </c>
      <c r="C922" s="65">
        <f>15.7335 * CHOOSE(CONTROL!$C$23, $C$12, 100%, $E$12)</f>
        <v>15.733499999999999</v>
      </c>
      <c r="D922" s="65">
        <f>15.7391 * CHOOSE(CONTROL!$C$23, $C$12, 100%, $E$12)</f>
        <v>15.739100000000001</v>
      </c>
      <c r="E922" s="66">
        <f>18.0175 * CHOOSE(CONTROL!$C$23, $C$12, 100%, $E$12)</f>
        <v>18.017499999999998</v>
      </c>
      <c r="F922" s="66">
        <f>18.0175 * CHOOSE(CONTROL!$C$23, $C$12, 100%, $E$12)</f>
        <v>18.017499999999998</v>
      </c>
      <c r="G922" s="66">
        <f>18.0244 * CHOOSE(CONTROL!$C$23, $C$12, 100%, $E$12)</f>
        <v>18.0244</v>
      </c>
      <c r="H922" s="66">
        <f>33.0026* CHOOSE(CONTROL!$C$23, $C$12, 100%, $E$12)</f>
        <v>33.002600000000001</v>
      </c>
      <c r="I922" s="66">
        <f>33.0095 * CHOOSE(CONTROL!$C$23, $C$12, 100%, $E$12)</f>
        <v>33.009500000000003</v>
      </c>
      <c r="J922" s="66">
        <f>33.0026 * CHOOSE(CONTROL!$C$23, $C$12, 100%, $E$12)</f>
        <v>33.002600000000001</v>
      </c>
      <c r="K922" s="66">
        <f>33.0095 * CHOOSE(CONTROL!$C$23, $C$12, 100%, $E$12)</f>
        <v>33.009500000000003</v>
      </c>
      <c r="L922" s="66">
        <f>18.0175 * CHOOSE(CONTROL!$C$23, $C$12, 100%, $E$12)</f>
        <v>18.017499999999998</v>
      </c>
      <c r="M922" s="66">
        <f>18.0244 * CHOOSE(CONTROL!$C$23, $C$12, 100%, $E$12)</f>
        <v>18.0244</v>
      </c>
      <c r="N922" s="66">
        <f>18.0175 * CHOOSE(CONTROL!$C$23, $C$12, 100%, $E$12)</f>
        <v>18.017499999999998</v>
      </c>
      <c r="O922" s="66">
        <f>18.0244 * CHOOSE(CONTROL!$C$23, $C$12, 100%, $E$12)</f>
        <v>18.0244</v>
      </c>
    </row>
    <row r="923" spans="1:15" ht="15">
      <c r="A923" s="13">
        <v>69246</v>
      </c>
      <c r="B923" s="65">
        <f>15.7402 * CHOOSE(CONTROL!$C$23, $C$12, 100%, $E$12)</f>
        <v>15.7402</v>
      </c>
      <c r="C923" s="65">
        <f>15.7402 * CHOOSE(CONTROL!$C$23, $C$12, 100%, $E$12)</f>
        <v>15.7402</v>
      </c>
      <c r="D923" s="65">
        <f>15.7458 * CHOOSE(CONTROL!$C$23, $C$12, 100%, $E$12)</f>
        <v>15.745799999999999</v>
      </c>
      <c r="E923" s="66">
        <f>17.7229 * CHOOSE(CONTROL!$C$23, $C$12, 100%, $E$12)</f>
        <v>17.722899999999999</v>
      </c>
      <c r="F923" s="66">
        <f>17.7229 * CHOOSE(CONTROL!$C$23, $C$12, 100%, $E$12)</f>
        <v>17.722899999999999</v>
      </c>
      <c r="G923" s="66">
        <f>17.7298 * CHOOSE(CONTROL!$C$23, $C$12, 100%, $E$12)</f>
        <v>17.729800000000001</v>
      </c>
      <c r="H923" s="66">
        <f>33.0713* CHOOSE(CONTROL!$C$23, $C$12, 100%, $E$12)</f>
        <v>33.071300000000001</v>
      </c>
      <c r="I923" s="66">
        <f>33.0782 * CHOOSE(CONTROL!$C$23, $C$12, 100%, $E$12)</f>
        <v>33.078200000000002</v>
      </c>
      <c r="J923" s="66">
        <f>33.0713 * CHOOSE(CONTROL!$C$23, $C$12, 100%, $E$12)</f>
        <v>33.071300000000001</v>
      </c>
      <c r="K923" s="66">
        <f>33.0782 * CHOOSE(CONTROL!$C$23, $C$12, 100%, $E$12)</f>
        <v>33.078200000000002</v>
      </c>
      <c r="L923" s="66">
        <f>17.7229 * CHOOSE(CONTROL!$C$23, $C$12, 100%, $E$12)</f>
        <v>17.722899999999999</v>
      </c>
      <c r="M923" s="66">
        <f>17.7298 * CHOOSE(CONTROL!$C$23, $C$12, 100%, $E$12)</f>
        <v>17.729800000000001</v>
      </c>
      <c r="N923" s="66">
        <f>17.7229 * CHOOSE(CONTROL!$C$23, $C$12, 100%, $E$12)</f>
        <v>17.722899999999999</v>
      </c>
      <c r="O923" s="66">
        <f>17.7298 * CHOOSE(CONTROL!$C$23, $C$12, 100%, $E$12)</f>
        <v>17.729800000000001</v>
      </c>
    </row>
    <row r="924" spans="1:15" ht="15">
      <c r="A924" s="13">
        <v>69277</v>
      </c>
      <c r="B924" s="65">
        <f>15.7371 * CHOOSE(CONTROL!$C$23, $C$12, 100%, $E$12)</f>
        <v>15.7371</v>
      </c>
      <c r="C924" s="65">
        <f>15.7371 * CHOOSE(CONTROL!$C$23, $C$12, 100%, $E$12)</f>
        <v>15.7371</v>
      </c>
      <c r="D924" s="65">
        <f>15.7428 * CHOOSE(CONTROL!$C$23, $C$12, 100%, $E$12)</f>
        <v>15.742800000000001</v>
      </c>
      <c r="E924" s="66">
        <f>17.6875 * CHOOSE(CONTROL!$C$23, $C$12, 100%, $E$12)</f>
        <v>17.6875</v>
      </c>
      <c r="F924" s="66">
        <f>17.6875 * CHOOSE(CONTROL!$C$23, $C$12, 100%, $E$12)</f>
        <v>17.6875</v>
      </c>
      <c r="G924" s="66">
        <f>17.6944 * CHOOSE(CONTROL!$C$23, $C$12, 100%, $E$12)</f>
        <v>17.694400000000002</v>
      </c>
      <c r="H924" s="66">
        <f>33.1402* CHOOSE(CONTROL!$C$23, $C$12, 100%, $E$12)</f>
        <v>33.1402</v>
      </c>
      <c r="I924" s="66">
        <f>33.1471 * CHOOSE(CONTROL!$C$23, $C$12, 100%, $E$12)</f>
        <v>33.147100000000002</v>
      </c>
      <c r="J924" s="66">
        <f>33.1402 * CHOOSE(CONTROL!$C$23, $C$12, 100%, $E$12)</f>
        <v>33.1402</v>
      </c>
      <c r="K924" s="66">
        <f>33.1471 * CHOOSE(CONTROL!$C$23, $C$12, 100%, $E$12)</f>
        <v>33.147100000000002</v>
      </c>
      <c r="L924" s="66">
        <f>17.6875 * CHOOSE(CONTROL!$C$23, $C$12, 100%, $E$12)</f>
        <v>17.6875</v>
      </c>
      <c r="M924" s="66">
        <f>17.6944 * CHOOSE(CONTROL!$C$23, $C$12, 100%, $E$12)</f>
        <v>17.694400000000002</v>
      </c>
      <c r="N924" s="66">
        <f>17.6875 * CHOOSE(CONTROL!$C$23, $C$12, 100%, $E$12)</f>
        <v>17.6875</v>
      </c>
      <c r="O924" s="66">
        <f>17.6944 * CHOOSE(CONTROL!$C$23, $C$12, 100%, $E$12)</f>
        <v>17.694400000000002</v>
      </c>
    </row>
    <row r="925" spans="1:15" ht="15">
      <c r="A925" s="13">
        <v>69307</v>
      </c>
      <c r="B925" s="65">
        <f>15.7699 * CHOOSE(CONTROL!$C$23, $C$12, 100%, $E$12)</f>
        <v>15.7699</v>
      </c>
      <c r="C925" s="65">
        <f>15.7699 * CHOOSE(CONTROL!$C$23, $C$12, 100%, $E$12)</f>
        <v>15.7699</v>
      </c>
      <c r="D925" s="65">
        <f>15.7739 * CHOOSE(CONTROL!$C$23, $C$12, 100%, $E$12)</f>
        <v>15.773899999999999</v>
      </c>
      <c r="E925" s="66">
        <f>17.8071 * CHOOSE(CONTROL!$C$23, $C$12, 100%, $E$12)</f>
        <v>17.807099999999998</v>
      </c>
      <c r="F925" s="66">
        <f>17.8071 * CHOOSE(CONTROL!$C$23, $C$12, 100%, $E$12)</f>
        <v>17.807099999999998</v>
      </c>
      <c r="G925" s="66">
        <f>17.812 * CHOOSE(CONTROL!$C$23, $C$12, 100%, $E$12)</f>
        <v>17.812000000000001</v>
      </c>
      <c r="H925" s="66">
        <f>33.2093* CHOOSE(CONTROL!$C$23, $C$12, 100%, $E$12)</f>
        <v>33.209299999999999</v>
      </c>
      <c r="I925" s="66">
        <f>33.2142 * CHOOSE(CONTROL!$C$23, $C$12, 100%, $E$12)</f>
        <v>33.214199999999998</v>
      </c>
      <c r="J925" s="66">
        <f>33.2093 * CHOOSE(CONTROL!$C$23, $C$12, 100%, $E$12)</f>
        <v>33.209299999999999</v>
      </c>
      <c r="K925" s="66">
        <f>33.2142 * CHOOSE(CONTROL!$C$23, $C$12, 100%, $E$12)</f>
        <v>33.214199999999998</v>
      </c>
      <c r="L925" s="66">
        <f>17.8071 * CHOOSE(CONTROL!$C$23, $C$12, 100%, $E$12)</f>
        <v>17.807099999999998</v>
      </c>
      <c r="M925" s="66">
        <f>17.812 * CHOOSE(CONTROL!$C$23, $C$12, 100%, $E$12)</f>
        <v>17.812000000000001</v>
      </c>
      <c r="N925" s="66">
        <f>17.8071 * CHOOSE(CONTROL!$C$23, $C$12, 100%, $E$12)</f>
        <v>17.807099999999998</v>
      </c>
      <c r="O925" s="66">
        <f>17.812 * CHOOSE(CONTROL!$C$23, $C$12, 100%, $E$12)</f>
        <v>17.812000000000001</v>
      </c>
    </row>
    <row r="926" spans="1:15" ht="15">
      <c r="A926" s="13">
        <v>69338</v>
      </c>
      <c r="B926" s="65">
        <f>15.773 * CHOOSE(CONTROL!$C$23, $C$12, 100%, $E$12)</f>
        <v>15.773</v>
      </c>
      <c r="C926" s="65">
        <f>15.773 * CHOOSE(CONTROL!$C$23, $C$12, 100%, $E$12)</f>
        <v>15.773</v>
      </c>
      <c r="D926" s="65">
        <f>15.777 * CHOOSE(CONTROL!$C$23, $C$12, 100%, $E$12)</f>
        <v>15.776999999999999</v>
      </c>
      <c r="E926" s="66">
        <f>17.8758 * CHOOSE(CONTROL!$C$23, $C$12, 100%, $E$12)</f>
        <v>17.875800000000002</v>
      </c>
      <c r="F926" s="66">
        <f>17.8758 * CHOOSE(CONTROL!$C$23, $C$12, 100%, $E$12)</f>
        <v>17.875800000000002</v>
      </c>
      <c r="G926" s="66">
        <f>17.8807 * CHOOSE(CONTROL!$C$23, $C$12, 100%, $E$12)</f>
        <v>17.880700000000001</v>
      </c>
      <c r="H926" s="66">
        <f>33.2784* CHOOSE(CONTROL!$C$23, $C$12, 100%, $E$12)</f>
        <v>33.278399999999998</v>
      </c>
      <c r="I926" s="66">
        <f>33.2834 * CHOOSE(CONTROL!$C$23, $C$12, 100%, $E$12)</f>
        <v>33.2834</v>
      </c>
      <c r="J926" s="66">
        <f>33.2784 * CHOOSE(CONTROL!$C$23, $C$12, 100%, $E$12)</f>
        <v>33.278399999999998</v>
      </c>
      <c r="K926" s="66">
        <f>33.2834 * CHOOSE(CONTROL!$C$23, $C$12, 100%, $E$12)</f>
        <v>33.2834</v>
      </c>
      <c r="L926" s="66">
        <f>17.8758 * CHOOSE(CONTROL!$C$23, $C$12, 100%, $E$12)</f>
        <v>17.875800000000002</v>
      </c>
      <c r="M926" s="66">
        <f>17.8807 * CHOOSE(CONTROL!$C$23, $C$12, 100%, $E$12)</f>
        <v>17.880700000000001</v>
      </c>
      <c r="N926" s="66">
        <f>17.8758 * CHOOSE(CONTROL!$C$23, $C$12, 100%, $E$12)</f>
        <v>17.875800000000002</v>
      </c>
      <c r="O926" s="66">
        <f>17.8807 * CHOOSE(CONTROL!$C$23, $C$12, 100%, $E$12)</f>
        <v>17.880700000000001</v>
      </c>
    </row>
    <row r="927" spans="1:15" ht="15">
      <c r="A927" s="13">
        <v>69368</v>
      </c>
      <c r="B927" s="65">
        <f>15.773 * CHOOSE(CONTROL!$C$23, $C$12, 100%, $E$12)</f>
        <v>15.773</v>
      </c>
      <c r="C927" s="65">
        <f>15.773 * CHOOSE(CONTROL!$C$23, $C$12, 100%, $E$12)</f>
        <v>15.773</v>
      </c>
      <c r="D927" s="65">
        <f>15.777 * CHOOSE(CONTROL!$C$23, $C$12, 100%, $E$12)</f>
        <v>15.776999999999999</v>
      </c>
      <c r="E927" s="66">
        <f>17.7095 * CHOOSE(CONTROL!$C$23, $C$12, 100%, $E$12)</f>
        <v>17.709499999999998</v>
      </c>
      <c r="F927" s="66">
        <f>17.7095 * CHOOSE(CONTROL!$C$23, $C$12, 100%, $E$12)</f>
        <v>17.709499999999998</v>
      </c>
      <c r="G927" s="66">
        <f>17.7144 * CHOOSE(CONTROL!$C$23, $C$12, 100%, $E$12)</f>
        <v>17.714400000000001</v>
      </c>
      <c r="H927" s="66">
        <f>33.3478* CHOOSE(CONTROL!$C$23, $C$12, 100%, $E$12)</f>
        <v>33.347799999999999</v>
      </c>
      <c r="I927" s="66">
        <f>33.3527 * CHOOSE(CONTROL!$C$23, $C$12, 100%, $E$12)</f>
        <v>33.352699999999999</v>
      </c>
      <c r="J927" s="66">
        <f>33.3478 * CHOOSE(CONTROL!$C$23, $C$12, 100%, $E$12)</f>
        <v>33.347799999999999</v>
      </c>
      <c r="K927" s="66">
        <f>33.3527 * CHOOSE(CONTROL!$C$23, $C$12, 100%, $E$12)</f>
        <v>33.352699999999999</v>
      </c>
      <c r="L927" s="66">
        <f>17.7095 * CHOOSE(CONTROL!$C$23, $C$12, 100%, $E$12)</f>
        <v>17.709499999999998</v>
      </c>
      <c r="M927" s="66">
        <f>17.7144 * CHOOSE(CONTROL!$C$23, $C$12, 100%, $E$12)</f>
        <v>17.714400000000001</v>
      </c>
      <c r="N927" s="66">
        <f>17.7095 * CHOOSE(CONTROL!$C$23, $C$12, 100%, $E$12)</f>
        <v>17.709499999999998</v>
      </c>
      <c r="O927" s="66">
        <f>17.7144 * CHOOSE(CONTROL!$C$23, $C$12, 100%, $E$12)</f>
        <v>17.714400000000001</v>
      </c>
    </row>
    <row r="928" spans="1:15" ht="15">
      <c r="A928" s="13">
        <v>69399</v>
      </c>
      <c r="B928" s="65">
        <f>15.7277 * CHOOSE(CONTROL!$C$23, $C$12, 100%, $E$12)</f>
        <v>15.7277</v>
      </c>
      <c r="C928" s="65">
        <f>15.7277 * CHOOSE(CONTROL!$C$23, $C$12, 100%, $E$12)</f>
        <v>15.7277</v>
      </c>
      <c r="D928" s="65">
        <f>15.7317 * CHOOSE(CONTROL!$C$23, $C$12, 100%, $E$12)</f>
        <v>15.7317</v>
      </c>
      <c r="E928" s="66">
        <f>17.796 * CHOOSE(CONTROL!$C$23, $C$12, 100%, $E$12)</f>
        <v>17.795999999999999</v>
      </c>
      <c r="F928" s="66">
        <f>17.796 * CHOOSE(CONTROL!$C$23, $C$12, 100%, $E$12)</f>
        <v>17.795999999999999</v>
      </c>
      <c r="G928" s="66">
        <f>17.801 * CHOOSE(CONTROL!$C$23, $C$12, 100%, $E$12)</f>
        <v>17.800999999999998</v>
      </c>
      <c r="H928" s="66">
        <f>33.0756* CHOOSE(CONTROL!$C$23, $C$12, 100%, $E$12)</f>
        <v>33.075600000000001</v>
      </c>
      <c r="I928" s="66">
        <f>33.0805 * CHOOSE(CONTROL!$C$23, $C$12, 100%, $E$12)</f>
        <v>33.080500000000001</v>
      </c>
      <c r="J928" s="66">
        <f>33.0756 * CHOOSE(CONTROL!$C$23, $C$12, 100%, $E$12)</f>
        <v>33.075600000000001</v>
      </c>
      <c r="K928" s="66">
        <f>33.0805 * CHOOSE(CONTROL!$C$23, $C$12, 100%, $E$12)</f>
        <v>33.080500000000001</v>
      </c>
      <c r="L928" s="66">
        <f>17.796 * CHOOSE(CONTROL!$C$23, $C$12, 100%, $E$12)</f>
        <v>17.795999999999999</v>
      </c>
      <c r="M928" s="66">
        <f>17.801 * CHOOSE(CONTROL!$C$23, $C$12, 100%, $E$12)</f>
        <v>17.800999999999998</v>
      </c>
      <c r="N928" s="66">
        <f>17.796 * CHOOSE(CONTROL!$C$23, $C$12, 100%, $E$12)</f>
        <v>17.795999999999999</v>
      </c>
      <c r="O928" s="66">
        <f>17.801 * CHOOSE(CONTROL!$C$23, $C$12, 100%, $E$12)</f>
        <v>17.800999999999998</v>
      </c>
    </row>
    <row r="929" spans="1:15" ht="15">
      <c r="A929" s="13">
        <v>69430</v>
      </c>
      <c r="B929" s="65">
        <f>15.7247 * CHOOSE(CONTROL!$C$23, $C$12, 100%, $E$12)</f>
        <v>15.7247</v>
      </c>
      <c r="C929" s="65">
        <f>15.7247 * CHOOSE(CONTROL!$C$23, $C$12, 100%, $E$12)</f>
        <v>15.7247</v>
      </c>
      <c r="D929" s="65">
        <f>15.7287 * CHOOSE(CONTROL!$C$23, $C$12, 100%, $E$12)</f>
        <v>15.7287</v>
      </c>
      <c r="E929" s="66">
        <f>17.4747 * CHOOSE(CONTROL!$C$23, $C$12, 100%, $E$12)</f>
        <v>17.474699999999999</v>
      </c>
      <c r="F929" s="66">
        <f>17.4747 * CHOOSE(CONTROL!$C$23, $C$12, 100%, $E$12)</f>
        <v>17.474699999999999</v>
      </c>
      <c r="G929" s="66">
        <f>17.4797 * CHOOSE(CONTROL!$C$23, $C$12, 100%, $E$12)</f>
        <v>17.479700000000001</v>
      </c>
      <c r="H929" s="66">
        <f>33.1445* CHOOSE(CONTROL!$C$23, $C$12, 100%, $E$12)</f>
        <v>33.144500000000001</v>
      </c>
      <c r="I929" s="66">
        <f>33.1494 * CHOOSE(CONTROL!$C$23, $C$12, 100%, $E$12)</f>
        <v>33.1494</v>
      </c>
      <c r="J929" s="66">
        <f>33.1445 * CHOOSE(CONTROL!$C$23, $C$12, 100%, $E$12)</f>
        <v>33.144500000000001</v>
      </c>
      <c r="K929" s="66">
        <f>33.1494 * CHOOSE(CONTROL!$C$23, $C$12, 100%, $E$12)</f>
        <v>33.1494</v>
      </c>
      <c r="L929" s="66">
        <f>17.4747 * CHOOSE(CONTROL!$C$23, $C$12, 100%, $E$12)</f>
        <v>17.474699999999999</v>
      </c>
      <c r="M929" s="66">
        <f>17.4797 * CHOOSE(CONTROL!$C$23, $C$12, 100%, $E$12)</f>
        <v>17.479700000000001</v>
      </c>
      <c r="N929" s="66">
        <f>17.4747 * CHOOSE(CONTROL!$C$23, $C$12, 100%, $E$12)</f>
        <v>17.474699999999999</v>
      </c>
      <c r="O929" s="66">
        <f>17.4797 * CHOOSE(CONTROL!$C$23, $C$12, 100%, $E$12)</f>
        <v>17.479700000000001</v>
      </c>
    </row>
    <row r="930" spans="1:15" ht="15">
      <c r="A930" s="13">
        <v>69458</v>
      </c>
      <c r="B930" s="65">
        <f>15.7217 * CHOOSE(CONTROL!$C$23, $C$12, 100%, $E$12)</f>
        <v>15.7217</v>
      </c>
      <c r="C930" s="65">
        <f>15.7217 * CHOOSE(CONTROL!$C$23, $C$12, 100%, $E$12)</f>
        <v>15.7217</v>
      </c>
      <c r="D930" s="65">
        <f>15.7256 * CHOOSE(CONTROL!$C$23, $C$12, 100%, $E$12)</f>
        <v>15.7256</v>
      </c>
      <c r="E930" s="66">
        <f>17.7242 * CHOOSE(CONTROL!$C$23, $C$12, 100%, $E$12)</f>
        <v>17.7242</v>
      </c>
      <c r="F930" s="66">
        <f>17.7242 * CHOOSE(CONTROL!$C$23, $C$12, 100%, $E$12)</f>
        <v>17.7242</v>
      </c>
      <c r="G930" s="66">
        <f>17.7292 * CHOOSE(CONTROL!$C$23, $C$12, 100%, $E$12)</f>
        <v>17.729199999999999</v>
      </c>
      <c r="H930" s="66">
        <f>33.2135* CHOOSE(CONTROL!$C$23, $C$12, 100%, $E$12)</f>
        <v>33.213500000000003</v>
      </c>
      <c r="I930" s="66">
        <f>33.2184 * CHOOSE(CONTROL!$C$23, $C$12, 100%, $E$12)</f>
        <v>33.218400000000003</v>
      </c>
      <c r="J930" s="66">
        <f>33.2135 * CHOOSE(CONTROL!$C$23, $C$12, 100%, $E$12)</f>
        <v>33.213500000000003</v>
      </c>
      <c r="K930" s="66">
        <f>33.2184 * CHOOSE(CONTROL!$C$23, $C$12, 100%, $E$12)</f>
        <v>33.218400000000003</v>
      </c>
      <c r="L930" s="66">
        <f>17.7242 * CHOOSE(CONTROL!$C$23, $C$12, 100%, $E$12)</f>
        <v>17.7242</v>
      </c>
      <c r="M930" s="66">
        <f>17.7292 * CHOOSE(CONTROL!$C$23, $C$12, 100%, $E$12)</f>
        <v>17.729199999999999</v>
      </c>
      <c r="N930" s="66">
        <f>17.7242 * CHOOSE(CONTROL!$C$23, $C$12, 100%, $E$12)</f>
        <v>17.7242</v>
      </c>
      <c r="O930" s="66">
        <f>17.7292 * CHOOSE(CONTROL!$C$23, $C$12, 100%, $E$12)</f>
        <v>17.729199999999999</v>
      </c>
    </row>
    <row r="931" spans="1:15" ht="15">
      <c r="A931" s="13">
        <v>69489</v>
      </c>
      <c r="B931" s="65">
        <f>15.7291 * CHOOSE(CONTROL!$C$23, $C$12, 100%, $E$12)</f>
        <v>15.729100000000001</v>
      </c>
      <c r="C931" s="65">
        <f>15.7291 * CHOOSE(CONTROL!$C$23, $C$12, 100%, $E$12)</f>
        <v>15.729100000000001</v>
      </c>
      <c r="D931" s="65">
        <f>15.7331 * CHOOSE(CONTROL!$C$23, $C$12, 100%, $E$12)</f>
        <v>15.7331</v>
      </c>
      <c r="E931" s="66">
        <f>17.9902 * CHOOSE(CONTROL!$C$23, $C$12, 100%, $E$12)</f>
        <v>17.990200000000002</v>
      </c>
      <c r="F931" s="66">
        <f>17.9902 * CHOOSE(CONTROL!$C$23, $C$12, 100%, $E$12)</f>
        <v>17.990200000000002</v>
      </c>
      <c r="G931" s="66">
        <f>17.9951 * CHOOSE(CONTROL!$C$23, $C$12, 100%, $E$12)</f>
        <v>17.995100000000001</v>
      </c>
      <c r="H931" s="66">
        <f>33.2827* CHOOSE(CONTROL!$C$23, $C$12, 100%, $E$12)</f>
        <v>33.282699999999998</v>
      </c>
      <c r="I931" s="66">
        <f>33.2876 * CHOOSE(CONTROL!$C$23, $C$12, 100%, $E$12)</f>
        <v>33.287599999999998</v>
      </c>
      <c r="J931" s="66">
        <f>33.2827 * CHOOSE(CONTROL!$C$23, $C$12, 100%, $E$12)</f>
        <v>33.282699999999998</v>
      </c>
      <c r="K931" s="66">
        <f>33.2876 * CHOOSE(CONTROL!$C$23, $C$12, 100%, $E$12)</f>
        <v>33.287599999999998</v>
      </c>
      <c r="L931" s="66">
        <f>17.9902 * CHOOSE(CONTROL!$C$23, $C$12, 100%, $E$12)</f>
        <v>17.990200000000002</v>
      </c>
      <c r="M931" s="66">
        <f>17.9951 * CHOOSE(CONTROL!$C$23, $C$12, 100%, $E$12)</f>
        <v>17.995100000000001</v>
      </c>
      <c r="N931" s="66">
        <f>17.9902 * CHOOSE(CONTROL!$C$23, $C$12, 100%, $E$12)</f>
        <v>17.990200000000002</v>
      </c>
      <c r="O931" s="66">
        <f>17.9951 * CHOOSE(CONTROL!$C$23, $C$12, 100%, $E$12)</f>
        <v>17.995100000000001</v>
      </c>
    </row>
    <row r="932" spans="1:15" ht="15">
      <c r="A932" s="13">
        <v>69519</v>
      </c>
      <c r="B932" s="65">
        <f>15.7291 * CHOOSE(CONTROL!$C$23, $C$12, 100%, $E$12)</f>
        <v>15.729100000000001</v>
      </c>
      <c r="C932" s="65">
        <f>15.7291 * CHOOSE(CONTROL!$C$23, $C$12, 100%, $E$12)</f>
        <v>15.729100000000001</v>
      </c>
      <c r="D932" s="65">
        <f>15.7347 * CHOOSE(CONTROL!$C$23, $C$12, 100%, $E$12)</f>
        <v>15.7347</v>
      </c>
      <c r="E932" s="66">
        <f>18.0916 * CHOOSE(CONTROL!$C$23, $C$12, 100%, $E$12)</f>
        <v>18.0916</v>
      </c>
      <c r="F932" s="66">
        <f>18.0916 * CHOOSE(CONTROL!$C$23, $C$12, 100%, $E$12)</f>
        <v>18.0916</v>
      </c>
      <c r="G932" s="66">
        <f>18.0984 * CHOOSE(CONTROL!$C$23, $C$12, 100%, $E$12)</f>
        <v>18.098400000000002</v>
      </c>
      <c r="H932" s="66">
        <f>33.3521* CHOOSE(CONTROL!$C$23, $C$12, 100%, $E$12)</f>
        <v>33.3521</v>
      </c>
      <c r="I932" s="66">
        <f>33.359 * CHOOSE(CONTROL!$C$23, $C$12, 100%, $E$12)</f>
        <v>33.359000000000002</v>
      </c>
      <c r="J932" s="66">
        <f>33.3521 * CHOOSE(CONTROL!$C$23, $C$12, 100%, $E$12)</f>
        <v>33.3521</v>
      </c>
      <c r="K932" s="66">
        <f>33.359 * CHOOSE(CONTROL!$C$23, $C$12, 100%, $E$12)</f>
        <v>33.359000000000002</v>
      </c>
      <c r="L932" s="66">
        <f>18.0916 * CHOOSE(CONTROL!$C$23, $C$12, 100%, $E$12)</f>
        <v>18.0916</v>
      </c>
      <c r="M932" s="66">
        <f>18.0984 * CHOOSE(CONTROL!$C$23, $C$12, 100%, $E$12)</f>
        <v>18.098400000000002</v>
      </c>
      <c r="N932" s="66">
        <f>18.0916 * CHOOSE(CONTROL!$C$23, $C$12, 100%, $E$12)</f>
        <v>18.0916</v>
      </c>
      <c r="O932" s="66">
        <f>18.0984 * CHOOSE(CONTROL!$C$23, $C$12, 100%, $E$12)</f>
        <v>18.098400000000002</v>
      </c>
    </row>
    <row r="933" spans="1:15" ht="15">
      <c r="A933" s="13">
        <v>69550</v>
      </c>
      <c r="B933" s="65">
        <f>15.7352 * CHOOSE(CONTROL!$C$23, $C$12, 100%, $E$12)</f>
        <v>15.735200000000001</v>
      </c>
      <c r="C933" s="65">
        <f>15.7352 * CHOOSE(CONTROL!$C$23, $C$12, 100%, $E$12)</f>
        <v>15.735200000000001</v>
      </c>
      <c r="D933" s="65">
        <f>15.7408 * CHOOSE(CONTROL!$C$23, $C$12, 100%, $E$12)</f>
        <v>15.7408</v>
      </c>
      <c r="E933" s="66">
        <f>17.9945 * CHOOSE(CONTROL!$C$23, $C$12, 100%, $E$12)</f>
        <v>17.994499999999999</v>
      </c>
      <c r="F933" s="66">
        <f>17.9945 * CHOOSE(CONTROL!$C$23, $C$12, 100%, $E$12)</f>
        <v>17.994499999999999</v>
      </c>
      <c r="G933" s="66">
        <f>18.0014 * CHOOSE(CONTROL!$C$23, $C$12, 100%, $E$12)</f>
        <v>18.0014</v>
      </c>
      <c r="H933" s="66">
        <f>33.4215* CHOOSE(CONTROL!$C$23, $C$12, 100%, $E$12)</f>
        <v>33.421500000000002</v>
      </c>
      <c r="I933" s="66">
        <f>33.4284 * CHOOSE(CONTROL!$C$23, $C$12, 100%, $E$12)</f>
        <v>33.428400000000003</v>
      </c>
      <c r="J933" s="66">
        <f>33.4215 * CHOOSE(CONTROL!$C$23, $C$12, 100%, $E$12)</f>
        <v>33.421500000000002</v>
      </c>
      <c r="K933" s="66">
        <f>33.4284 * CHOOSE(CONTROL!$C$23, $C$12, 100%, $E$12)</f>
        <v>33.428400000000003</v>
      </c>
      <c r="L933" s="66">
        <f>17.9945 * CHOOSE(CONTROL!$C$23, $C$12, 100%, $E$12)</f>
        <v>17.994499999999999</v>
      </c>
      <c r="M933" s="66">
        <f>18.0014 * CHOOSE(CONTROL!$C$23, $C$12, 100%, $E$12)</f>
        <v>18.0014</v>
      </c>
      <c r="N933" s="66">
        <f>17.9945 * CHOOSE(CONTROL!$C$23, $C$12, 100%, $E$12)</f>
        <v>17.994499999999999</v>
      </c>
      <c r="O933" s="66">
        <f>18.0014 * CHOOSE(CONTROL!$C$23, $C$12, 100%, $E$12)</f>
        <v>18.0014</v>
      </c>
    </row>
    <row r="934" spans="1:15" ht="15">
      <c r="A934" s="13">
        <v>69580</v>
      </c>
      <c r="B934" s="65">
        <f>15.9727 * CHOOSE(CONTROL!$C$23, $C$12, 100%, $E$12)</f>
        <v>15.9727</v>
      </c>
      <c r="C934" s="65">
        <f>15.9727 * CHOOSE(CONTROL!$C$23, $C$12, 100%, $E$12)</f>
        <v>15.9727</v>
      </c>
      <c r="D934" s="65">
        <f>15.9783 * CHOOSE(CONTROL!$C$23, $C$12, 100%, $E$12)</f>
        <v>15.978300000000001</v>
      </c>
      <c r="E934" s="66">
        <f>18.2793 * CHOOSE(CONTROL!$C$23, $C$12, 100%, $E$12)</f>
        <v>18.279299999999999</v>
      </c>
      <c r="F934" s="66">
        <f>18.2793 * CHOOSE(CONTROL!$C$23, $C$12, 100%, $E$12)</f>
        <v>18.279299999999999</v>
      </c>
      <c r="G934" s="66">
        <f>18.2862 * CHOOSE(CONTROL!$C$23, $C$12, 100%, $E$12)</f>
        <v>18.286200000000001</v>
      </c>
      <c r="H934" s="66">
        <f>33.4912* CHOOSE(CONTROL!$C$23, $C$12, 100%, $E$12)</f>
        <v>33.491199999999999</v>
      </c>
      <c r="I934" s="66">
        <f>33.4981 * CHOOSE(CONTROL!$C$23, $C$12, 100%, $E$12)</f>
        <v>33.498100000000001</v>
      </c>
      <c r="J934" s="66">
        <f>33.4912 * CHOOSE(CONTROL!$C$23, $C$12, 100%, $E$12)</f>
        <v>33.491199999999999</v>
      </c>
      <c r="K934" s="66">
        <f>33.4981 * CHOOSE(CONTROL!$C$23, $C$12, 100%, $E$12)</f>
        <v>33.498100000000001</v>
      </c>
      <c r="L934" s="66">
        <f>18.2793 * CHOOSE(CONTROL!$C$23, $C$12, 100%, $E$12)</f>
        <v>18.279299999999999</v>
      </c>
      <c r="M934" s="66">
        <f>18.2862 * CHOOSE(CONTROL!$C$23, $C$12, 100%, $E$12)</f>
        <v>18.286200000000001</v>
      </c>
      <c r="N934" s="66">
        <f>18.2793 * CHOOSE(CONTROL!$C$23, $C$12, 100%, $E$12)</f>
        <v>18.279299999999999</v>
      </c>
      <c r="O934" s="66">
        <f>18.2862 * CHOOSE(CONTROL!$C$23, $C$12, 100%, $E$12)</f>
        <v>18.286200000000001</v>
      </c>
    </row>
    <row r="935" spans="1:15" ht="15">
      <c r="A935" s="13">
        <v>69611</v>
      </c>
      <c r="B935" s="65">
        <f>15.9794 * CHOOSE(CONTROL!$C$23, $C$12, 100%, $E$12)</f>
        <v>15.9794</v>
      </c>
      <c r="C935" s="65">
        <f>15.9794 * CHOOSE(CONTROL!$C$23, $C$12, 100%, $E$12)</f>
        <v>15.9794</v>
      </c>
      <c r="D935" s="65">
        <f>15.985 * CHOOSE(CONTROL!$C$23, $C$12, 100%, $E$12)</f>
        <v>15.984999999999999</v>
      </c>
      <c r="E935" s="66">
        <f>17.98 * CHOOSE(CONTROL!$C$23, $C$12, 100%, $E$12)</f>
        <v>17.98</v>
      </c>
      <c r="F935" s="66">
        <f>17.98 * CHOOSE(CONTROL!$C$23, $C$12, 100%, $E$12)</f>
        <v>17.98</v>
      </c>
      <c r="G935" s="66">
        <f>17.9869 * CHOOSE(CONTROL!$C$23, $C$12, 100%, $E$12)</f>
        <v>17.986899999999999</v>
      </c>
      <c r="H935" s="66">
        <f>33.5609* CHOOSE(CONTROL!$C$23, $C$12, 100%, $E$12)</f>
        <v>33.560899999999997</v>
      </c>
      <c r="I935" s="66">
        <f>33.5678 * CHOOSE(CONTROL!$C$23, $C$12, 100%, $E$12)</f>
        <v>33.567799999999998</v>
      </c>
      <c r="J935" s="66">
        <f>33.5609 * CHOOSE(CONTROL!$C$23, $C$12, 100%, $E$12)</f>
        <v>33.560899999999997</v>
      </c>
      <c r="K935" s="66">
        <f>33.5678 * CHOOSE(CONTROL!$C$23, $C$12, 100%, $E$12)</f>
        <v>33.567799999999998</v>
      </c>
      <c r="L935" s="66">
        <f>17.98 * CHOOSE(CONTROL!$C$23, $C$12, 100%, $E$12)</f>
        <v>17.98</v>
      </c>
      <c r="M935" s="66">
        <f>17.9869 * CHOOSE(CONTROL!$C$23, $C$12, 100%, $E$12)</f>
        <v>17.986899999999999</v>
      </c>
      <c r="N935" s="66">
        <f>17.98 * CHOOSE(CONTROL!$C$23, $C$12, 100%, $E$12)</f>
        <v>17.98</v>
      </c>
      <c r="O935" s="66">
        <f>17.9869 * CHOOSE(CONTROL!$C$23, $C$12, 100%, $E$12)</f>
        <v>17.986899999999999</v>
      </c>
    </row>
    <row r="936" spans="1:15" ht="15">
      <c r="A936" s="13">
        <v>69642</v>
      </c>
      <c r="B936" s="65">
        <f>15.9763 * CHOOSE(CONTROL!$C$23, $C$12, 100%, $E$12)</f>
        <v>15.9763</v>
      </c>
      <c r="C936" s="65">
        <f>15.9763 * CHOOSE(CONTROL!$C$23, $C$12, 100%, $E$12)</f>
        <v>15.9763</v>
      </c>
      <c r="D936" s="65">
        <f>15.982 * CHOOSE(CONTROL!$C$23, $C$12, 100%, $E$12)</f>
        <v>15.981999999999999</v>
      </c>
      <c r="E936" s="66">
        <f>17.9441 * CHOOSE(CONTROL!$C$23, $C$12, 100%, $E$12)</f>
        <v>17.944099999999999</v>
      </c>
      <c r="F936" s="66">
        <f>17.9441 * CHOOSE(CONTROL!$C$23, $C$12, 100%, $E$12)</f>
        <v>17.944099999999999</v>
      </c>
      <c r="G936" s="66">
        <f>17.951 * CHOOSE(CONTROL!$C$23, $C$12, 100%, $E$12)</f>
        <v>17.951000000000001</v>
      </c>
      <c r="H936" s="66">
        <f>33.6309* CHOOSE(CONTROL!$C$23, $C$12, 100%, $E$12)</f>
        <v>33.630899999999997</v>
      </c>
      <c r="I936" s="66">
        <f>33.6378 * CHOOSE(CONTROL!$C$23, $C$12, 100%, $E$12)</f>
        <v>33.637799999999999</v>
      </c>
      <c r="J936" s="66">
        <f>33.6309 * CHOOSE(CONTROL!$C$23, $C$12, 100%, $E$12)</f>
        <v>33.630899999999997</v>
      </c>
      <c r="K936" s="66">
        <f>33.6378 * CHOOSE(CONTROL!$C$23, $C$12, 100%, $E$12)</f>
        <v>33.637799999999999</v>
      </c>
      <c r="L936" s="66">
        <f>17.9441 * CHOOSE(CONTROL!$C$23, $C$12, 100%, $E$12)</f>
        <v>17.944099999999999</v>
      </c>
      <c r="M936" s="66">
        <f>17.951 * CHOOSE(CONTROL!$C$23, $C$12, 100%, $E$12)</f>
        <v>17.951000000000001</v>
      </c>
      <c r="N936" s="66">
        <f>17.9441 * CHOOSE(CONTROL!$C$23, $C$12, 100%, $E$12)</f>
        <v>17.944099999999999</v>
      </c>
      <c r="O936" s="66">
        <f>17.951 * CHOOSE(CONTROL!$C$23, $C$12, 100%, $E$12)</f>
        <v>17.951000000000001</v>
      </c>
    </row>
    <row r="937" spans="1:15" ht="15">
      <c r="A937" s="13">
        <v>69672</v>
      </c>
      <c r="B937" s="65">
        <f>16.0099 * CHOOSE(CONTROL!$C$23, $C$12, 100%, $E$12)</f>
        <v>16.009899999999998</v>
      </c>
      <c r="C937" s="65">
        <f>16.0099 * CHOOSE(CONTROL!$C$23, $C$12, 100%, $E$12)</f>
        <v>16.009899999999998</v>
      </c>
      <c r="D937" s="65">
        <f>16.0139 * CHOOSE(CONTROL!$C$23, $C$12, 100%, $E$12)</f>
        <v>16.0139</v>
      </c>
      <c r="E937" s="66">
        <f>18.0658 * CHOOSE(CONTROL!$C$23, $C$12, 100%, $E$12)</f>
        <v>18.065799999999999</v>
      </c>
      <c r="F937" s="66">
        <f>18.0658 * CHOOSE(CONTROL!$C$23, $C$12, 100%, $E$12)</f>
        <v>18.065799999999999</v>
      </c>
      <c r="G937" s="66">
        <f>18.0707 * CHOOSE(CONTROL!$C$23, $C$12, 100%, $E$12)</f>
        <v>18.070699999999999</v>
      </c>
      <c r="H937" s="66">
        <f>33.7009* CHOOSE(CONTROL!$C$23, $C$12, 100%, $E$12)</f>
        <v>33.700899999999997</v>
      </c>
      <c r="I937" s="66">
        <f>33.7058 * CHOOSE(CONTROL!$C$23, $C$12, 100%, $E$12)</f>
        <v>33.705800000000004</v>
      </c>
      <c r="J937" s="66">
        <f>33.7009 * CHOOSE(CONTROL!$C$23, $C$12, 100%, $E$12)</f>
        <v>33.700899999999997</v>
      </c>
      <c r="K937" s="66">
        <f>33.7058 * CHOOSE(CONTROL!$C$23, $C$12, 100%, $E$12)</f>
        <v>33.705800000000004</v>
      </c>
      <c r="L937" s="66">
        <f>18.0658 * CHOOSE(CONTROL!$C$23, $C$12, 100%, $E$12)</f>
        <v>18.065799999999999</v>
      </c>
      <c r="M937" s="66">
        <f>18.0707 * CHOOSE(CONTROL!$C$23, $C$12, 100%, $E$12)</f>
        <v>18.070699999999999</v>
      </c>
      <c r="N937" s="66">
        <f>18.0658 * CHOOSE(CONTROL!$C$23, $C$12, 100%, $E$12)</f>
        <v>18.065799999999999</v>
      </c>
      <c r="O937" s="66">
        <f>18.0707 * CHOOSE(CONTROL!$C$23, $C$12, 100%, $E$12)</f>
        <v>18.070699999999999</v>
      </c>
    </row>
    <row r="938" spans="1:15" ht="15">
      <c r="A938" s="13">
        <v>69703</v>
      </c>
      <c r="B938" s="65">
        <f>16.0129 * CHOOSE(CONTROL!$C$23, $C$12, 100%, $E$12)</f>
        <v>16.012899999999998</v>
      </c>
      <c r="C938" s="65">
        <f>16.0129 * CHOOSE(CONTROL!$C$23, $C$12, 100%, $E$12)</f>
        <v>16.012899999999998</v>
      </c>
      <c r="D938" s="65">
        <f>16.0169 * CHOOSE(CONTROL!$C$23, $C$12, 100%, $E$12)</f>
        <v>16.0169</v>
      </c>
      <c r="E938" s="66">
        <f>18.1354 * CHOOSE(CONTROL!$C$23, $C$12, 100%, $E$12)</f>
        <v>18.135400000000001</v>
      </c>
      <c r="F938" s="66">
        <f>18.1354 * CHOOSE(CONTROL!$C$23, $C$12, 100%, $E$12)</f>
        <v>18.135400000000001</v>
      </c>
      <c r="G938" s="66">
        <f>18.1404 * CHOOSE(CONTROL!$C$23, $C$12, 100%, $E$12)</f>
        <v>18.1404</v>
      </c>
      <c r="H938" s="66">
        <f>33.7711* CHOOSE(CONTROL!$C$23, $C$12, 100%, $E$12)</f>
        <v>33.771099999999997</v>
      </c>
      <c r="I938" s="66">
        <f>33.7761 * CHOOSE(CONTROL!$C$23, $C$12, 100%, $E$12)</f>
        <v>33.7761</v>
      </c>
      <c r="J938" s="66">
        <f>33.7711 * CHOOSE(CONTROL!$C$23, $C$12, 100%, $E$12)</f>
        <v>33.771099999999997</v>
      </c>
      <c r="K938" s="66">
        <f>33.7761 * CHOOSE(CONTROL!$C$23, $C$12, 100%, $E$12)</f>
        <v>33.7761</v>
      </c>
      <c r="L938" s="66">
        <f>18.1354 * CHOOSE(CONTROL!$C$23, $C$12, 100%, $E$12)</f>
        <v>18.135400000000001</v>
      </c>
      <c r="M938" s="66">
        <f>18.1404 * CHOOSE(CONTROL!$C$23, $C$12, 100%, $E$12)</f>
        <v>18.1404</v>
      </c>
      <c r="N938" s="66">
        <f>18.1354 * CHOOSE(CONTROL!$C$23, $C$12, 100%, $E$12)</f>
        <v>18.135400000000001</v>
      </c>
      <c r="O938" s="66">
        <f>18.1404 * CHOOSE(CONTROL!$C$23, $C$12, 100%, $E$12)</f>
        <v>18.1404</v>
      </c>
    </row>
    <row r="939" spans="1:15" ht="15">
      <c r="A939" s="13">
        <v>69733</v>
      </c>
      <c r="B939" s="65">
        <f>16.0129 * CHOOSE(CONTROL!$C$23, $C$12, 100%, $E$12)</f>
        <v>16.012899999999998</v>
      </c>
      <c r="C939" s="65">
        <f>16.0129 * CHOOSE(CONTROL!$C$23, $C$12, 100%, $E$12)</f>
        <v>16.012899999999998</v>
      </c>
      <c r="D939" s="65">
        <f>16.0169 * CHOOSE(CONTROL!$C$23, $C$12, 100%, $E$12)</f>
        <v>16.0169</v>
      </c>
      <c r="E939" s="66">
        <f>17.9666 * CHOOSE(CONTROL!$C$23, $C$12, 100%, $E$12)</f>
        <v>17.9666</v>
      </c>
      <c r="F939" s="66">
        <f>17.9666 * CHOOSE(CONTROL!$C$23, $C$12, 100%, $E$12)</f>
        <v>17.9666</v>
      </c>
      <c r="G939" s="66">
        <f>17.9715 * CHOOSE(CONTROL!$C$23, $C$12, 100%, $E$12)</f>
        <v>17.971499999999999</v>
      </c>
      <c r="H939" s="66">
        <f>33.8415* CHOOSE(CONTROL!$C$23, $C$12, 100%, $E$12)</f>
        <v>33.841500000000003</v>
      </c>
      <c r="I939" s="66">
        <f>33.8464 * CHOOSE(CONTROL!$C$23, $C$12, 100%, $E$12)</f>
        <v>33.846400000000003</v>
      </c>
      <c r="J939" s="66">
        <f>33.8415 * CHOOSE(CONTROL!$C$23, $C$12, 100%, $E$12)</f>
        <v>33.841500000000003</v>
      </c>
      <c r="K939" s="66">
        <f>33.8464 * CHOOSE(CONTROL!$C$23, $C$12, 100%, $E$12)</f>
        <v>33.846400000000003</v>
      </c>
      <c r="L939" s="66">
        <f>17.9666 * CHOOSE(CONTROL!$C$23, $C$12, 100%, $E$12)</f>
        <v>17.9666</v>
      </c>
      <c r="M939" s="66">
        <f>17.9715 * CHOOSE(CONTROL!$C$23, $C$12, 100%, $E$12)</f>
        <v>17.971499999999999</v>
      </c>
      <c r="N939" s="66">
        <f>17.9666 * CHOOSE(CONTROL!$C$23, $C$12, 100%, $E$12)</f>
        <v>17.9666</v>
      </c>
      <c r="O939" s="66">
        <f>17.9715 * CHOOSE(CONTROL!$C$23, $C$12, 100%, $E$12)</f>
        <v>17.971499999999999</v>
      </c>
    </row>
    <row r="940" spans="1:15" ht="15">
      <c r="A940" s="13">
        <v>69764</v>
      </c>
      <c r="B940" s="65">
        <f>15.9633 * CHOOSE(CONTROL!$C$23, $C$12, 100%, $E$12)</f>
        <v>15.9633</v>
      </c>
      <c r="C940" s="65">
        <f>15.9633 * CHOOSE(CONTROL!$C$23, $C$12, 100%, $E$12)</f>
        <v>15.9633</v>
      </c>
      <c r="D940" s="65">
        <f>15.9673 * CHOOSE(CONTROL!$C$23, $C$12, 100%, $E$12)</f>
        <v>15.9673</v>
      </c>
      <c r="E940" s="66">
        <f>18.0508 * CHOOSE(CONTROL!$C$23, $C$12, 100%, $E$12)</f>
        <v>18.050799999999999</v>
      </c>
      <c r="F940" s="66">
        <f>18.0508 * CHOOSE(CONTROL!$C$23, $C$12, 100%, $E$12)</f>
        <v>18.050799999999999</v>
      </c>
      <c r="G940" s="66">
        <f>18.0557 * CHOOSE(CONTROL!$C$23, $C$12, 100%, $E$12)</f>
        <v>18.055700000000002</v>
      </c>
      <c r="H940" s="66">
        <f>33.5581* CHOOSE(CONTROL!$C$23, $C$12, 100%, $E$12)</f>
        <v>33.558100000000003</v>
      </c>
      <c r="I940" s="66">
        <f>33.563 * CHOOSE(CONTROL!$C$23, $C$12, 100%, $E$12)</f>
        <v>33.563000000000002</v>
      </c>
      <c r="J940" s="66">
        <f>33.5581 * CHOOSE(CONTROL!$C$23, $C$12, 100%, $E$12)</f>
        <v>33.558100000000003</v>
      </c>
      <c r="K940" s="66">
        <f>33.563 * CHOOSE(CONTROL!$C$23, $C$12, 100%, $E$12)</f>
        <v>33.563000000000002</v>
      </c>
      <c r="L940" s="66">
        <f>18.0508 * CHOOSE(CONTROL!$C$23, $C$12, 100%, $E$12)</f>
        <v>18.050799999999999</v>
      </c>
      <c r="M940" s="66">
        <f>18.0557 * CHOOSE(CONTROL!$C$23, $C$12, 100%, $E$12)</f>
        <v>18.055700000000002</v>
      </c>
      <c r="N940" s="66">
        <f>18.0508 * CHOOSE(CONTROL!$C$23, $C$12, 100%, $E$12)</f>
        <v>18.050799999999999</v>
      </c>
      <c r="O940" s="66">
        <f>18.0557 * CHOOSE(CONTROL!$C$23, $C$12, 100%, $E$12)</f>
        <v>18.055700000000002</v>
      </c>
    </row>
    <row r="941" spans="1:15" ht="15">
      <c r="A941" s="13">
        <v>69795</v>
      </c>
      <c r="B941" s="65">
        <f>15.9603 * CHOOSE(CONTROL!$C$23, $C$12, 100%, $E$12)</f>
        <v>15.9603</v>
      </c>
      <c r="C941" s="65">
        <f>15.9603 * CHOOSE(CONTROL!$C$23, $C$12, 100%, $E$12)</f>
        <v>15.9603</v>
      </c>
      <c r="D941" s="65">
        <f>15.9643 * CHOOSE(CONTROL!$C$23, $C$12, 100%, $E$12)</f>
        <v>15.9643</v>
      </c>
      <c r="E941" s="66">
        <f>17.7245 * CHOOSE(CONTROL!$C$23, $C$12, 100%, $E$12)</f>
        <v>17.724499999999999</v>
      </c>
      <c r="F941" s="66">
        <f>17.7245 * CHOOSE(CONTROL!$C$23, $C$12, 100%, $E$12)</f>
        <v>17.724499999999999</v>
      </c>
      <c r="G941" s="66">
        <f>17.7295 * CHOOSE(CONTROL!$C$23, $C$12, 100%, $E$12)</f>
        <v>17.729500000000002</v>
      </c>
      <c r="H941" s="66">
        <f>33.628* CHOOSE(CONTROL!$C$23, $C$12, 100%, $E$12)</f>
        <v>33.628</v>
      </c>
      <c r="I941" s="66">
        <f>33.6329 * CHOOSE(CONTROL!$C$23, $C$12, 100%, $E$12)</f>
        <v>33.632899999999999</v>
      </c>
      <c r="J941" s="66">
        <f>33.628 * CHOOSE(CONTROL!$C$23, $C$12, 100%, $E$12)</f>
        <v>33.628</v>
      </c>
      <c r="K941" s="66">
        <f>33.6329 * CHOOSE(CONTROL!$C$23, $C$12, 100%, $E$12)</f>
        <v>33.632899999999999</v>
      </c>
      <c r="L941" s="66">
        <f>17.7245 * CHOOSE(CONTROL!$C$23, $C$12, 100%, $E$12)</f>
        <v>17.724499999999999</v>
      </c>
      <c r="M941" s="66">
        <f>17.7295 * CHOOSE(CONTROL!$C$23, $C$12, 100%, $E$12)</f>
        <v>17.729500000000002</v>
      </c>
      <c r="N941" s="66">
        <f>17.7245 * CHOOSE(CONTROL!$C$23, $C$12, 100%, $E$12)</f>
        <v>17.724499999999999</v>
      </c>
      <c r="O941" s="66">
        <f>17.7295 * CHOOSE(CONTROL!$C$23, $C$12, 100%, $E$12)</f>
        <v>17.729500000000002</v>
      </c>
    </row>
    <row r="942" spans="1:15" ht="15">
      <c r="A942" s="13">
        <v>69823</v>
      </c>
      <c r="B942" s="65">
        <f>15.9572 * CHOOSE(CONTROL!$C$23, $C$12, 100%, $E$12)</f>
        <v>15.9572</v>
      </c>
      <c r="C942" s="65">
        <f>15.9572 * CHOOSE(CONTROL!$C$23, $C$12, 100%, $E$12)</f>
        <v>15.9572</v>
      </c>
      <c r="D942" s="65">
        <f>15.9612 * CHOOSE(CONTROL!$C$23, $C$12, 100%, $E$12)</f>
        <v>15.9612</v>
      </c>
      <c r="E942" s="66">
        <f>17.9779 * CHOOSE(CONTROL!$C$23, $C$12, 100%, $E$12)</f>
        <v>17.977900000000002</v>
      </c>
      <c r="F942" s="66">
        <f>17.9779 * CHOOSE(CONTROL!$C$23, $C$12, 100%, $E$12)</f>
        <v>17.977900000000002</v>
      </c>
      <c r="G942" s="66">
        <f>17.9828 * CHOOSE(CONTROL!$C$23, $C$12, 100%, $E$12)</f>
        <v>17.982800000000001</v>
      </c>
      <c r="H942" s="66">
        <f>33.6981* CHOOSE(CONTROL!$C$23, $C$12, 100%, $E$12)</f>
        <v>33.698099999999997</v>
      </c>
      <c r="I942" s="66">
        <f>33.703 * CHOOSE(CONTROL!$C$23, $C$12, 100%, $E$12)</f>
        <v>33.703000000000003</v>
      </c>
      <c r="J942" s="66">
        <f>33.6981 * CHOOSE(CONTROL!$C$23, $C$12, 100%, $E$12)</f>
        <v>33.698099999999997</v>
      </c>
      <c r="K942" s="66">
        <f>33.703 * CHOOSE(CONTROL!$C$23, $C$12, 100%, $E$12)</f>
        <v>33.703000000000003</v>
      </c>
      <c r="L942" s="66">
        <f>17.9779 * CHOOSE(CONTROL!$C$23, $C$12, 100%, $E$12)</f>
        <v>17.977900000000002</v>
      </c>
      <c r="M942" s="66">
        <f>17.9828 * CHOOSE(CONTROL!$C$23, $C$12, 100%, $E$12)</f>
        <v>17.982800000000001</v>
      </c>
      <c r="N942" s="66">
        <f>17.9779 * CHOOSE(CONTROL!$C$23, $C$12, 100%, $E$12)</f>
        <v>17.977900000000002</v>
      </c>
      <c r="O942" s="66">
        <f>17.9828 * CHOOSE(CONTROL!$C$23, $C$12, 100%, $E$12)</f>
        <v>17.982800000000001</v>
      </c>
    </row>
    <row r="943" spans="1:15" ht="15">
      <c r="A943" s="13">
        <v>69854</v>
      </c>
      <c r="B943" s="65">
        <f>15.9649 * CHOOSE(CONTROL!$C$23, $C$12, 100%, $E$12)</f>
        <v>15.9649</v>
      </c>
      <c r="C943" s="65">
        <f>15.9649 * CHOOSE(CONTROL!$C$23, $C$12, 100%, $E$12)</f>
        <v>15.9649</v>
      </c>
      <c r="D943" s="65">
        <f>15.9689 * CHOOSE(CONTROL!$C$23, $C$12, 100%, $E$12)</f>
        <v>15.9689</v>
      </c>
      <c r="E943" s="66">
        <f>18.2481 * CHOOSE(CONTROL!$C$23, $C$12, 100%, $E$12)</f>
        <v>18.248100000000001</v>
      </c>
      <c r="F943" s="66">
        <f>18.2481 * CHOOSE(CONTROL!$C$23, $C$12, 100%, $E$12)</f>
        <v>18.248100000000001</v>
      </c>
      <c r="G943" s="66">
        <f>18.253 * CHOOSE(CONTROL!$C$23, $C$12, 100%, $E$12)</f>
        <v>18.253</v>
      </c>
      <c r="H943" s="66">
        <f>33.7683* CHOOSE(CONTROL!$C$23, $C$12, 100%, $E$12)</f>
        <v>33.768300000000004</v>
      </c>
      <c r="I943" s="66">
        <f>33.7732 * CHOOSE(CONTROL!$C$23, $C$12, 100%, $E$12)</f>
        <v>33.773200000000003</v>
      </c>
      <c r="J943" s="66">
        <f>33.7683 * CHOOSE(CONTROL!$C$23, $C$12, 100%, $E$12)</f>
        <v>33.768300000000004</v>
      </c>
      <c r="K943" s="66">
        <f>33.7732 * CHOOSE(CONTROL!$C$23, $C$12, 100%, $E$12)</f>
        <v>33.773200000000003</v>
      </c>
      <c r="L943" s="66">
        <f>18.2481 * CHOOSE(CONTROL!$C$23, $C$12, 100%, $E$12)</f>
        <v>18.248100000000001</v>
      </c>
      <c r="M943" s="66">
        <f>18.253 * CHOOSE(CONTROL!$C$23, $C$12, 100%, $E$12)</f>
        <v>18.253</v>
      </c>
      <c r="N943" s="66">
        <f>18.2481 * CHOOSE(CONTROL!$C$23, $C$12, 100%, $E$12)</f>
        <v>18.248100000000001</v>
      </c>
      <c r="O943" s="66">
        <f>18.253 * CHOOSE(CONTROL!$C$23, $C$12, 100%, $E$12)</f>
        <v>18.253</v>
      </c>
    </row>
    <row r="944" spans="1:15" ht="15">
      <c r="A944" s="13">
        <v>69884</v>
      </c>
      <c r="B944" s="65">
        <f>15.9649 * CHOOSE(CONTROL!$C$23, $C$12, 100%, $E$12)</f>
        <v>15.9649</v>
      </c>
      <c r="C944" s="65">
        <f>15.9649 * CHOOSE(CONTROL!$C$23, $C$12, 100%, $E$12)</f>
        <v>15.9649</v>
      </c>
      <c r="D944" s="65">
        <f>15.9705 * CHOOSE(CONTROL!$C$23, $C$12, 100%, $E$12)</f>
        <v>15.970499999999999</v>
      </c>
      <c r="E944" s="66">
        <f>18.351 * CHOOSE(CONTROL!$C$23, $C$12, 100%, $E$12)</f>
        <v>18.350999999999999</v>
      </c>
      <c r="F944" s="66">
        <f>18.351 * CHOOSE(CONTROL!$C$23, $C$12, 100%, $E$12)</f>
        <v>18.350999999999999</v>
      </c>
      <c r="G944" s="66">
        <f>18.3579 * CHOOSE(CONTROL!$C$23, $C$12, 100%, $E$12)</f>
        <v>18.357900000000001</v>
      </c>
      <c r="H944" s="66">
        <f>33.8386* CHOOSE(CONTROL!$C$23, $C$12, 100%, $E$12)</f>
        <v>33.8386</v>
      </c>
      <c r="I944" s="66">
        <f>33.8455 * CHOOSE(CONTROL!$C$23, $C$12, 100%, $E$12)</f>
        <v>33.845500000000001</v>
      </c>
      <c r="J944" s="66">
        <f>33.8386 * CHOOSE(CONTROL!$C$23, $C$12, 100%, $E$12)</f>
        <v>33.8386</v>
      </c>
      <c r="K944" s="66">
        <f>33.8455 * CHOOSE(CONTROL!$C$23, $C$12, 100%, $E$12)</f>
        <v>33.845500000000001</v>
      </c>
      <c r="L944" s="66">
        <f>18.351 * CHOOSE(CONTROL!$C$23, $C$12, 100%, $E$12)</f>
        <v>18.350999999999999</v>
      </c>
      <c r="M944" s="66">
        <f>18.3579 * CHOOSE(CONTROL!$C$23, $C$12, 100%, $E$12)</f>
        <v>18.357900000000001</v>
      </c>
      <c r="N944" s="66">
        <f>18.351 * CHOOSE(CONTROL!$C$23, $C$12, 100%, $E$12)</f>
        <v>18.350999999999999</v>
      </c>
      <c r="O944" s="66">
        <f>18.3579 * CHOOSE(CONTROL!$C$23, $C$12, 100%, $E$12)</f>
        <v>18.357900000000001</v>
      </c>
    </row>
    <row r="945" spans="1:15" ht="15">
      <c r="A945" s="13">
        <v>69915</v>
      </c>
      <c r="B945" s="65">
        <f>15.971 * CHOOSE(CONTROL!$C$23, $C$12, 100%, $E$12)</f>
        <v>15.971</v>
      </c>
      <c r="C945" s="65">
        <f>15.971 * CHOOSE(CONTROL!$C$23, $C$12, 100%, $E$12)</f>
        <v>15.971</v>
      </c>
      <c r="D945" s="65">
        <f>15.9766 * CHOOSE(CONTROL!$C$23, $C$12, 100%, $E$12)</f>
        <v>15.976599999999999</v>
      </c>
      <c r="E945" s="66">
        <f>18.2523 * CHOOSE(CONTROL!$C$23, $C$12, 100%, $E$12)</f>
        <v>18.252300000000002</v>
      </c>
      <c r="F945" s="66">
        <f>18.2523 * CHOOSE(CONTROL!$C$23, $C$12, 100%, $E$12)</f>
        <v>18.252300000000002</v>
      </c>
      <c r="G945" s="66">
        <f>18.2592 * CHOOSE(CONTROL!$C$23, $C$12, 100%, $E$12)</f>
        <v>18.2592</v>
      </c>
      <c r="H945" s="66">
        <f>33.9091* CHOOSE(CONTROL!$C$23, $C$12, 100%, $E$12)</f>
        <v>33.909100000000002</v>
      </c>
      <c r="I945" s="66">
        <f>33.916 * CHOOSE(CONTROL!$C$23, $C$12, 100%, $E$12)</f>
        <v>33.915999999999997</v>
      </c>
      <c r="J945" s="66">
        <f>33.9091 * CHOOSE(CONTROL!$C$23, $C$12, 100%, $E$12)</f>
        <v>33.909100000000002</v>
      </c>
      <c r="K945" s="66">
        <f>33.916 * CHOOSE(CONTROL!$C$23, $C$12, 100%, $E$12)</f>
        <v>33.915999999999997</v>
      </c>
      <c r="L945" s="66">
        <f>18.2523 * CHOOSE(CONTROL!$C$23, $C$12, 100%, $E$12)</f>
        <v>18.252300000000002</v>
      </c>
      <c r="M945" s="66">
        <f>18.2592 * CHOOSE(CONTROL!$C$23, $C$12, 100%, $E$12)</f>
        <v>18.2592</v>
      </c>
      <c r="N945" s="66">
        <f>18.2523 * CHOOSE(CONTROL!$C$23, $C$12, 100%, $E$12)</f>
        <v>18.252300000000002</v>
      </c>
      <c r="O945" s="66">
        <f>18.2592 * CHOOSE(CONTROL!$C$23, $C$12, 100%, $E$12)</f>
        <v>18.2592</v>
      </c>
    </row>
    <row r="946" spans="1:15" ht="15">
      <c r="A946" s="13">
        <v>69945</v>
      </c>
      <c r="B946" s="65">
        <f>16.2119 * CHOOSE(CONTROL!$C$23, $C$12, 100%, $E$12)</f>
        <v>16.2119</v>
      </c>
      <c r="C946" s="65">
        <f>16.2119 * CHOOSE(CONTROL!$C$23, $C$12, 100%, $E$12)</f>
        <v>16.2119</v>
      </c>
      <c r="D946" s="65">
        <f>16.2175 * CHOOSE(CONTROL!$C$23, $C$12, 100%, $E$12)</f>
        <v>16.217500000000001</v>
      </c>
      <c r="E946" s="66">
        <f>18.5411 * CHOOSE(CONTROL!$C$23, $C$12, 100%, $E$12)</f>
        <v>18.5411</v>
      </c>
      <c r="F946" s="66">
        <f>18.5411 * CHOOSE(CONTROL!$C$23, $C$12, 100%, $E$12)</f>
        <v>18.5411</v>
      </c>
      <c r="G946" s="66">
        <f>18.548 * CHOOSE(CONTROL!$C$23, $C$12, 100%, $E$12)</f>
        <v>18.547999999999998</v>
      </c>
      <c r="H946" s="66">
        <f>33.9798* CHOOSE(CONTROL!$C$23, $C$12, 100%, $E$12)</f>
        <v>33.979799999999997</v>
      </c>
      <c r="I946" s="66">
        <f>33.9867 * CHOOSE(CONTROL!$C$23, $C$12, 100%, $E$12)</f>
        <v>33.986699999999999</v>
      </c>
      <c r="J946" s="66">
        <f>33.9798 * CHOOSE(CONTROL!$C$23, $C$12, 100%, $E$12)</f>
        <v>33.979799999999997</v>
      </c>
      <c r="K946" s="66">
        <f>33.9867 * CHOOSE(CONTROL!$C$23, $C$12, 100%, $E$12)</f>
        <v>33.986699999999999</v>
      </c>
      <c r="L946" s="66">
        <f>18.5411 * CHOOSE(CONTROL!$C$23, $C$12, 100%, $E$12)</f>
        <v>18.5411</v>
      </c>
      <c r="M946" s="66">
        <f>18.548 * CHOOSE(CONTROL!$C$23, $C$12, 100%, $E$12)</f>
        <v>18.547999999999998</v>
      </c>
      <c r="N946" s="66">
        <f>18.5411 * CHOOSE(CONTROL!$C$23, $C$12, 100%, $E$12)</f>
        <v>18.5411</v>
      </c>
      <c r="O946" s="66">
        <f>18.548 * CHOOSE(CONTROL!$C$23, $C$12, 100%, $E$12)</f>
        <v>18.547999999999998</v>
      </c>
    </row>
    <row r="947" spans="1:15" ht="15">
      <c r="A947" s="13">
        <v>69976</v>
      </c>
      <c r="B947" s="65">
        <f>16.2185 * CHOOSE(CONTROL!$C$23, $C$12, 100%, $E$12)</f>
        <v>16.218499999999999</v>
      </c>
      <c r="C947" s="65">
        <f>16.2185 * CHOOSE(CONTROL!$C$23, $C$12, 100%, $E$12)</f>
        <v>16.218499999999999</v>
      </c>
      <c r="D947" s="65">
        <f>16.2242 * CHOOSE(CONTROL!$C$23, $C$12, 100%, $E$12)</f>
        <v>16.2242</v>
      </c>
      <c r="E947" s="66">
        <f>18.237 * CHOOSE(CONTROL!$C$23, $C$12, 100%, $E$12)</f>
        <v>18.236999999999998</v>
      </c>
      <c r="F947" s="66">
        <f>18.237 * CHOOSE(CONTROL!$C$23, $C$12, 100%, $E$12)</f>
        <v>18.236999999999998</v>
      </c>
      <c r="G947" s="66">
        <f>18.2439 * CHOOSE(CONTROL!$C$23, $C$12, 100%, $E$12)</f>
        <v>18.2439</v>
      </c>
      <c r="H947" s="66">
        <f>34.0506* CHOOSE(CONTROL!$C$23, $C$12, 100%, $E$12)</f>
        <v>34.050600000000003</v>
      </c>
      <c r="I947" s="66">
        <f>34.0575 * CHOOSE(CONTROL!$C$23, $C$12, 100%, $E$12)</f>
        <v>34.057499999999997</v>
      </c>
      <c r="J947" s="66">
        <f>34.0506 * CHOOSE(CONTROL!$C$23, $C$12, 100%, $E$12)</f>
        <v>34.050600000000003</v>
      </c>
      <c r="K947" s="66">
        <f>34.0575 * CHOOSE(CONTROL!$C$23, $C$12, 100%, $E$12)</f>
        <v>34.057499999999997</v>
      </c>
      <c r="L947" s="66">
        <f>18.237 * CHOOSE(CONTROL!$C$23, $C$12, 100%, $E$12)</f>
        <v>18.236999999999998</v>
      </c>
      <c r="M947" s="66">
        <f>18.2439 * CHOOSE(CONTROL!$C$23, $C$12, 100%, $E$12)</f>
        <v>18.2439</v>
      </c>
      <c r="N947" s="66">
        <f>18.237 * CHOOSE(CONTROL!$C$23, $C$12, 100%, $E$12)</f>
        <v>18.236999999999998</v>
      </c>
      <c r="O947" s="66">
        <f>18.2439 * CHOOSE(CONTROL!$C$23, $C$12, 100%, $E$12)</f>
        <v>18.2439</v>
      </c>
    </row>
    <row r="948" spans="1:15" ht="15">
      <c r="A948" s="13">
        <v>70007</v>
      </c>
      <c r="B948" s="65">
        <f>16.2155 * CHOOSE(CONTROL!$C$23, $C$12, 100%, $E$12)</f>
        <v>16.215499999999999</v>
      </c>
      <c r="C948" s="65">
        <f>16.2155 * CHOOSE(CONTROL!$C$23, $C$12, 100%, $E$12)</f>
        <v>16.215499999999999</v>
      </c>
      <c r="D948" s="65">
        <f>16.2211 * CHOOSE(CONTROL!$C$23, $C$12, 100%, $E$12)</f>
        <v>16.2211</v>
      </c>
      <c r="E948" s="66">
        <f>18.2006 * CHOOSE(CONTROL!$C$23, $C$12, 100%, $E$12)</f>
        <v>18.200600000000001</v>
      </c>
      <c r="F948" s="66">
        <f>18.2006 * CHOOSE(CONTROL!$C$23, $C$12, 100%, $E$12)</f>
        <v>18.200600000000001</v>
      </c>
      <c r="G948" s="66">
        <f>18.2075 * CHOOSE(CONTROL!$C$23, $C$12, 100%, $E$12)</f>
        <v>18.2075</v>
      </c>
      <c r="H948" s="66">
        <f>34.1215* CHOOSE(CONTROL!$C$23, $C$12, 100%, $E$12)</f>
        <v>34.121499999999997</v>
      </c>
      <c r="I948" s="66">
        <f>34.1284 * CHOOSE(CONTROL!$C$23, $C$12, 100%, $E$12)</f>
        <v>34.128399999999999</v>
      </c>
      <c r="J948" s="66">
        <f>34.1215 * CHOOSE(CONTROL!$C$23, $C$12, 100%, $E$12)</f>
        <v>34.121499999999997</v>
      </c>
      <c r="K948" s="66">
        <f>34.1284 * CHOOSE(CONTROL!$C$23, $C$12, 100%, $E$12)</f>
        <v>34.128399999999999</v>
      </c>
      <c r="L948" s="66">
        <f>18.2006 * CHOOSE(CONTROL!$C$23, $C$12, 100%, $E$12)</f>
        <v>18.200600000000001</v>
      </c>
      <c r="M948" s="66">
        <f>18.2075 * CHOOSE(CONTROL!$C$23, $C$12, 100%, $E$12)</f>
        <v>18.2075</v>
      </c>
      <c r="N948" s="66">
        <f>18.2006 * CHOOSE(CONTROL!$C$23, $C$12, 100%, $E$12)</f>
        <v>18.200600000000001</v>
      </c>
      <c r="O948" s="66">
        <f>18.2075 * CHOOSE(CONTROL!$C$23, $C$12, 100%, $E$12)</f>
        <v>18.2075</v>
      </c>
    </row>
    <row r="949" spans="1:15" ht="15">
      <c r="A949" s="13">
        <v>70037</v>
      </c>
      <c r="B949" s="65">
        <f>16.2498 * CHOOSE(CONTROL!$C$23, $C$12, 100%, $E$12)</f>
        <v>16.2498</v>
      </c>
      <c r="C949" s="65">
        <f>16.2498 * CHOOSE(CONTROL!$C$23, $C$12, 100%, $E$12)</f>
        <v>16.2498</v>
      </c>
      <c r="D949" s="65">
        <f>16.2538 * CHOOSE(CONTROL!$C$23, $C$12, 100%, $E$12)</f>
        <v>16.253799999999998</v>
      </c>
      <c r="E949" s="66">
        <f>18.3244 * CHOOSE(CONTROL!$C$23, $C$12, 100%, $E$12)</f>
        <v>18.324400000000001</v>
      </c>
      <c r="F949" s="66">
        <f>18.3244 * CHOOSE(CONTROL!$C$23, $C$12, 100%, $E$12)</f>
        <v>18.324400000000001</v>
      </c>
      <c r="G949" s="66">
        <f>18.3293 * CHOOSE(CONTROL!$C$23, $C$12, 100%, $E$12)</f>
        <v>18.3293</v>
      </c>
      <c r="H949" s="66">
        <f>34.1926* CHOOSE(CONTROL!$C$23, $C$12, 100%, $E$12)</f>
        <v>34.192599999999999</v>
      </c>
      <c r="I949" s="66">
        <f>34.1975 * CHOOSE(CONTROL!$C$23, $C$12, 100%, $E$12)</f>
        <v>34.197499999999998</v>
      </c>
      <c r="J949" s="66">
        <f>34.1926 * CHOOSE(CONTROL!$C$23, $C$12, 100%, $E$12)</f>
        <v>34.192599999999999</v>
      </c>
      <c r="K949" s="66">
        <f>34.1975 * CHOOSE(CONTROL!$C$23, $C$12, 100%, $E$12)</f>
        <v>34.197499999999998</v>
      </c>
      <c r="L949" s="66">
        <f>18.3244 * CHOOSE(CONTROL!$C$23, $C$12, 100%, $E$12)</f>
        <v>18.324400000000001</v>
      </c>
      <c r="M949" s="66">
        <f>18.3293 * CHOOSE(CONTROL!$C$23, $C$12, 100%, $E$12)</f>
        <v>18.3293</v>
      </c>
      <c r="N949" s="66">
        <f>18.3244 * CHOOSE(CONTROL!$C$23, $C$12, 100%, $E$12)</f>
        <v>18.324400000000001</v>
      </c>
      <c r="O949" s="66">
        <f>18.3293 * CHOOSE(CONTROL!$C$23, $C$12, 100%, $E$12)</f>
        <v>18.3293</v>
      </c>
    </row>
    <row r="950" spans="1:15" ht="15">
      <c r="A950" s="13">
        <v>70068</v>
      </c>
      <c r="B950" s="65">
        <f>16.2529 * CHOOSE(CONTROL!$C$23, $C$12, 100%, $E$12)</f>
        <v>16.2529</v>
      </c>
      <c r="C950" s="65">
        <f>16.2529 * CHOOSE(CONTROL!$C$23, $C$12, 100%, $E$12)</f>
        <v>16.2529</v>
      </c>
      <c r="D950" s="65">
        <f>16.2569 * CHOOSE(CONTROL!$C$23, $C$12, 100%, $E$12)</f>
        <v>16.256900000000002</v>
      </c>
      <c r="E950" s="66">
        <f>18.3951 * CHOOSE(CONTROL!$C$23, $C$12, 100%, $E$12)</f>
        <v>18.395099999999999</v>
      </c>
      <c r="F950" s="66">
        <f>18.3951 * CHOOSE(CONTROL!$C$23, $C$12, 100%, $E$12)</f>
        <v>18.395099999999999</v>
      </c>
      <c r="G950" s="66">
        <f>18.4 * CHOOSE(CONTROL!$C$23, $C$12, 100%, $E$12)</f>
        <v>18.399999999999999</v>
      </c>
      <c r="H950" s="66">
        <f>34.2638* CHOOSE(CONTROL!$C$23, $C$12, 100%, $E$12)</f>
        <v>34.263800000000003</v>
      </c>
      <c r="I950" s="66">
        <f>34.2688 * CHOOSE(CONTROL!$C$23, $C$12, 100%, $E$12)</f>
        <v>34.268799999999999</v>
      </c>
      <c r="J950" s="66">
        <f>34.2638 * CHOOSE(CONTROL!$C$23, $C$12, 100%, $E$12)</f>
        <v>34.263800000000003</v>
      </c>
      <c r="K950" s="66">
        <f>34.2688 * CHOOSE(CONTROL!$C$23, $C$12, 100%, $E$12)</f>
        <v>34.268799999999999</v>
      </c>
      <c r="L950" s="66">
        <f>18.3951 * CHOOSE(CONTROL!$C$23, $C$12, 100%, $E$12)</f>
        <v>18.395099999999999</v>
      </c>
      <c r="M950" s="66">
        <f>18.4 * CHOOSE(CONTROL!$C$23, $C$12, 100%, $E$12)</f>
        <v>18.399999999999999</v>
      </c>
      <c r="N950" s="66">
        <f>18.3951 * CHOOSE(CONTROL!$C$23, $C$12, 100%, $E$12)</f>
        <v>18.395099999999999</v>
      </c>
      <c r="O950" s="66">
        <f>18.4 * CHOOSE(CONTROL!$C$23, $C$12, 100%, $E$12)</f>
        <v>18.399999999999999</v>
      </c>
    </row>
    <row r="951" spans="1:15" ht="15">
      <c r="A951" s="13">
        <v>70098</v>
      </c>
      <c r="B951" s="65">
        <f>16.2529 * CHOOSE(CONTROL!$C$23, $C$12, 100%, $E$12)</f>
        <v>16.2529</v>
      </c>
      <c r="C951" s="65">
        <f>16.2529 * CHOOSE(CONTROL!$C$23, $C$12, 100%, $E$12)</f>
        <v>16.2529</v>
      </c>
      <c r="D951" s="65">
        <f>16.2569 * CHOOSE(CONTROL!$C$23, $C$12, 100%, $E$12)</f>
        <v>16.256900000000002</v>
      </c>
      <c r="E951" s="66">
        <f>18.2236 * CHOOSE(CONTROL!$C$23, $C$12, 100%, $E$12)</f>
        <v>18.223600000000001</v>
      </c>
      <c r="F951" s="66">
        <f>18.2236 * CHOOSE(CONTROL!$C$23, $C$12, 100%, $E$12)</f>
        <v>18.223600000000001</v>
      </c>
      <c r="G951" s="66">
        <f>18.2285 * CHOOSE(CONTROL!$C$23, $C$12, 100%, $E$12)</f>
        <v>18.2285</v>
      </c>
      <c r="H951" s="66">
        <f>34.3352* CHOOSE(CONTROL!$C$23, $C$12, 100%, $E$12)</f>
        <v>34.3352</v>
      </c>
      <c r="I951" s="66">
        <f>34.3401 * CHOOSE(CONTROL!$C$23, $C$12, 100%, $E$12)</f>
        <v>34.3401</v>
      </c>
      <c r="J951" s="66">
        <f>34.3352 * CHOOSE(CONTROL!$C$23, $C$12, 100%, $E$12)</f>
        <v>34.3352</v>
      </c>
      <c r="K951" s="66">
        <f>34.3401 * CHOOSE(CONTROL!$C$23, $C$12, 100%, $E$12)</f>
        <v>34.3401</v>
      </c>
      <c r="L951" s="66">
        <f>18.2236 * CHOOSE(CONTROL!$C$23, $C$12, 100%, $E$12)</f>
        <v>18.223600000000001</v>
      </c>
      <c r="M951" s="66">
        <f>18.2285 * CHOOSE(CONTROL!$C$23, $C$12, 100%, $E$12)</f>
        <v>18.2285</v>
      </c>
      <c r="N951" s="66">
        <f>18.2236 * CHOOSE(CONTROL!$C$23, $C$12, 100%, $E$12)</f>
        <v>18.223600000000001</v>
      </c>
      <c r="O951" s="66">
        <f>18.2285 * CHOOSE(CONTROL!$C$23, $C$12, 100%, $E$12)</f>
        <v>18.2285</v>
      </c>
    </row>
    <row r="952" spans="1:15" ht="15">
      <c r="A952" s="13">
        <v>70129</v>
      </c>
      <c r="B952" s="65">
        <f>16.1989 * CHOOSE(CONTROL!$C$23, $C$12, 100%, $E$12)</f>
        <v>16.198899999999998</v>
      </c>
      <c r="C952" s="65">
        <f>16.1989 * CHOOSE(CONTROL!$C$23, $C$12, 100%, $E$12)</f>
        <v>16.198899999999998</v>
      </c>
      <c r="D952" s="65">
        <f>16.2029 * CHOOSE(CONTROL!$C$23, $C$12, 100%, $E$12)</f>
        <v>16.2029</v>
      </c>
      <c r="E952" s="66">
        <f>18.3055 * CHOOSE(CONTROL!$C$23, $C$12, 100%, $E$12)</f>
        <v>18.305499999999999</v>
      </c>
      <c r="F952" s="66">
        <f>18.3055 * CHOOSE(CONTROL!$C$23, $C$12, 100%, $E$12)</f>
        <v>18.305499999999999</v>
      </c>
      <c r="G952" s="66">
        <f>18.3104 * CHOOSE(CONTROL!$C$23, $C$12, 100%, $E$12)</f>
        <v>18.310400000000001</v>
      </c>
      <c r="H952" s="66">
        <f>34.0407* CHOOSE(CONTROL!$C$23, $C$12, 100%, $E$12)</f>
        <v>34.040700000000001</v>
      </c>
      <c r="I952" s="66">
        <f>34.0456 * CHOOSE(CONTROL!$C$23, $C$12, 100%, $E$12)</f>
        <v>34.0456</v>
      </c>
      <c r="J952" s="66">
        <f>34.0407 * CHOOSE(CONTROL!$C$23, $C$12, 100%, $E$12)</f>
        <v>34.040700000000001</v>
      </c>
      <c r="K952" s="66">
        <f>34.0456 * CHOOSE(CONTROL!$C$23, $C$12, 100%, $E$12)</f>
        <v>34.0456</v>
      </c>
      <c r="L952" s="66">
        <f>18.3055 * CHOOSE(CONTROL!$C$23, $C$12, 100%, $E$12)</f>
        <v>18.305499999999999</v>
      </c>
      <c r="M952" s="66">
        <f>18.3104 * CHOOSE(CONTROL!$C$23, $C$12, 100%, $E$12)</f>
        <v>18.310400000000001</v>
      </c>
      <c r="N952" s="66">
        <f>18.3055 * CHOOSE(CONTROL!$C$23, $C$12, 100%, $E$12)</f>
        <v>18.305499999999999</v>
      </c>
      <c r="O952" s="66">
        <f>18.3104 * CHOOSE(CONTROL!$C$23, $C$12, 100%, $E$12)</f>
        <v>18.310400000000001</v>
      </c>
    </row>
    <row r="953" spans="1:15" ht="15">
      <c r="A953" s="13">
        <v>70160</v>
      </c>
      <c r="B953" s="65">
        <f>16.1958 * CHOOSE(CONTROL!$C$23, $C$12, 100%, $E$12)</f>
        <v>16.195799999999998</v>
      </c>
      <c r="C953" s="65">
        <f>16.1958 * CHOOSE(CONTROL!$C$23, $C$12, 100%, $E$12)</f>
        <v>16.195799999999998</v>
      </c>
      <c r="D953" s="65">
        <f>16.1998 * CHOOSE(CONTROL!$C$23, $C$12, 100%, $E$12)</f>
        <v>16.1998</v>
      </c>
      <c r="E953" s="66">
        <f>17.9743 * CHOOSE(CONTROL!$C$23, $C$12, 100%, $E$12)</f>
        <v>17.974299999999999</v>
      </c>
      <c r="F953" s="66">
        <f>17.9743 * CHOOSE(CONTROL!$C$23, $C$12, 100%, $E$12)</f>
        <v>17.974299999999999</v>
      </c>
      <c r="G953" s="66">
        <f>17.9792 * CHOOSE(CONTROL!$C$23, $C$12, 100%, $E$12)</f>
        <v>17.979199999999999</v>
      </c>
      <c r="H953" s="66">
        <f>34.1116* CHOOSE(CONTROL!$C$23, $C$12, 100%, $E$12)</f>
        <v>34.111600000000003</v>
      </c>
      <c r="I953" s="66">
        <f>34.1165 * CHOOSE(CONTROL!$C$23, $C$12, 100%, $E$12)</f>
        <v>34.116500000000002</v>
      </c>
      <c r="J953" s="66">
        <f>34.1116 * CHOOSE(CONTROL!$C$23, $C$12, 100%, $E$12)</f>
        <v>34.111600000000003</v>
      </c>
      <c r="K953" s="66">
        <f>34.1165 * CHOOSE(CONTROL!$C$23, $C$12, 100%, $E$12)</f>
        <v>34.116500000000002</v>
      </c>
      <c r="L953" s="66">
        <f>17.9743 * CHOOSE(CONTROL!$C$23, $C$12, 100%, $E$12)</f>
        <v>17.974299999999999</v>
      </c>
      <c r="M953" s="66">
        <f>17.9792 * CHOOSE(CONTROL!$C$23, $C$12, 100%, $E$12)</f>
        <v>17.979199999999999</v>
      </c>
      <c r="N953" s="66">
        <f>17.9743 * CHOOSE(CONTROL!$C$23, $C$12, 100%, $E$12)</f>
        <v>17.974299999999999</v>
      </c>
      <c r="O953" s="66">
        <f>17.9792 * CHOOSE(CONTROL!$C$23, $C$12, 100%, $E$12)</f>
        <v>17.979199999999999</v>
      </c>
    </row>
    <row r="954" spans="1:15" ht="15">
      <c r="A954" s="13">
        <v>70189</v>
      </c>
      <c r="B954" s="65">
        <f>16.1928 * CHOOSE(CONTROL!$C$23, $C$12, 100%, $E$12)</f>
        <v>16.192799999999998</v>
      </c>
      <c r="C954" s="65">
        <f>16.1928 * CHOOSE(CONTROL!$C$23, $C$12, 100%, $E$12)</f>
        <v>16.192799999999998</v>
      </c>
      <c r="D954" s="65">
        <f>16.1968 * CHOOSE(CONTROL!$C$23, $C$12, 100%, $E$12)</f>
        <v>16.1968</v>
      </c>
      <c r="E954" s="66">
        <f>18.2316 * CHOOSE(CONTROL!$C$23, $C$12, 100%, $E$12)</f>
        <v>18.2316</v>
      </c>
      <c r="F954" s="66">
        <f>18.2316 * CHOOSE(CONTROL!$C$23, $C$12, 100%, $E$12)</f>
        <v>18.2316</v>
      </c>
      <c r="G954" s="66">
        <f>18.2365 * CHOOSE(CONTROL!$C$23, $C$12, 100%, $E$12)</f>
        <v>18.236499999999999</v>
      </c>
      <c r="H954" s="66">
        <f>34.1826* CHOOSE(CONTROL!$C$23, $C$12, 100%, $E$12)</f>
        <v>34.182600000000001</v>
      </c>
      <c r="I954" s="66">
        <f>34.1876 * CHOOSE(CONTROL!$C$23, $C$12, 100%, $E$12)</f>
        <v>34.187600000000003</v>
      </c>
      <c r="J954" s="66">
        <f>34.1826 * CHOOSE(CONTROL!$C$23, $C$12, 100%, $E$12)</f>
        <v>34.182600000000001</v>
      </c>
      <c r="K954" s="66">
        <f>34.1876 * CHOOSE(CONTROL!$C$23, $C$12, 100%, $E$12)</f>
        <v>34.187600000000003</v>
      </c>
      <c r="L954" s="66">
        <f>18.2316 * CHOOSE(CONTROL!$C$23, $C$12, 100%, $E$12)</f>
        <v>18.2316</v>
      </c>
      <c r="M954" s="66">
        <f>18.2365 * CHOOSE(CONTROL!$C$23, $C$12, 100%, $E$12)</f>
        <v>18.236499999999999</v>
      </c>
      <c r="N954" s="66">
        <f>18.2316 * CHOOSE(CONTROL!$C$23, $C$12, 100%, $E$12)</f>
        <v>18.2316</v>
      </c>
      <c r="O954" s="66">
        <f>18.2365 * CHOOSE(CONTROL!$C$23, $C$12, 100%, $E$12)</f>
        <v>18.236499999999999</v>
      </c>
    </row>
    <row r="955" spans="1:15" ht="15">
      <c r="A955" s="13">
        <v>70220</v>
      </c>
      <c r="B955" s="65">
        <f>16.2006 * CHOOSE(CONTROL!$C$23, $C$12, 100%, $E$12)</f>
        <v>16.200600000000001</v>
      </c>
      <c r="C955" s="65">
        <f>16.2006 * CHOOSE(CONTROL!$C$23, $C$12, 100%, $E$12)</f>
        <v>16.200600000000001</v>
      </c>
      <c r="D955" s="65">
        <f>16.2046 * CHOOSE(CONTROL!$C$23, $C$12, 100%, $E$12)</f>
        <v>16.204599999999999</v>
      </c>
      <c r="E955" s="66">
        <f>18.5059 * CHOOSE(CONTROL!$C$23, $C$12, 100%, $E$12)</f>
        <v>18.5059</v>
      </c>
      <c r="F955" s="66">
        <f>18.5059 * CHOOSE(CONTROL!$C$23, $C$12, 100%, $E$12)</f>
        <v>18.5059</v>
      </c>
      <c r="G955" s="66">
        <f>18.5109 * CHOOSE(CONTROL!$C$23, $C$12, 100%, $E$12)</f>
        <v>18.510899999999999</v>
      </c>
      <c r="H955" s="66">
        <f>34.2539* CHOOSE(CONTROL!$C$23, $C$12, 100%, $E$12)</f>
        <v>34.253900000000002</v>
      </c>
      <c r="I955" s="66">
        <f>34.2588 * CHOOSE(CONTROL!$C$23, $C$12, 100%, $E$12)</f>
        <v>34.258800000000001</v>
      </c>
      <c r="J955" s="66">
        <f>34.2539 * CHOOSE(CONTROL!$C$23, $C$12, 100%, $E$12)</f>
        <v>34.253900000000002</v>
      </c>
      <c r="K955" s="66">
        <f>34.2588 * CHOOSE(CONTROL!$C$23, $C$12, 100%, $E$12)</f>
        <v>34.258800000000001</v>
      </c>
      <c r="L955" s="66">
        <f>18.5059 * CHOOSE(CONTROL!$C$23, $C$12, 100%, $E$12)</f>
        <v>18.5059</v>
      </c>
      <c r="M955" s="66">
        <f>18.5109 * CHOOSE(CONTROL!$C$23, $C$12, 100%, $E$12)</f>
        <v>18.510899999999999</v>
      </c>
      <c r="N955" s="66">
        <f>18.5059 * CHOOSE(CONTROL!$C$23, $C$12, 100%, $E$12)</f>
        <v>18.5059</v>
      </c>
      <c r="O955" s="66">
        <f>18.5109 * CHOOSE(CONTROL!$C$23, $C$12, 100%, $E$12)</f>
        <v>18.510899999999999</v>
      </c>
    </row>
    <row r="956" spans="1:15" ht="15">
      <c r="A956" s="13">
        <v>70250</v>
      </c>
      <c r="B956" s="65">
        <f>16.2006 * CHOOSE(CONTROL!$C$23, $C$12, 100%, $E$12)</f>
        <v>16.200600000000001</v>
      </c>
      <c r="C956" s="65">
        <f>16.2006 * CHOOSE(CONTROL!$C$23, $C$12, 100%, $E$12)</f>
        <v>16.200600000000001</v>
      </c>
      <c r="D956" s="65">
        <f>16.2063 * CHOOSE(CONTROL!$C$23, $C$12, 100%, $E$12)</f>
        <v>16.206299999999999</v>
      </c>
      <c r="E956" s="66">
        <f>18.6104 * CHOOSE(CONTROL!$C$23, $C$12, 100%, $E$12)</f>
        <v>18.610399999999998</v>
      </c>
      <c r="F956" s="66">
        <f>18.6104 * CHOOSE(CONTROL!$C$23, $C$12, 100%, $E$12)</f>
        <v>18.610399999999998</v>
      </c>
      <c r="G956" s="66">
        <f>18.6173 * CHOOSE(CONTROL!$C$23, $C$12, 100%, $E$12)</f>
        <v>18.6173</v>
      </c>
      <c r="H956" s="66">
        <f>34.3252* CHOOSE(CONTROL!$C$23, $C$12, 100%, $E$12)</f>
        <v>34.325200000000002</v>
      </c>
      <c r="I956" s="66">
        <f>34.3321 * CHOOSE(CONTROL!$C$23, $C$12, 100%, $E$12)</f>
        <v>34.332099999999997</v>
      </c>
      <c r="J956" s="66">
        <f>34.3252 * CHOOSE(CONTROL!$C$23, $C$12, 100%, $E$12)</f>
        <v>34.325200000000002</v>
      </c>
      <c r="K956" s="66">
        <f>34.3321 * CHOOSE(CONTROL!$C$23, $C$12, 100%, $E$12)</f>
        <v>34.332099999999997</v>
      </c>
      <c r="L956" s="66">
        <f>18.6104 * CHOOSE(CONTROL!$C$23, $C$12, 100%, $E$12)</f>
        <v>18.610399999999998</v>
      </c>
      <c r="M956" s="66">
        <f>18.6173 * CHOOSE(CONTROL!$C$23, $C$12, 100%, $E$12)</f>
        <v>18.6173</v>
      </c>
      <c r="N956" s="66">
        <f>18.6104 * CHOOSE(CONTROL!$C$23, $C$12, 100%, $E$12)</f>
        <v>18.610399999999998</v>
      </c>
      <c r="O956" s="66">
        <f>18.6173 * CHOOSE(CONTROL!$C$23, $C$12, 100%, $E$12)</f>
        <v>18.6173</v>
      </c>
    </row>
    <row r="957" spans="1:15" ht="15">
      <c r="A957" s="13">
        <v>70281</v>
      </c>
      <c r="B957" s="65">
        <f>16.2067 * CHOOSE(CONTROL!$C$23, $C$12, 100%, $E$12)</f>
        <v>16.206700000000001</v>
      </c>
      <c r="C957" s="65">
        <f>16.2067 * CHOOSE(CONTROL!$C$23, $C$12, 100%, $E$12)</f>
        <v>16.206700000000001</v>
      </c>
      <c r="D957" s="65">
        <f>16.2124 * CHOOSE(CONTROL!$C$23, $C$12, 100%, $E$12)</f>
        <v>16.212399999999999</v>
      </c>
      <c r="E957" s="66">
        <f>18.5102 * CHOOSE(CONTROL!$C$23, $C$12, 100%, $E$12)</f>
        <v>18.510200000000001</v>
      </c>
      <c r="F957" s="66">
        <f>18.5102 * CHOOSE(CONTROL!$C$23, $C$12, 100%, $E$12)</f>
        <v>18.510200000000001</v>
      </c>
      <c r="G957" s="66">
        <f>18.5171 * CHOOSE(CONTROL!$C$23, $C$12, 100%, $E$12)</f>
        <v>18.517099999999999</v>
      </c>
      <c r="H957" s="66">
        <f>34.3967* CHOOSE(CONTROL!$C$23, $C$12, 100%, $E$12)</f>
        <v>34.396700000000003</v>
      </c>
      <c r="I957" s="66">
        <f>34.4036 * CHOOSE(CONTROL!$C$23, $C$12, 100%, $E$12)</f>
        <v>34.403599999999997</v>
      </c>
      <c r="J957" s="66">
        <f>34.3967 * CHOOSE(CONTROL!$C$23, $C$12, 100%, $E$12)</f>
        <v>34.396700000000003</v>
      </c>
      <c r="K957" s="66">
        <f>34.4036 * CHOOSE(CONTROL!$C$23, $C$12, 100%, $E$12)</f>
        <v>34.403599999999997</v>
      </c>
      <c r="L957" s="66">
        <f>18.5102 * CHOOSE(CONTROL!$C$23, $C$12, 100%, $E$12)</f>
        <v>18.510200000000001</v>
      </c>
      <c r="M957" s="66">
        <f>18.5171 * CHOOSE(CONTROL!$C$23, $C$12, 100%, $E$12)</f>
        <v>18.517099999999999</v>
      </c>
      <c r="N957" s="66">
        <f>18.5102 * CHOOSE(CONTROL!$C$23, $C$12, 100%, $E$12)</f>
        <v>18.510200000000001</v>
      </c>
      <c r="O957" s="66">
        <f>18.5171 * CHOOSE(CONTROL!$C$23, $C$12, 100%, $E$12)</f>
        <v>18.517099999999999</v>
      </c>
    </row>
    <row r="958" spans="1:15" ht="15">
      <c r="A958" s="13">
        <v>70311</v>
      </c>
      <c r="B958" s="65">
        <f>16.451 * CHOOSE(CONTROL!$C$23, $C$12, 100%, $E$12)</f>
        <v>16.451000000000001</v>
      </c>
      <c r="C958" s="65">
        <f>16.451 * CHOOSE(CONTROL!$C$23, $C$12, 100%, $E$12)</f>
        <v>16.451000000000001</v>
      </c>
      <c r="D958" s="65">
        <f>16.4567 * CHOOSE(CONTROL!$C$23, $C$12, 100%, $E$12)</f>
        <v>16.456700000000001</v>
      </c>
      <c r="E958" s="66">
        <f>18.8029 * CHOOSE(CONTROL!$C$23, $C$12, 100%, $E$12)</f>
        <v>18.802900000000001</v>
      </c>
      <c r="F958" s="66">
        <f>18.8029 * CHOOSE(CONTROL!$C$23, $C$12, 100%, $E$12)</f>
        <v>18.802900000000001</v>
      </c>
      <c r="G958" s="66">
        <f>18.8097 * CHOOSE(CONTROL!$C$23, $C$12, 100%, $E$12)</f>
        <v>18.809699999999999</v>
      </c>
      <c r="H958" s="66">
        <f>34.4684* CHOOSE(CONTROL!$C$23, $C$12, 100%, $E$12)</f>
        <v>34.468400000000003</v>
      </c>
      <c r="I958" s="66">
        <f>34.4753 * CHOOSE(CONTROL!$C$23, $C$12, 100%, $E$12)</f>
        <v>34.475299999999997</v>
      </c>
      <c r="J958" s="66">
        <f>34.4684 * CHOOSE(CONTROL!$C$23, $C$12, 100%, $E$12)</f>
        <v>34.468400000000003</v>
      </c>
      <c r="K958" s="66">
        <f>34.4753 * CHOOSE(CONTROL!$C$23, $C$12, 100%, $E$12)</f>
        <v>34.475299999999997</v>
      </c>
      <c r="L958" s="66">
        <f>18.8029 * CHOOSE(CONTROL!$C$23, $C$12, 100%, $E$12)</f>
        <v>18.802900000000001</v>
      </c>
      <c r="M958" s="66">
        <f>18.8097 * CHOOSE(CONTROL!$C$23, $C$12, 100%, $E$12)</f>
        <v>18.809699999999999</v>
      </c>
      <c r="N958" s="66">
        <f>18.8029 * CHOOSE(CONTROL!$C$23, $C$12, 100%, $E$12)</f>
        <v>18.802900000000001</v>
      </c>
      <c r="O958" s="66">
        <f>18.8097 * CHOOSE(CONTROL!$C$23, $C$12, 100%, $E$12)</f>
        <v>18.809699999999999</v>
      </c>
    </row>
    <row r="959" spans="1:15" ht="15">
      <c r="A959" s="13">
        <v>70342</v>
      </c>
      <c r="B959" s="65">
        <f>16.4577 * CHOOSE(CONTROL!$C$23, $C$12, 100%, $E$12)</f>
        <v>16.457699999999999</v>
      </c>
      <c r="C959" s="65">
        <f>16.4577 * CHOOSE(CONTROL!$C$23, $C$12, 100%, $E$12)</f>
        <v>16.457699999999999</v>
      </c>
      <c r="D959" s="65">
        <f>16.4634 * CHOOSE(CONTROL!$C$23, $C$12, 100%, $E$12)</f>
        <v>16.4634</v>
      </c>
      <c r="E959" s="66">
        <f>18.4941 * CHOOSE(CONTROL!$C$23, $C$12, 100%, $E$12)</f>
        <v>18.4941</v>
      </c>
      <c r="F959" s="66">
        <f>18.4941 * CHOOSE(CONTROL!$C$23, $C$12, 100%, $E$12)</f>
        <v>18.4941</v>
      </c>
      <c r="G959" s="66">
        <f>18.501 * CHOOSE(CONTROL!$C$23, $C$12, 100%, $E$12)</f>
        <v>18.501000000000001</v>
      </c>
      <c r="H959" s="66">
        <f>34.5402* CHOOSE(CONTROL!$C$23, $C$12, 100%, $E$12)</f>
        <v>34.540199999999999</v>
      </c>
      <c r="I959" s="66">
        <f>34.5471 * CHOOSE(CONTROL!$C$23, $C$12, 100%, $E$12)</f>
        <v>34.5471</v>
      </c>
      <c r="J959" s="66">
        <f>34.5402 * CHOOSE(CONTROL!$C$23, $C$12, 100%, $E$12)</f>
        <v>34.540199999999999</v>
      </c>
      <c r="K959" s="66">
        <f>34.5471 * CHOOSE(CONTROL!$C$23, $C$12, 100%, $E$12)</f>
        <v>34.5471</v>
      </c>
      <c r="L959" s="66">
        <f>18.4941 * CHOOSE(CONTROL!$C$23, $C$12, 100%, $E$12)</f>
        <v>18.4941</v>
      </c>
      <c r="M959" s="66">
        <f>18.501 * CHOOSE(CONTROL!$C$23, $C$12, 100%, $E$12)</f>
        <v>18.501000000000001</v>
      </c>
      <c r="N959" s="66">
        <f>18.4941 * CHOOSE(CONTROL!$C$23, $C$12, 100%, $E$12)</f>
        <v>18.4941</v>
      </c>
      <c r="O959" s="66">
        <f>18.501 * CHOOSE(CONTROL!$C$23, $C$12, 100%, $E$12)</f>
        <v>18.501000000000001</v>
      </c>
    </row>
    <row r="960" spans="1:15" ht="15">
      <c r="A960" s="13">
        <v>70373</v>
      </c>
      <c r="B960" s="65">
        <f>16.4547 * CHOOSE(CONTROL!$C$23, $C$12, 100%, $E$12)</f>
        <v>16.454699999999999</v>
      </c>
      <c r="C960" s="65">
        <f>16.4547 * CHOOSE(CONTROL!$C$23, $C$12, 100%, $E$12)</f>
        <v>16.454699999999999</v>
      </c>
      <c r="D960" s="65">
        <f>16.4603 * CHOOSE(CONTROL!$C$23, $C$12, 100%, $E$12)</f>
        <v>16.4603</v>
      </c>
      <c r="E960" s="66">
        <f>18.4572 * CHOOSE(CONTROL!$C$23, $C$12, 100%, $E$12)</f>
        <v>18.4572</v>
      </c>
      <c r="F960" s="66">
        <f>18.4572 * CHOOSE(CONTROL!$C$23, $C$12, 100%, $E$12)</f>
        <v>18.4572</v>
      </c>
      <c r="G960" s="66">
        <f>18.4641 * CHOOSE(CONTROL!$C$23, $C$12, 100%, $E$12)</f>
        <v>18.464099999999998</v>
      </c>
      <c r="H960" s="66">
        <f>34.6122* CHOOSE(CONTROL!$C$23, $C$12, 100%, $E$12)</f>
        <v>34.612200000000001</v>
      </c>
      <c r="I960" s="66">
        <f>34.6191 * CHOOSE(CONTROL!$C$23, $C$12, 100%, $E$12)</f>
        <v>34.619100000000003</v>
      </c>
      <c r="J960" s="66">
        <f>34.6122 * CHOOSE(CONTROL!$C$23, $C$12, 100%, $E$12)</f>
        <v>34.612200000000001</v>
      </c>
      <c r="K960" s="66">
        <f>34.6191 * CHOOSE(CONTROL!$C$23, $C$12, 100%, $E$12)</f>
        <v>34.619100000000003</v>
      </c>
      <c r="L960" s="66">
        <f>18.4572 * CHOOSE(CONTROL!$C$23, $C$12, 100%, $E$12)</f>
        <v>18.4572</v>
      </c>
      <c r="M960" s="66">
        <f>18.4641 * CHOOSE(CONTROL!$C$23, $C$12, 100%, $E$12)</f>
        <v>18.464099999999998</v>
      </c>
      <c r="N960" s="66">
        <f>18.4572 * CHOOSE(CONTROL!$C$23, $C$12, 100%, $E$12)</f>
        <v>18.4572</v>
      </c>
      <c r="O960" s="66">
        <f>18.4641 * CHOOSE(CONTROL!$C$23, $C$12, 100%, $E$12)</f>
        <v>18.464099999999998</v>
      </c>
    </row>
    <row r="961" spans="1:15" ht="15">
      <c r="A961" s="13">
        <v>70403</v>
      </c>
      <c r="B961" s="65">
        <f>16.4898 * CHOOSE(CONTROL!$C$23, $C$12, 100%, $E$12)</f>
        <v>16.489799999999999</v>
      </c>
      <c r="C961" s="65">
        <f>16.4898 * CHOOSE(CONTROL!$C$23, $C$12, 100%, $E$12)</f>
        <v>16.489799999999999</v>
      </c>
      <c r="D961" s="65">
        <f>16.4938 * CHOOSE(CONTROL!$C$23, $C$12, 100%, $E$12)</f>
        <v>16.4938</v>
      </c>
      <c r="E961" s="66">
        <f>18.583 * CHOOSE(CONTROL!$C$23, $C$12, 100%, $E$12)</f>
        <v>18.582999999999998</v>
      </c>
      <c r="F961" s="66">
        <f>18.583 * CHOOSE(CONTROL!$C$23, $C$12, 100%, $E$12)</f>
        <v>18.582999999999998</v>
      </c>
      <c r="G961" s="66">
        <f>18.588 * CHOOSE(CONTROL!$C$23, $C$12, 100%, $E$12)</f>
        <v>18.588000000000001</v>
      </c>
      <c r="H961" s="66">
        <f>34.6843* CHOOSE(CONTROL!$C$23, $C$12, 100%, $E$12)</f>
        <v>34.6843</v>
      </c>
      <c r="I961" s="66">
        <f>34.6892 * CHOOSE(CONTROL!$C$23, $C$12, 100%, $E$12)</f>
        <v>34.6892</v>
      </c>
      <c r="J961" s="66">
        <f>34.6843 * CHOOSE(CONTROL!$C$23, $C$12, 100%, $E$12)</f>
        <v>34.6843</v>
      </c>
      <c r="K961" s="66">
        <f>34.6892 * CHOOSE(CONTROL!$C$23, $C$12, 100%, $E$12)</f>
        <v>34.6892</v>
      </c>
      <c r="L961" s="66">
        <f>18.583 * CHOOSE(CONTROL!$C$23, $C$12, 100%, $E$12)</f>
        <v>18.582999999999998</v>
      </c>
      <c r="M961" s="66">
        <f>18.588 * CHOOSE(CONTROL!$C$23, $C$12, 100%, $E$12)</f>
        <v>18.588000000000001</v>
      </c>
      <c r="N961" s="66">
        <f>18.583 * CHOOSE(CONTROL!$C$23, $C$12, 100%, $E$12)</f>
        <v>18.582999999999998</v>
      </c>
      <c r="O961" s="66">
        <f>18.588 * CHOOSE(CONTROL!$C$23, $C$12, 100%, $E$12)</f>
        <v>18.588000000000001</v>
      </c>
    </row>
    <row r="962" spans="1:15" ht="15">
      <c r="A962" s="13">
        <v>70434</v>
      </c>
      <c r="B962" s="65">
        <f>16.4928 * CHOOSE(CONTROL!$C$23, $C$12, 100%, $E$12)</f>
        <v>16.492799999999999</v>
      </c>
      <c r="C962" s="65">
        <f>16.4928 * CHOOSE(CONTROL!$C$23, $C$12, 100%, $E$12)</f>
        <v>16.492799999999999</v>
      </c>
      <c r="D962" s="65">
        <f>16.4968 * CHOOSE(CONTROL!$C$23, $C$12, 100%, $E$12)</f>
        <v>16.4968</v>
      </c>
      <c r="E962" s="66">
        <f>18.6548 * CHOOSE(CONTROL!$C$23, $C$12, 100%, $E$12)</f>
        <v>18.654800000000002</v>
      </c>
      <c r="F962" s="66">
        <f>18.6548 * CHOOSE(CONTROL!$C$23, $C$12, 100%, $E$12)</f>
        <v>18.654800000000002</v>
      </c>
      <c r="G962" s="66">
        <f>18.6597 * CHOOSE(CONTROL!$C$23, $C$12, 100%, $E$12)</f>
        <v>18.659700000000001</v>
      </c>
      <c r="H962" s="66">
        <f>34.7565* CHOOSE(CONTROL!$C$23, $C$12, 100%, $E$12)</f>
        <v>34.756500000000003</v>
      </c>
      <c r="I962" s="66">
        <f>34.7614 * CHOOSE(CONTROL!$C$23, $C$12, 100%, $E$12)</f>
        <v>34.761400000000002</v>
      </c>
      <c r="J962" s="66">
        <f>34.7565 * CHOOSE(CONTROL!$C$23, $C$12, 100%, $E$12)</f>
        <v>34.756500000000003</v>
      </c>
      <c r="K962" s="66">
        <f>34.7614 * CHOOSE(CONTROL!$C$23, $C$12, 100%, $E$12)</f>
        <v>34.761400000000002</v>
      </c>
      <c r="L962" s="66">
        <f>18.6548 * CHOOSE(CONTROL!$C$23, $C$12, 100%, $E$12)</f>
        <v>18.654800000000002</v>
      </c>
      <c r="M962" s="66">
        <f>18.6597 * CHOOSE(CONTROL!$C$23, $C$12, 100%, $E$12)</f>
        <v>18.659700000000001</v>
      </c>
      <c r="N962" s="66">
        <f>18.6548 * CHOOSE(CONTROL!$C$23, $C$12, 100%, $E$12)</f>
        <v>18.654800000000002</v>
      </c>
      <c r="O962" s="66">
        <f>18.6597 * CHOOSE(CONTROL!$C$23, $C$12, 100%, $E$12)</f>
        <v>18.659700000000001</v>
      </c>
    </row>
    <row r="963" spans="1:15" ht="15">
      <c r="A963" s="13">
        <v>70464</v>
      </c>
      <c r="B963" s="65">
        <f>16.4928 * CHOOSE(CONTROL!$C$23, $C$12, 100%, $E$12)</f>
        <v>16.492799999999999</v>
      </c>
      <c r="C963" s="65">
        <f>16.4928 * CHOOSE(CONTROL!$C$23, $C$12, 100%, $E$12)</f>
        <v>16.492799999999999</v>
      </c>
      <c r="D963" s="65">
        <f>16.4968 * CHOOSE(CONTROL!$C$23, $C$12, 100%, $E$12)</f>
        <v>16.4968</v>
      </c>
      <c r="E963" s="66">
        <f>18.4807 * CHOOSE(CONTROL!$C$23, $C$12, 100%, $E$12)</f>
        <v>18.480699999999999</v>
      </c>
      <c r="F963" s="66">
        <f>18.4807 * CHOOSE(CONTROL!$C$23, $C$12, 100%, $E$12)</f>
        <v>18.480699999999999</v>
      </c>
      <c r="G963" s="66">
        <f>18.4856 * CHOOSE(CONTROL!$C$23, $C$12, 100%, $E$12)</f>
        <v>18.485600000000002</v>
      </c>
      <c r="H963" s="66">
        <f>34.8289* CHOOSE(CONTROL!$C$23, $C$12, 100%, $E$12)</f>
        <v>34.828899999999997</v>
      </c>
      <c r="I963" s="66">
        <f>34.8339 * CHOOSE(CONTROL!$C$23, $C$12, 100%, $E$12)</f>
        <v>34.8339</v>
      </c>
      <c r="J963" s="66">
        <f>34.8289 * CHOOSE(CONTROL!$C$23, $C$12, 100%, $E$12)</f>
        <v>34.828899999999997</v>
      </c>
      <c r="K963" s="66">
        <f>34.8339 * CHOOSE(CONTROL!$C$23, $C$12, 100%, $E$12)</f>
        <v>34.8339</v>
      </c>
      <c r="L963" s="66">
        <f>18.4807 * CHOOSE(CONTROL!$C$23, $C$12, 100%, $E$12)</f>
        <v>18.480699999999999</v>
      </c>
      <c r="M963" s="66">
        <f>18.4856 * CHOOSE(CONTROL!$C$23, $C$12, 100%, $E$12)</f>
        <v>18.485600000000002</v>
      </c>
      <c r="N963" s="66">
        <f>18.4807 * CHOOSE(CONTROL!$C$23, $C$12, 100%, $E$12)</f>
        <v>18.480699999999999</v>
      </c>
      <c r="O963" s="66">
        <f>18.4856 * CHOOSE(CONTROL!$C$23, $C$12, 100%, $E$12)</f>
        <v>18.485600000000002</v>
      </c>
    </row>
    <row r="964" spans="1:15" ht="15">
      <c r="A964" s="13">
        <v>70495</v>
      </c>
      <c r="B964" s="65">
        <f>16.4344 * CHOOSE(CONTROL!$C$23, $C$12, 100%, $E$12)</f>
        <v>16.4344</v>
      </c>
      <c r="C964" s="65">
        <f>16.4344 * CHOOSE(CONTROL!$C$23, $C$12, 100%, $E$12)</f>
        <v>16.4344</v>
      </c>
      <c r="D964" s="65">
        <f>16.4384 * CHOOSE(CONTROL!$C$23, $C$12, 100%, $E$12)</f>
        <v>16.438400000000001</v>
      </c>
      <c r="E964" s="66">
        <f>18.5602 * CHOOSE(CONTROL!$C$23, $C$12, 100%, $E$12)</f>
        <v>18.560199999999998</v>
      </c>
      <c r="F964" s="66">
        <f>18.5602 * CHOOSE(CONTROL!$C$23, $C$12, 100%, $E$12)</f>
        <v>18.560199999999998</v>
      </c>
      <c r="G964" s="66">
        <f>18.5651 * CHOOSE(CONTROL!$C$23, $C$12, 100%, $E$12)</f>
        <v>18.565100000000001</v>
      </c>
      <c r="H964" s="66">
        <f>34.5232* CHOOSE(CONTROL!$C$23, $C$12, 100%, $E$12)</f>
        <v>34.523200000000003</v>
      </c>
      <c r="I964" s="66">
        <f>34.5281 * CHOOSE(CONTROL!$C$23, $C$12, 100%, $E$12)</f>
        <v>34.528100000000002</v>
      </c>
      <c r="J964" s="66">
        <f>34.5232 * CHOOSE(CONTROL!$C$23, $C$12, 100%, $E$12)</f>
        <v>34.523200000000003</v>
      </c>
      <c r="K964" s="66">
        <f>34.5281 * CHOOSE(CONTROL!$C$23, $C$12, 100%, $E$12)</f>
        <v>34.528100000000002</v>
      </c>
      <c r="L964" s="66">
        <f>18.5602 * CHOOSE(CONTROL!$C$23, $C$12, 100%, $E$12)</f>
        <v>18.560199999999998</v>
      </c>
      <c r="M964" s="66">
        <f>18.5651 * CHOOSE(CONTROL!$C$23, $C$12, 100%, $E$12)</f>
        <v>18.565100000000001</v>
      </c>
      <c r="N964" s="66">
        <f>18.5602 * CHOOSE(CONTROL!$C$23, $C$12, 100%, $E$12)</f>
        <v>18.560199999999998</v>
      </c>
      <c r="O964" s="66">
        <f>18.5651 * CHOOSE(CONTROL!$C$23, $C$12, 100%, $E$12)</f>
        <v>18.565100000000001</v>
      </c>
    </row>
    <row r="965" spans="1:15" ht="15">
      <c r="A965" s="13">
        <v>70526</v>
      </c>
      <c r="B965" s="65">
        <f>16.4314 * CHOOSE(CONTROL!$C$23, $C$12, 100%, $E$12)</f>
        <v>16.4314</v>
      </c>
      <c r="C965" s="65">
        <f>16.4314 * CHOOSE(CONTROL!$C$23, $C$12, 100%, $E$12)</f>
        <v>16.4314</v>
      </c>
      <c r="D965" s="65">
        <f>16.4354 * CHOOSE(CONTROL!$C$23, $C$12, 100%, $E$12)</f>
        <v>16.435400000000001</v>
      </c>
      <c r="E965" s="66">
        <f>18.2241 * CHOOSE(CONTROL!$C$23, $C$12, 100%, $E$12)</f>
        <v>18.2241</v>
      </c>
      <c r="F965" s="66">
        <f>18.2241 * CHOOSE(CONTROL!$C$23, $C$12, 100%, $E$12)</f>
        <v>18.2241</v>
      </c>
      <c r="G965" s="66">
        <f>18.229 * CHOOSE(CONTROL!$C$23, $C$12, 100%, $E$12)</f>
        <v>18.228999999999999</v>
      </c>
      <c r="H965" s="66">
        <f>34.5951* CHOOSE(CONTROL!$C$23, $C$12, 100%, $E$12)</f>
        <v>34.595100000000002</v>
      </c>
      <c r="I965" s="66">
        <f>34.6001 * CHOOSE(CONTROL!$C$23, $C$12, 100%, $E$12)</f>
        <v>34.600099999999998</v>
      </c>
      <c r="J965" s="66">
        <f>34.5951 * CHOOSE(CONTROL!$C$23, $C$12, 100%, $E$12)</f>
        <v>34.595100000000002</v>
      </c>
      <c r="K965" s="66">
        <f>34.6001 * CHOOSE(CONTROL!$C$23, $C$12, 100%, $E$12)</f>
        <v>34.600099999999998</v>
      </c>
      <c r="L965" s="66">
        <f>18.2241 * CHOOSE(CONTROL!$C$23, $C$12, 100%, $E$12)</f>
        <v>18.2241</v>
      </c>
      <c r="M965" s="66">
        <f>18.229 * CHOOSE(CONTROL!$C$23, $C$12, 100%, $E$12)</f>
        <v>18.228999999999999</v>
      </c>
      <c r="N965" s="66">
        <f>18.2241 * CHOOSE(CONTROL!$C$23, $C$12, 100%, $E$12)</f>
        <v>18.2241</v>
      </c>
      <c r="O965" s="66">
        <f>18.229 * CHOOSE(CONTROL!$C$23, $C$12, 100%, $E$12)</f>
        <v>18.228999999999999</v>
      </c>
    </row>
    <row r="966" spans="1:15" ht="15">
      <c r="A966" s="13">
        <v>70554</v>
      </c>
      <c r="B966" s="65">
        <f>16.4284 * CHOOSE(CONTROL!$C$23, $C$12, 100%, $E$12)</f>
        <v>16.4284</v>
      </c>
      <c r="C966" s="65">
        <f>16.4284 * CHOOSE(CONTROL!$C$23, $C$12, 100%, $E$12)</f>
        <v>16.4284</v>
      </c>
      <c r="D966" s="65">
        <f>16.4324 * CHOOSE(CONTROL!$C$23, $C$12, 100%, $E$12)</f>
        <v>16.432400000000001</v>
      </c>
      <c r="E966" s="66">
        <f>18.4853 * CHOOSE(CONTROL!$C$23, $C$12, 100%, $E$12)</f>
        <v>18.485299999999999</v>
      </c>
      <c r="F966" s="66">
        <f>18.4853 * CHOOSE(CONTROL!$C$23, $C$12, 100%, $E$12)</f>
        <v>18.485299999999999</v>
      </c>
      <c r="G966" s="66">
        <f>18.4902 * CHOOSE(CONTROL!$C$23, $C$12, 100%, $E$12)</f>
        <v>18.490200000000002</v>
      </c>
      <c r="H966" s="66">
        <f>34.6672* CHOOSE(CONTROL!$C$23, $C$12, 100%, $E$12)</f>
        <v>34.667200000000001</v>
      </c>
      <c r="I966" s="66">
        <f>34.6721 * CHOOSE(CONTROL!$C$23, $C$12, 100%, $E$12)</f>
        <v>34.6721</v>
      </c>
      <c r="J966" s="66">
        <f>34.6672 * CHOOSE(CONTROL!$C$23, $C$12, 100%, $E$12)</f>
        <v>34.667200000000001</v>
      </c>
      <c r="K966" s="66">
        <f>34.6721 * CHOOSE(CONTROL!$C$23, $C$12, 100%, $E$12)</f>
        <v>34.6721</v>
      </c>
      <c r="L966" s="66">
        <f>18.4853 * CHOOSE(CONTROL!$C$23, $C$12, 100%, $E$12)</f>
        <v>18.485299999999999</v>
      </c>
      <c r="M966" s="66">
        <f>18.4902 * CHOOSE(CONTROL!$C$23, $C$12, 100%, $E$12)</f>
        <v>18.490200000000002</v>
      </c>
      <c r="N966" s="66">
        <f>18.4853 * CHOOSE(CONTROL!$C$23, $C$12, 100%, $E$12)</f>
        <v>18.485299999999999</v>
      </c>
      <c r="O966" s="66">
        <f>18.4902 * CHOOSE(CONTROL!$C$23, $C$12, 100%, $E$12)</f>
        <v>18.490200000000002</v>
      </c>
    </row>
    <row r="967" spans="1:15" ht="15">
      <c r="A967" s="13">
        <v>70585</v>
      </c>
      <c r="B967" s="65">
        <f>16.4364 * CHOOSE(CONTROL!$C$23, $C$12, 100%, $E$12)</f>
        <v>16.436399999999999</v>
      </c>
      <c r="C967" s="65">
        <f>16.4364 * CHOOSE(CONTROL!$C$23, $C$12, 100%, $E$12)</f>
        <v>16.436399999999999</v>
      </c>
      <c r="D967" s="65">
        <f>16.4404 * CHOOSE(CONTROL!$C$23, $C$12, 100%, $E$12)</f>
        <v>16.4404</v>
      </c>
      <c r="E967" s="66">
        <f>18.7638 * CHOOSE(CONTROL!$C$23, $C$12, 100%, $E$12)</f>
        <v>18.7638</v>
      </c>
      <c r="F967" s="66">
        <f>18.7638 * CHOOSE(CONTROL!$C$23, $C$12, 100%, $E$12)</f>
        <v>18.7638</v>
      </c>
      <c r="G967" s="66">
        <f>18.7687 * CHOOSE(CONTROL!$C$23, $C$12, 100%, $E$12)</f>
        <v>18.768699999999999</v>
      </c>
      <c r="H967" s="66">
        <f>34.7394* CHOOSE(CONTROL!$C$23, $C$12, 100%, $E$12)</f>
        <v>34.739400000000003</v>
      </c>
      <c r="I967" s="66">
        <f>34.7443 * CHOOSE(CONTROL!$C$23, $C$12, 100%, $E$12)</f>
        <v>34.744300000000003</v>
      </c>
      <c r="J967" s="66">
        <f>34.7394 * CHOOSE(CONTROL!$C$23, $C$12, 100%, $E$12)</f>
        <v>34.739400000000003</v>
      </c>
      <c r="K967" s="66">
        <f>34.7443 * CHOOSE(CONTROL!$C$23, $C$12, 100%, $E$12)</f>
        <v>34.744300000000003</v>
      </c>
      <c r="L967" s="66">
        <f>18.7638 * CHOOSE(CONTROL!$C$23, $C$12, 100%, $E$12)</f>
        <v>18.7638</v>
      </c>
      <c r="M967" s="66">
        <f>18.7687 * CHOOSE(CONTROL!$C$23, $C$12, 100%, $E$12)</f>
        <v>18.768699999999999</v>
      </c>
      <c r="N967" s="66">
        <f>18.7638 * CHOOSE(CONTROL!$C$23, $C$12, 100%, $E$12)</f>
        <v>18.7638</v>
      </c>
      <c r="O967" s="66">
        <f>18.7687 * CHOOSE(CONTROL!$C$23, $C$12, 100%, $E$12)</f>
        <v>18.768699999999999</v>
      </c>
    </row>
    <row r="968" spans="1:15" ht="15">
      <c r="A968" s="13">
        <v>70615</v>
      </c>
      <c r="B968" s="65">
        <f>16.4364 * CHOOSE(CONTROL!$C$23, $C$12, 100%, $E$12)</f>
        <v>16.436399999999999</v>
      </c>
      <c r="C968" s="65">
        <f>16.4364 * CHOOSE(CONTROL!$C$23, $C$12, 100%, $E$12)</f>
        <v>16.436399999999999</v>
      </c>
      <c r="D968" s="65">
        <f>16.442 * CHOOSE(CONTROL!$C$23, $C$12, 100%, $E$12)</f>
        <v>16.442</v>
      </c>
      <c r="E968" s="66">
        <f>18.8698 * CHOOSE(CONTROL!$C$23, $C$12, 100%, $E$12)</f>
        <v>18.869800000000001</v>
      </c>
      <c r="F968" s="66">
        <f>18.8698 * CHOOSE(CONTROL!$C$23, $C$12, 100%, $E$12)</f>
        <v>18.869800000000001</v>
      </c>
      <c r="G968" s="66">
        <f>18.8767 * CHOOSE(CONTROL!$C$23, $C$12, 100%, $E$12)</f>
        <v>18.8767</v>
      </c>
      <c r="H968" s="66">
        <f>34.8118* CHOOSE(CONTROL!$C$23, $C$12, 100%, $E$12)</f>
        <v>34.811799999999998</v>
      </c>
      <c r="I968" s="66">
        <f>34.8187 * CHOOSE(CONTROL!$C$23, $C$12, 100%, $E$12)</f>
        <v>34.8187</v>
      </c>
      <c r="J968" s="66">
        <f>34.8118 * CHOOSE(CONTROL!$C$23, $C$12, 100%, $E$12)</f>
        <v>34.811799999999998</v>
      </c>
      <c r="K968" s="66">
        <f>34.8187 * CHOOSE(CONTROL!$C$23, $C$12, 100%, $E$12)</f>
        <v>34.8187</v>
      </c>
      <c r="L968" s="66">
        <f>18.8698 * CHOOSE(CONTROL!$C$23, $C$12, 100%, $E$12)</f>
        <v>18.869800000000001</v>
      </c>
      <c r="M968" s="66">
        <f>18.8767 * CHOOSE(CONTROL!$C$23, $C$12, 100%, $E$12)</f>
        <v>18.8767</v>
      </c>
      <c r="N968" s="66">
        <f>18.8698 * CHOOSE(CONTROL!$C$23, $C$12, 100%, $E$12)</f>
        <v>18.869800000000001</v>
      </c>
      <c r="O968" s="66">
        <f>18.8767 * CHOOSE(CONTROL!$C$23, $C$12, 100%, $E$12)</f>
        <v>18.8767</v>
      </c>
    </row>
    <row r="969" spans="1:15" ht="15">
      <c r="A969" s="13">
        <v>70646</v>
      </c>
      <c r="B969" s="65">
        <f>16.4425 * CHOOSE(CONTROL!$C$23, $C$12, 100%, $E$12)</f>
        <v>16.442499999999999</v>
      </c>
      <c r="C969" s="65">
        <f>16.4425 * CHOOSE(CONTROL!$C$23, $C$12, 100%, $E$12)</f>
        <v>16.442499999999999</v>
      </c>
      <c r="D969" s="65">
        <f>16.4481 * CHOOSE(CONTROL!$C$23, $C$12, 100%, $E$12)</f>
        <v>16.4481</v>
      </c>
      <c r="E969" s="66">
        <f>18.768 * CHOOSE(CONTROL!$C$23, $C$12, 100%, $E$12)</f>
        <v>18.768000000000001</v>
      </c>
      <c r="F969" s="66">
        <f>18.768 * CHOOSE(CONTROL!$C$23, $C$12, 100%, $E$12)</f>
        <v>18.768000000000001</v>
      </c>
      <c r="G969" s="66">
        <f>18.7749 * CHOOSE(CONTROL!$C$23, $C$12, 100%, $E$12)</f>
        <v>18.774899999999999</v>
      </c>
      <c r="H969" s="66">
        <f>34.8843* CHOOSE(CONTROL!$C$23, $C$12, 100%, $E$12)</f>
        <v>34.884300000000003</v>
      </c>
      <c r="I969" s="66">
        <f>34.8912 * CHOOSE(CONTROL!$C$23, $C$12, 100%, $E$12)</f>
        <v>34.891199999999998</v>
      </c>
      <c r="J969" s="66">
        <f>34.8843 * CHOOSE(CONTROL!$C$23, $C$12, 100%, $E$12)</f>
        <v>34.884300000000003</v>
      </c>
      <c r="K969" s="66">
        <f>34.8912 * CHOOSE(CONTROL!$C$23, $C$12, 100%, $E$12)</f>
        <v>34.891199999999998</v>
      </c>
      <c r="L969" s="66">
        <f>18.768 * CHOOSE(CONTROL!$C$23, $C$12, 100%, $E$12)</f>
        <v>18.768000000000001</v>
      </c>
      <c r="M969" s="66">
        <f>18.7749 * CHOOSE(CONTROL!$C$23, $C$12, 100%, $E$12)</f>
        <v>18.774899999999999</v>
      </c>
      <c r="N969" s="66">
        <f>18.768 * CHOOSE(CONTROL!$C$23, $C$12, 100%, $E$12)</f>
        <v>18.768000000000001</v>
      </c>
      <c r="O969" s="66">
        <f>18.7749 * CHOOSE(CONTROL!$C$23, $C$12, 100%, $E$12)</f>
        <v>18.774899999999999</v>
      </c>
    </row>
    <row r="970" spans="1:15" ht="15">
      <c r="A970" s="13">
        <v>70676</v>
      </c>
      <c r="B970" s="65">
        <f>16.6902 * CHOOSE(CONTROL!$C$23, $C$12, 100%, $E$12)</f>
        <v>16.690200000000001</v>
      </c>
      <c r="C970" s="65">
        <f>16.6902 * CHOOSE(CONTROL!$C$23, $C$12, 100%, $E$12)</f>
        <v>16.690200000000001</v>
      </c>
      <c r="D970" s="65">
        <f>16.6958 * CHOOSE(CONTROL!$C$23, $C$12, 100%, $E$12)</f>
        <v>16.695799999999998</v>
      </c>
      <c r="E970" s="66">
        <f>19.0646 * CHOOSE(CONTROL!$C$23, $C$12, 100%, $E$12)</f>
        <v>19.064599999999999</v>
      </c>
      <c r="F970" s="66">
        <f>19.0646 * CHOOSE(CONTROL!$C$23, $C$12, 100%, $E$12)</f>
        <v>19.064599999999999</v>
      </c>
      <c r="G970" s="66">
        <f>19.0715 * CHOOSE(CONTROL!$C$23, $C$12, 100%, $E$12)</f>
        <v>19.0715</v>
      </c>
      <c r="H970" s="66">
        <f>34.957* CHOOSE(CONTROL!$C$23, $C$12, 100%, $E$12)</f>
        <v>34.957000000000001</v>
      </c>
      <c r="I970" s="66">
        <f>34.9639 * CHOOSE(CONTROL!$C$23, $C$12, 100%, $E$12)</f>
        <v>34.963900000000002</v>
      </c>
      <c r="J970" s="66">
        <f>34.957 * CHOOSE(CONTROL!$C$23, $C$12, 100%, $E$12)</f>
        <v>34.957000000000001</v>
      </c>
      <c r="K970" s="66">
        <f>34.9639 * CHOOSE(CONTROL!$C$23, $C$12, 100%, $E$12)</f>
        <v>34.963900000000002</v>
      </c>
      <c r="L970" s="66">
        <f>19.0646 * CHOOSE(CONTROL!$C$23, $C$12, 100%, $E$12)</f>
        <v>19.064599999999999</v>
      </c>
      <c r="M970" s="66">
        <f>19.0715 * CHOOSE(CONTROL!$C$23, $C$12, 100%, $E$12)</f>
        <v>19.0715</v>
      </c>
      <c r="N970" s="66">
        <f>19.0646 * CHOOSE(CONTROL!$C$23, $C$12, 100%, $E$12)</f>
        <v>19.064599999999999</v>
      </c>
      <c r="O970" s="66">
        <f>19.0715 * CHOOSE(CONTROL!$C$23, $C$12, 100%, $E$12)</f>
        <v>19.0715</v>
      </c>
    </row>
    <row r="971" spans="1:15" ht="15">
      <c r="A971" s="13">
        <v>70707</v>
      </c>
      <c r="B971" s="65">
        <f>16.6969 * CHOOSE(CONTROL!$C$23, $C$12, 100%, $E$12)</f>
        <v>16.696899999999999</v>
      </c>
      <c r="C971" s="65">
        <f>16.6969 * CHOOSE(CONTROL!$C$23, $C$12, 100%, $E$12)</f>
        <v>16.696899999999999</v>
      </c>
      <c r="D971" s="65">
        <f>16.7025 * CHOOSE(CONTROL!$C$23, $C$12, 100%, $E$12)</f>
        <v>16.702500000000001</v>
      </c>
      <c r="E971" s="66">
        <f>18.7512 * CHOOSE(CONTROL!$C$23, $C$12, 100%, $E$12)</f>
        <v>18.751200000000001</v>
      </c>
      <c r="F971" s="66">
        <f>18.7512 * CHOOSE(CONTROL!$C$23, $C$12, 100%, $E$12)</f>
        <v>18.751200000000001</v>
      </c>
      <c r="G971" s="66">
        <f>18.7581 * CHOOSE(CONTROL!$C$23, $C$12, 100%, $E$12)</f>
        <v>18.758099999999999</v>
      </c>
      <c r="H971" s="66">
        <f>35.0298* CHOOSE(CONTROL!$C$23, $C$12, 100%, $E$12)</f>
        <v>35.029800000000002</v>
      </c>
      <c r="I971" s="66">
        <f>35.0367 * CHOOSE(CONTROL!$C$23, $C$12, 100%, $E$12)</f>
        <v>35.036700000000003</v>
      </c>
      <c r="J971" s="66">
        <f>35.0298 * CHOOSE(CONTROL!$C$23, $C$12, 100%, $E$12)</f>
        <v>35.029800000000002</v>
      </c>
      <c r="K971" s="66">
        <f>35.0367 * CHOOSE(CONTROL!$C$23, $C$12, 100%, $E$12)</f>
        <v>35.036700000000003</v>
      </c>
      <c r="L971" s="66">
        <f>18.7512 * CHOOSE(CONTROL!$C$23, $C$12, 100%, $E$12)</f>
        <v>18.751200000000001</v>
      </c>
      <c r="M971" s="66">
        <f>18.7581 * CHOOSE(CONTROL!$C$23, $C$12, 100%, $E$12)</f>
        <v>18.758099999999999</v>
      </c>
      <c r="N971" s="66">
        <f>18.7512 * CHOOSE(CONTROL!$C$23, $C$12, 100%, $E$12)</f>
        <v>18.751200000000001</v>
      </c>
      <c r="O971" s="66">
        <f>18.7581 * CHOOSE(CONTROL!$C$23, $C$12, 100%, $E$12)</f>
        <v>18.758099999999999</v>
      </c>
    </row>
    <row r="972" spans="1:15" ht="15">
      <c r="A972" s="13">
        <v>70738</v>
      </c>
      <c r="B972" s="65">
        <f>16.6939 * CHOOSE(CONTROL!$C$23, $C$12, 100%, $E$12)</f>
        <v>16.693899999999999</v>
      </c>
      <c r="C972" s="65">
        <f>16.6939 * CHOOSE(CONTROL!$C$23, $C$12, 100%, $E$12)</f>
        <v>16.693899999999999</v>
      </c>
      <c r="D972" s="65">
        <f>16.6995 * CHOOSE(CONTROL!$C$23, $C$12, 100%, $E$12)</f>
        <v>16.6995</v>
      </c>
      <c r="E972" s="66">
        <f>18.7137 * CHOOSE(CONTROL!$C$23, $C$12, 100%, $E$12)</f>
        <v>18.713699999999999</v>
      </c>
      <c r="F972" s="66">
        <f>18.7137 * CHOOSE(CONTROL!$C$23, $C$12, 100%, $E$12)</f>
        <v>18.713699999999999</v>
      </c>
      <c r="G972" s="66">
        <f>18.7206 * CHOOSE(CONTROL!$C$23, $C$12, 100%, $E$12)</f>
        <v>18.720600000000001</v>
      </c>
      <c r="H972" s="66">
        <f>35.1028* CHOOSE(CONTROL!$C$23, $C$12, 100%, $E$12)</f>
        <v>35.102800000000002</v>
      </c>
      <c r="I972" s="66">
        <f>35.1097 * CHOOSE(CONTROL!$C$23, $C$12, 100%, $E$12)</f>
        <v>35.109699999999997</v>
      </c>
      <c r="J972" s="66">
        <f>35.1028 * CHOOSE(CONTROL!$C$23, $C$12, 100%, $E$12)</f>
        <v>35.102800000000002</v>
      </c>
      <c r="K972" s="66">
        <f>35.1097 * CHOOSE(CONTROL!$C$23, $C$12, 100%, $E$12)</f>
        <v>35.109699999999997</v>
      </c>
      <c r="L972" s="66">
        <f>18.7137 * CHOOSE(CONTROL!$C$23, $C$12, 100%, $E$12)</f>
        <v>18.713699999999999</v>
      </c>
      <c r="M972" s="66">
        <f>18.7206 * CHOOSE(CONTROL!$C$23, $C$12, 100%, $E$12)</f>
        <v>18.720600000000001</v>
      </c>
      <c r="N972" s="66">
        <f>18.7137 * CHOOSE(CONTROL!$C$23, $C$12, 100%, $E$12)</f>
        <v>18.713699999999999</v>
      </c>
      <c r="O972" s="66">
        <f>18.7206 * CHOOSE(CONTROL!$C$23, $C$12, 100%, $E$12)</f>
        <v>18.720600000000001</v>
      </c>
    </row>
    <row r="973" spans="1:15" ht="15">
      <c r="A973" s="13">
        <v>70768</v>
      </c>
      <c r="B973" s="65">
        <f>16.7297 * CHOOSE(CONTROL!$C$23, $C$12, 100%, $E$12)</f>
        <v>16.729700000000001</v>
      </c>
      <c r="C973" s="65">
        <f>16.7297 * CHOOSE(CONTROL!$C$23, $C$12, 100%, $E$12)</f>
        <v>16.729700000000001</v>
      </c>
      <c r="D973" s="65">
        <f>16.7337 * CHOOSE(CONTROL!$C$23, $C$12, 100%, $E$12)</f>
        <v>16.733699999999999</v>
      </c>
      <c r="E973" s="66">
        <f>18.8417 * CHOOSE(CONTROL!$C$23, $C$12, 100%, $E$12)</f>
        <v>18.841699999999999</v>
      </c>
      <c r="F973" s="66">
        <f>18.8417 * CHOOSE(CONTROL!$C$23, $C$12, 100%, $E$12)</f>
        <v>18.841699999999999</v>
      </c>
      <c r="G973" s="66">
        <f>18.8466 * CHOOSE(CONTROL!$C$23, $C$12, 100%, $E$12)</f>
        <v>18.846599999999999</v>
      </c>
      <c r="H973" s="66">
        <f>35.1759* CHOOSE(CONTROL!$C$23, $C$12, 100%, $E$12)</f>
        <v>35.175899999999999</v>
      </c>
      <c r="I973" s="66">
        <f>35.1809 * CHOOSE(CONTROL!$C$23, $C$12, 100%, $E$12)</f>
        <v>35.180900000000001</v>
      </c>
      <c r="J973" s="66">
        <f>35.1759 * CHOOSE(CONTROL!$C$23, $C$12, 100%, $E$12)</f>
        <v>35.175899999999999</v>
      </c>
      <c r="K973" s="66">
        <f>35.1809 * CHOOSE(CONTROL!$C$23, $C$12, 100%, $E$12)</f>
        <v>35.180900000000001</v>
      </c>
      <c r="L973" s="66">
        <f>18.8417 * CHOOSE(CONTROL!$C$23, $C$12, 100%, $E$12)</f>
        <v>18.841699999999999</v>
      </c>
      <c r="M973" s="66">
        <f>18.8466 * CHOOSE(CONTROL!$C$23, $C$12, 100%, $E$12)</f>
        <v>18.846599999999999</v>
      </c>
      <c r="N973" s="66">
        <f>18.8417 * CHOOSE(CONTROL!$C$23, $C$12, 100%, $E$12)</f>
        <v>18.841699999999999</v>
      </c>
      <c r="O973" s="66">
        <f>18.8466 * CHOOSE(CONTROL!$C$23, $C$12, 100%, $E$12)</f>
        <v>18.846599999999999</v>
      </c>
    </row>
    <row r="974" spans="1:15" ht="15">
      <c r="A974" s="13">
        <v>70799</v>
      </c>
      <c r="B974" s="65">
        <f>16.7327 * CHOOSE(CONTROL!$C$23, $C$12, 100%, $E$12)</f>
        <v>16.732700000000001</v>
      </c>
      <c r="C974" s="65">
        <f>16.7327 * CHOOSE(CONTROL!$C$23, $C$12, 100%, $E$12)</f>
        <v>16.732700000000001</v>
      </c>
      <c r="D974" s="65">
        <f>16.7367 * CHOOSE(CONTROL!$C$23, $C$12, 100%, $E$12)</f>
        <v>16.736699999999999</v>
      </c>
      <c r="E974" s="66">
        <f>18.9145 * CHOOSE(CONTROL!$C$23, $C$12, 100%, $E$12)</f>
        <v>18.9145</v>
      </c>
      <c r="F974" s="66">
        <f>18.9145 * CHOOSE(CONTROL!$C$23, $C$12, 100%, $E$12)</f>
        <v>18.9145</v>
      </c>
      <c r="G974" s="66">
        <f>18.9194 * CHOOSE(CONTROL!$C$23, $C$12, 100%, $E$12)</f>
        <v>18.9194</v>
      </c>
      <c r="H974" s="66">
        <f>35.2492* CHOOSE(CONTROL!$C$23, $C$12, 100%, $E$12)</f>
        <v>35.249200000000002</v>
      </c>
      <c r="I974" s="66">
        <f>35.2541 * CHOOSE(CONTROL!$C$23, $C$12, 100%, $E$12)</f>
        <v>35.254100000000001</v>
      </c>
      <c r="J974" s="66">
        <f>35.2492 * CHOOSE(CONTROL!$C$23, $C$12, 100%, $E$12)</f>
        <v>35.249200000000002</v>
      </c>
      <c r="K974" s="66">
        <f>35.2541 * CHOOSE(CONTROL!$C$23, $C$12, 100%, $E$12)</f>
        <v>35.254100000000001</v>
      </c>
      <c r="L974" s="66">
        <f>18.9145 * CHOOSE(CONTROL!$C$23, $C$12, 100%, $E$12)</f>
        <v>18.9145</v>
      </c>
      <c r="M974" s="66">
        <f>18.9194 * CHOOSE(CONTROL!$C$23, $C$12, 100%, $E$12)</f>
        <v>18.9194</v>
      </c>
      <c r="N974" s="66">
        <f>18.9145 * CHOOSE(CONTROL!$C$23, $C$12, 100%, $E$12)</f>
        <v>18.9145</v>
      </c>
      <c r="O974" s="66">
        <f>18.9194 * CHOOSE(CONTROL!$C$23, $C$12, 100%, $E$12)</f>
        <v>18.9194</v>
      </c>
    </row>
    <row r="975" spans="1:15" ht="15">
      <c r="A975" s="13">
        <v>70829</v>
      </c>
      <c r="B975" s="65">
        <f>16.7327 * CHOOSE(CONTROL!$C$23, $C$12, 100%, $E$12)</f>
        <v>16.732700000000001</v>
      </c>
      <c r="C975" s="65">
        <f>16.7327 * CHOOSE(CONTROL!$C$23, $C$12, 100%, $E$12)</f>
        <v>16.732700000000001</v>
      </c>
      <c r="D975" s="65">
        <f>16.7367 * CHOOSE(CONTROL!$C$23, $C$12, 100%, $E$12)</f>
        <v>16.736699999999999</v>
      </c>
      <c r="E975" s="66">
        <f>18.7378 * CHOOSE(CONTROL!$C$23, $C$12, 100%, $E$12)</f>
        <v>18.7378</v>
      </c>
      <c r="F975" s="66">
        <f>18.7378 * CHOOSE(CONTROL!$C$23, $C$12, 100%, $E$12)</f>
        <v>18.7378</v>
      </c>
      <c r="G975" s="66">
        <f>18.7427 * CHOOSE(CONTROL!$C$23, $C$12, 100%, $E$12)</f>
        <v>18.742699999999999</v>
      </c>
      <c r="H975" s="66">
        <f>35.3227* CHOOSE(CONTROL!$C$23, $C$12, 100%, $E$12)</f>
        <v>35.322699999999998</v>
      </c>
      <c r="I975" s="66">
        <f>35.3276 * CHOOSE(CONTROL!$C$23, $C$12, 100%, $E$12)</f>
        <v>35.327599999999997</v>
      </c>
      <c r="J975" s="66">
        <f>35.3227 * CHOOSE(CONTROL!$C$23, $C$12, 100%, $E$12)</f>
        <v>35.322699999999998</v>
      </c>
      <c r="K975" s="66">
        <f>35.3276 * CHOOSE(CONTROL!$C$23, $C$12, 100%, $E$12)</f>
        <v>35.327599999999997</v>
      </c>
      <c r="L975" s="66">
        <f>18.7378 * CHOOSE(CONTROL!$C$23, $C$12, 100%, $E$12)</f>
        <v>18.7378</v>
      </c>
      <c r="M975" s="66">
        <f>18.7427 * CHOOSE(CONTROL!$C$23, $C$12, 100%, $E$12)</f>
        <v>18.742699999999999</v>
      </c>
      <c r="N975" s="66">
        <f>18.7378 * CHOOSE(CONTROL!$C$23, $C$12, 100%, $E$12)</f>
        <v>18.7378</v>
      </c>
      <c r="O975" s="66">
        <f>18.7427 * CHOOSE(CONTROL!$C$23, $C$12, 100%, $E$12)</f>
        <v>18.742699999999999</v>
      </c>
    </row>
    <row r="976" spans="1:15" ht="15">
      <c r="A976" s="13">
        <v>70860</v>
      </c>
      <c r="B976" s="65">
        <f>16.67 * CHOOSE(CONTROL!$C$23, $C$12, 100%, $E$12)</f>
        <v>16.670000000000002</v>
      </c>
      <c r="C976" s="65">
        <f>16.67 * CHOOSE(CONTROL!$C$23, $C$12, 100%, $E$12)</f>
        <v>16.670000000000002</v>
      </c>
      <c r="D976" s="65">
        <f>16.674 * CHOOSE(CONTROL!$C$23, $C$12, 100%, $E$12)</f>
        <v>16.673999999999999</v>
      </c>
      <c r="E976" s="66">
        <f>18.8149 * CHOOSE(CONTROL!$C$23, $C$12, 100%, $E$12)</f>
        <v>18.814900000000002</v>
      </c>
      <c r="F976" s="66">
        <f>18.8149 * CHOOSE(CONTROL!$C$23, $C$12, 100%, $E$12)</f>
        <v>18.814900000000002</v>
      </c>
      <c r="G976" s="66">
        <f>18.8199 * CHOOSE(CONTROL!$C$23, $C$12, 100%, $E$12)</f>
        <v>18.819900000000001</v>
      </c>
      <c r="H976" s="66">
        <f>35.0058* CHOOSE(CONTROL!$C$23, $C$12, 100%, $E$12)</f>
        <v>35.005800000000001</v>
      </c>
      <c r="I976" s="66">
        <f>35.0107 * CHOOSE(CONTROL!$C$23, $C$12, 100%, $E$12)</f>
        <v>35.0107</v>
      </c>
      <c r="J976" s="66">
        <f>35.0058 * CHOOSE(CONTROL!$C$23, $C$12, 100%, $E$12)</f>
        <v>35.005800000000001</v>
      </c>
      <c r="K976" s="66">
        <f>35.0107 * CHOOSE(CONTROL!$C$23, $C$12, 100%, $E$12)</f>
        <v>35.0107</v>
      </c>
      <c r="L976" s="66">
        <f>18.8149 * CHOOSE(CONTROL!$C$23, $C$12, 100%, $E$12)</f>
        <v>18.814900000000002</v>
      </c>
      <c r="M976" s="66">
        <f>18.8199 * CHOOSE(CONTROL!$C$23, $C$12, 100%, $E$12)</f>
        <v>18.819900000000001</v>
      </c>
      <c r="N976" s="66">
        <f>18.8149 * CHOOSE(CONTROL!$C$23, $C$12, 100%, $E$12)</f>
        <v>18.814900000000002</v>
      </c>
      <c r="O976" s="66">
        <f>18.8199 * CHOOSE(CONTROL!$C$23, $C$12, 100%, $E$12)</f>
        <v>18.819900000000001</v>
      </c>
    </row>
    <row r="977" spans="1:15" ht="15">
      <c r="A977" s="13">
        <v>70891</v>
      </c>
      <c r="B977" s="65">
        <f>16.667 * CHOOSE(CONTROL!$C$23, $C$12, 100%, $E$12)</f>
        <v>16.667000000000002</v>
      </c>
      <c r="C977" s="65">
        <f>16.667 * CHOOSE(CONTROL!$C$23, $C$12, 100%, $E$12)</f>
        <v>16.667000000000002</v>
      </c>
      <c r="D977" s="65">
        <f>16.671 * CHOOSE(CONTROL!$C$23, $C$12, 100%, $E$12)</f>
        <v>16.670999999999999</v>
      </c>
      <c r="E977" s="66">
        <f>18.4739 * CHOOSE(CONTROL!$C$23, $C$12, 100%, $E$12)</f>
        <v>18.4739</v>
      </c>
      <c r="F977" s="66">
        <f>18.4739 * CHOOSE(CONTROL!$C$23, $C$12, 100%, $E$12)</f>
        <v>18.4739</v>
      </c>
      <c r="G977" s="66">
        <f>18.4788 * CHOOSE(CONTROL!$C$23, $C$12, 100%, $E$12)</f>
        <v>18.4788</v>
      </c>
      <c r="H977" s="66">
        <f>35.0787* CHOOSE(CONTROL!$C$23, $C$12, 100%, $E$12)</f>
        <v>35.078699999999998</v>
      </c>
      <c r="I977" s="66">
        <f>35.0836 * CHOOSE(CONTROL!$C$23, $C$12, 100%, $E$12)</f>
        <v>35.083599999999997</v>
      </c>
      <c r="J977" s="66">
        <f>35.0787 * CHOOSE(CONTROL!$C$23, $C$12, 100%, $E$12)</f>
        <v>35.078699999999998</v>
      </c>
      <c r="K977" s="66">
        <f>35.0836 * CHOOSE(CONTROL!$C$23, $C$12, 100%, $E$12)</f>
        <v>35.083599999999997</v>
      </c>
      <c r="L977" s="66">
        <f>18.4739 * CHOOSE(CONTROL!$C$23, $C$12, 100%, $E$12)</f>
        <v>18.4739</v>
      </c>
      <c r="M977" s="66">
        <f>18.4788 * CHOOSE(CONTROL!$C$23, $C$12, 100%, $E$12)</f>
        <v>18.4788</v>
      </c>
      <c r="N977" s="66">
        <f>18.4739 * CHOOSE(CONTROL!$C$23, $C$12, 100%, $E$12)</f>
        <v>18.4739</v>
      </c>
      <c r="O977" s="66">
        <f>18.4788 * CHOOSE(CONTROL!$C$23, $C$12, 100%, $E$12)</f>
        <v>18.4788</v>
      </c>
    </row>
    <row r="978" spans="1:15" ht="15">
      <c r="A978" s="13">
        <v>70919</v>
      </c>
      <c r="B978" s="65">
        <f>16.6639 * CHOOSE(CONTROL!$C$23, $C$12, 100%, $E$12)</f>
        <v>16.663900000000002</v>
      </c>
      <c r="C978" s="65">
        <f>16.6639 * CHOOSE(CONTROL!$C$23, $C$12, 100%, $E$12)</f>
        <v>16.663900000000002</v>
      </c>
      <c r="D978" s="65">
        <f>16.6679 * CHOOSE(CONTROL!$C$23, $C$12, 100%, $E$12)</f>
        <v>16.667899999999999</v>
      </c>
      <c r="E978" s="66">
        <f>18.739 * CHOOSE(CONTROL!$C$23, $C$12, 100%, $E$12)</f>
        <v>18.739000000000001</v>
      </c>
      <c r="F978" s="66">
        <f>18.739 * CHOOSE(CONTROL!$C$23, $C$12, 100%, $E$12)</f>
        <v>18.739000000000001</v>
      </c>
      <c r="G978" s="66">
        <f>18.7439 * CHOOSE(CONTROL!$C$23, $C$12, 100%, $E$12)</f>
        <v>18.7439</v>
      </c>
      <c r="H978" s="66">
        <f>35.1518* CHOOSE(CONTROL!$C$23, $C$12, 100%, $E$12)</f>
        <v>35.151800000000001</v>
      </c>
      <c r="I978" s="66">
        <f>35.1567 * CHOOSE(CONTROL!$C$23, $C$12, 100%, $E$12)</f>
        <v>35.156700000000001</v>
      </c>
      <c r="J978" s="66">
        <f>35.1518 * CHOOSE(CONTROL!$C$23, $C$12, 100%, $E$12)</f>
        <v>35.151800000000001</v>
      </c>
      <c r="K978" s="66">
        <f>35.1567 * CHOOSE(CONTROL!$C$23, $C$12, 100%, $E$12)</f>
        <v>35.156700000000001</v>
      </c>
      <c r="L978" s="66">
        <f>18.739 * CHOOSE(CONTROL!$C$23, $C$12, 100%, $E$12)</f>
        <v>18.739000000000001</v>
      </c>
      <c r="M978" s="66">
        <f>18.7439 * CHOOSE(CONTROL!$C$23, $C$12, 100%, $E$12)</f>
        <v>18.7439</v>
      </c>
      <c r="N978" s="66">
        <f>18.739 * CHOOSE(CONTROL!$C$23, $C$12, 100%, $E$12)</f>
        <v>18.739000000000001</v>
      </c>
      <c r="O978" s="66">
        <f>18.7439 * CHOOSE(CONTROL!$C$23, $C$12, 100%, $E$12)</f>
        <v>18.7439</v>
      </c>
    </row>
    <row r="979" spans="1:15" ht="15">
      <c r="A979" s="13">
        <v>70950</v>
      </c>
      <c r="B979" s="65">
        <f>16.6722 * CHOOSE(CONTROL!$C$23, $C$12, 100%, $E$12)</f>
        <v>16.6722</v>
      </c>
      <c r="C979" s="65">
        <f>16.6722 * CHOOSE(CONTROL!$C$23, $C$12, 100%, $E$12)</f>
        <v>16.6722</v>
      </c>
      <c r="D979" s="65">
        <f>16.6762 * CHOOSE(CONTROL!$C$23, $C$12, 100%, $E$12)</f>
        <v>16.676200000000001</v>
      </c>
      <c r="E979" s="66">
        <f>19.0217 * CHOOSE(CONTROL!$C$23, $C$12, 100%, $E$12)</f>
        <v>19.021699999999999</v>
      </c>
      <c r="F979" s="66">
        <f>19.0217 * CHOOSE(CONTROL!$C$23, $C$12, 100%, $E$12)</f>
        <v>19.021699999999999</v>
      </c>
      <c r="G979" s="66">
        <f>19.0266 * CHOOSE(CONTROL!$C$23, $C$12, 100%, $E$12)</f>
        <v>19.026599999999998</v>
      </c>
      <c r="H979" s="66">
        <f>35.225* CHOOSE(CONTROL!$C$23, $C$12, 100%, $E$12)</f>
        <v>35.225000000000001</v>
      </c>
      <c r="I979" s="66">
        <f>35.2299 * CHOOSE(CONTROL!$C$23, $C$12, 100%, $E$12)</f>
        <v>35.229900000000001</v>
      </c>
      <c r="J979" s="66">
        <f>35.225 * CHOOSE(CONTROL!$C$23, $C$12, 100%, $E$12)</f>
        <v>35.225000000000001</v>
      </c>
      <c r="K979" s="66">
        <f>35.2299 * CHOOSE(CONTROL!$C$23, $C$12, 100%, $E$12)</f>
        <v>35.229900000000001</v>
      </c>
      <c r="L979" s="66">
        <f>19.0217 * CHOOSE(CONTROL!$C$23, $C$12, 100%, $E$12)</f>
        <v>19.021699999999999</v>
      </c>
      <c r="M979" s="66">
        <f>19.0266 * CHOOSE(CONTROL!$C$23, $C$12, 100%, $E$12)</f>
        <v>19.026599999999998</v>
      </c>
      <c r="N979" s="66">
        <f>19.0217 * CHOOSE(CONTROL!$C$23, $C$12, 100%, $E$12)</f>
        <v>19.021699999999999</v>
      </c>
      <c r="O979" s="66">
        <f>19.0266 * CHOOSE(CONTROL!$C$23, $C$12, 100%, $E$12)</f>
        <v>19.026599999999998</v>
      </c>
    </row>
    <row r="980" spans="1:15" ht="15">
      <c r="A980" s="13">
        <v>70980</v>
      </c>
      <c r="B980" s="65">
        <f>16.6722 * CHOOSE(CONTROL!$C$23, $C$12, 100%, $E$12)</f>
        <v>16.6722</v>
      </c>
      <c r="C980" s="65">
        <f>16.6722 * CHOOSE(CONTROL!$C$23, $C$12, 100%, $E$12)</f>
        <v>16.6722</v>
      </c>
      <c r="D980" s="65">
        <f>16.6778 * CHOOSE(CONTROL!$C$23, $C$12, 100%, $E$12)</f>
        <v>16.677800000000001</v>
      </c>
      <c r="E980" s="66">
        <f>19.1293 * CHOOSE(CONTROL!$C$23, $C$12, 100%, $E$12)</f>
        <v>19.129300000000001</v>
      </c>
      <c r="F980" s="66">
        <f>19.1293 * CHOOSE(CONTROL!$C$23, $C$12, 100%, $E$12)</f>
        <v>19.129300000000001</v>
      </c>
      <c r="G980" s="66">
        <f>19.1362 * CHOOSE(CONTROL!$C$23, $C$12, 100%, $E$12)</f>
        <v>19.136199999999999</v>
      </c>
      <c r="H980" s="66">
        <f>35.2984* CHOOSE(CONTROL!$C$23, $C$12, 100%, $E$12)</f>
        <v>35.298400000000001</v>
      </c>
      <c r="I980" s="66">
        <f>35.3053 * CHOOSE(CONTROL!$C$23, $C$12, 100%, $E$12)</f>
        <v>35.305300000000003</v>
      </c>
      <c r="J980" s="66">
        <f>35.2984 * CHOOSE(CONTROL!$C$23, $C$12, 100%, $E$12)</f>
        <v>35.298400000000001</v>
      </c>
      <c r="K980" s="66">
        <f>35.3053 * CHOOSE(CONTROL!$C$23, $C$12, 100%, $E$12)</f>
        <v>35.305300000000003</v>
      </c>
      <c r="L980" s="66">
        <f>19.1293 * CHOOSE(CONTROL!$C$23, $C$12, 100%, $E$12)</f>
        <v>19.129300000000001</v>
      </c>
      <c r="M980" s="66">
        <f>19.1362 * CHOOSE(CONTROL!$C$23, $C$12, 100%, $E$12)</f>
        <v>19.136199999999999</v>
      </c>
      <c r="N980" s="66">
        <f>19.1293 * CHOOSE(CONTROL!$C$23, $C$12, 100%, $E$12)</f>
        <v>19.129300000000001</v>
      </c>
      <c r="O980" s="66">
        <f>19.1362 * CHOOSE(CONTROL!$C$23, $C$12, 100%, $E$12)</f>
        <v>19.136199999999999</v>
      </c>
    </row>
    <row r="981" spans="1:15" ht="15">
      <c r="A981" s="13">
        <v>71011</v>
      </c>
      <c r="B981" s="65">
        <f>16.6782 * CHOOSE(CONTROL!$C$23, $C$12, 100%, $E$12)</f>
        <v>16.6782</v>
      </c>
      <c r="C981" s="65">
        <f>16.6782 * CHOOSE(CONTROL!$C$23, $C$12, 100%, $E$12)</f>
        <v>16.6782</v>
      </c>
      <c r="D981" s="65">
        <f>16.6839 * CHOOSE(CONTROL!$C$23, $C$12, 100%, $E$12)</f>
        <v>16.683900000000001</v>
      </c>
      <c r="E981" s="66">
        <f>19.0259 * CHOOSE(CONTROL!$C$23, $C$12, 100%, $E$12)</f>
        <v>19.0259</v>
      </c>
      <c r="F981" s="66">
        <f>19.0259 * CHOOSE(CONTROL!$C$23, $C$12, 100%, $E$12)</f>
        <v>19.0259</v>
      </c>
      <c r="G981" s="66">
        <f>19.0328 * CHOOSE(CONTROL!$C$23, $C$12, 100%, $E$12)</f>
        <v>19.032800000000002</v>
      </c>
      <c r="H981" s="66">
        <f>35.3719* CHOOSE(CONTROL!$C$23, $C$12, 100%, $E$12)</f>
        <v>35.371899999999997</v>
      </c>
      <c r="I981" s="66">
        <f>35.3788 * CHOOSE(CONTROL!$C$23, $C$12, 100%, $E$12)</f>
        <v>35.378799999999998</v>
      </c>
      <c r="J981" s="66">
        <f>35.3719 * CHOOSE(CONTROL!$C$23, $C$12, 100%, $E$12)</f>
        <v>35.371899999999997</v>
      </c>
      <c r="K981" s="66">
        <f>35.3788 * CHOOSE(CONTROL!$C$23, $C$12, 100%, $E$12)</f>
        <v>35.378799999999998</v>
      </c>
      <c r="L981" s="66">
        <f>19.0259 * CHOOSE(CONTROL!$C$23, $C$12, 100%, $E$12)</f>
        <v>19.0259</v>
      </c>
      <c r="M981" s="66">
        <f>19.0328 * CHOOSE(CONTROL!$C$23, $C$12, 100%, $E$12)</f>
        <v>19.032800000000002</v>
      </c>
      <c r="N981" s="66">
        <f>19.0259 * CHOOSE(CONTROL!$C$23, $C$12, 100%, $E$12)</f>
        <v>19.0259</v>
      </c>
      <c r="O981" s="66">
        <f>19.0328 * CHOOSE(CONTROL!$C$23, $C$12, 100%, $E$12)</f>
        <v>19.032800000000002</v>
      </c>
    </row>
    <row r="982" spans="1:15" ht="15">
      <c r="A982" s="13">
        <v>71041</v>
      </c>
      <c r="B982" s="65">
        <f>16.9294 * CHOOSE(CONTROL!$C$23, $C$12, 100%, $E$12)</f>
        <v>16.929400000000001</v>
      </c>
      <c r="C982" s="65">
        <f>16.9294 * CHOOSE(CONTROL!$C$23, $C$12, 100%, $E$12)</f>
        <v>16.929400000000001</v>
      </c>
      <c r="D982" s="65">
        <f>16.935 * CHOOSE(CONTROL!$C$23, $C$12, 100%, $E$12)</f>
        <v>16.934999999999999</v>
      </c>
      <c r="E982" s="66">
        <f>19.3264 * CHOOSE(CONTROL!$C$23, $C$12, 100%, $E$12)</f>
        <v>19.3264</v>
      </c>
      <c r="F982" s="66">
        <f>19.3264 * CHOOSE(CONTROL!$C$23, $C$12, 100%, $E$12)</f>
        <v>19.3264</v>
      </c>
      <c r="G982" s="66">
        <f>19.3333 * CHOOSE(CONTROL!$C$23, $C$12, 100%, $E$12)</f>
        <v>19.333300000000001</v>
      </c>
      <c r="H982" s="66">
        <f>35.4456* CHOOSE(CONTROL!$C$23, $C$12, 100%, $E$12)</f>
        <v>35.445599999999999</v>
      </c>
      <c r="I982" s="66">
        <f>35.4525 * CHOOSE(CONTROL!$C$23, $C$12, 100%, $E$12)</f>
        <v>35.452500000000001</v>
      </c>
      <c r="J982" s="66">
        <f>35.4456 * CHOOSE(CONTROL!$C$23, $C$12, 100%, $E$12)</f>
        <v>35.445599999999999</v>
      </c>
      <c r="K982" s="66">
        <f>35.4525 * CHOOSE(CONTROL!$C$23, $C$12, 100%, $E$12)</f>
        <v>35.452500000000001</v>
      </c>
      <c r="L982" s="66">
        <f>19.3264 * CHOOSE(CONTROL!$C$23, $C$12, 100%, $E$12)</f>
        <v>19.3264</v>
      </c>
      <c r="M982" s="66">
        <f>19.3333 * CHOOSE(CONTROL!$C$23, $C$12, 100%, $E$12)</f>
        <v>19.333300000000001</v>
      </c>
      <c r="N982" s="66">
        <f>19.3264 * CHOOSE(CONTROL!$C$23, $C$12, 100%, $E$12)</f>
        <v>19.3264</v>
      </c>
      <c r="O982" s="66">
        <f>19.3333 * CHOOSE(CONTROL!$C$23, $C$12, 100%, $E$12)</f>
        <v>19.333300000000001</v>
      </c>
    </row>
    <row r="983" spans="1:15" ht="15">
      <c r="A983" s="13">
        <v>71072</v>
      </c>
      <c r="B983" s="65">
        <f>16.9361 * CHOOSE(CONTROL!$C$23, $C$12, 100%, $E$12)</f>
        <v>16.9361</v>
      </c>
      <c r="C983" s="65">
        <f>16.9361 * CHOOSE(CONTROL!$C$23, $C$12, 100%, $E$12)</f>
        <v>16.9361</v>
      </c>
      <c r="D983" s="65">
        <f>16.9417 * CHOOSE(CONTROL!$C$23, $C$12, 100%, $E$12)</f>
        <v>16.941700000000001</v>
      </c>
      <c r="E983" s="66">
        <f>19.0083 * CHOOSE(CONTROL!$C$23, $C$12, 100%, $E$12)</f>
        <v>19.008299999999998</v>
      </c>
      <c r="F983" s="66">
        <f>19.0083 * CHOOSE(CONTROL!$C$23, $C$12, 100%, $E$12)</f>
        <v>19.008299999999998</v>
      </c>
      <c r="G983" s="66">
        <f>19.0151 * CHOOSE(CONTROL!$C$23, $C$12, 100%, $E$12)</f>
        <v>19.0151</v>
      </c>
      <c r="H983" s="66">
        <f>35.5195* CHOOSE(CONTROL!$C$23, $C$12, 100%, $E$12)</f>
        <v>35.519500000000001</v>
      </c>
      <c r="I983" s="66">
        <f>35.5263 * CHOOSE(CONTROL!$C$23, $C$12, 100%, $E$12)</f>
        <v>35.526299999999999</v>
      </c>
      <c r="J983" s="66">
        <f>35.5195 * CHOOSE(CONTROL!$C$23, $C$12, 100%, $E$12)</f>
        <v>35.519500000000001</v>
      </c>
      <c r="K983" s="66">
        <f>35.5263 * CHOOSE(CONTROL!$C$23, $C$12, 100%, $E$12)</f>
        <v>35.526299999999999</v>
      </c>
      <c r="L983" s="66">
        <f>19.0083 * CHOOSE(CONTROL!$C$23, $C$12, 100%, $E$12)</f>
        <v>19.008299999999998</v>
      </c>
      <c r="M983" s="66">
        <f>19.0151 * CHOOSE(CONTROL!$C$23, $C$12, 100%, $E$12)</f>
        <v>19.0151</v>
      </c>
      <c r="N983" s="66">
        <f>19.0083 * CHOOSE(CONTROL!$C$23, $C$12, 100%, $E$12)</f>
        <v>19.008299999999998</v>
      </c>
      <c r="O983" s="66">
        <f>19.0151 * CHOOSE(CONTROL!$C$23, $C$12, 100%, $E$12)</f>
        <v>19.0151</v>
      </c>
    </row>
    <row r="984" spans="1:15" ht="15">
      <c r="A984" s="13">
        <v>71103</v>
      </c>
      <c r="B984" s="65">
        <f>16.933 * CHOOSE(CONTROL!$C$23, $C$12, 100%, $E$12)</f>
        <v>16.933</v>
      </c>
      <c r="C984" s="65">
        <f>16.933 * CHOOSE(CONTROL!$C$23, $C$12, 100%, $E$12)</f>
        <v>16.933</v>
      </c>
      <c r="D984" s="65">
        <f>16.9387 * CHOOSE(CONTROL!$C$23, $C$12, 100%, $E$12)</f>
        <v>16.938700000000001</v>
      </c>
      <c r="E984" s="66">
        <f>18.9703 * CHOOSE(CONTROL!$C$23, $C$12, 100%, $E$12)</f>
        <v>18.970300000000002</v>
      </c>
      <c r="F984" s="66">
        <f>18.9703 * CHOOSE(CONTROL!$C$23, $C$12, 100%, $E$12)</f>
        <v>18.970300000000002</v>
      </c>
      <c r="G984" s="66">
        <f>18.9772 * CHOOSE(CONTROL!$C$23, $C$12, 100%, $E$12)</f>
        <v>18.9772</v>
      </c>
      <c r="H984" s="66">
        <f>35.5935* CHOOSE(CONTROL!$C$23, $C$12, 100%, $E$12)</f>
        <v>35.593499999999999</v>
      </c>
      <c r="I984" s="66">
        <f>35.6003 * CHOOSE(CONTROL!$C$23, $C$12, 100%, $E$12)</f>
        <v>35.600299999999997</v>
      </c>
      <c r="J984" s="66">
        <f>35.5935 * CHOOSE(CONTROL!$C$23, $C$12, 100%, $E$12)</f>
        <v>35.593499999999999</v>
      </c>
      <c r="K984" s="66">
        <f>35.6003 * CHOOSE(CONTROL!$C$23, $C$12, 100%, $E$12)</f>
        <v>35.600299999999997</v>
      </c>
      <c r="L984" s="66">
        <f>18.9703 * CHOOSE(CONTROL!$C$23, $C$12, 100%, $E$12)</f>
        <v>18.970300000000002</v>
      </c>
      <c r="M984" s="66">
        <f>18.9772 * CHOOSE(CONTROL!$C$23, $C$12, 100%, $E$12)</f>
        <v>18.9772</v>
      </c>
      <c r="N984" s="66">
        <f>18.9703 * CHOOSE(CONTROL!$C$23, $C$12, 100%, $E$12)</f>
        <v>18.970300000000002</v>
      </c>
      <c r="O984" s="66">
        <f>18.9772 * CHOOSE(CONTROL!$C$23, $C$12, 100%, $E$12)</f>
        <v>18.9772</v>
      </c>
    </row>
    <row r="985" spans="1:15" ht="15">
      <c r="A985" s="13">
        <v>71133</v>
      </c>
      <c r="B985" s="65">
        <f>16.9696 * CHOOSE(CONTROL!$C$23, $C$12, 100%, $E$12)</f>
        <v>16.9696</v>
      </c>
      <c r="C985" s="65">
        <f>16.9696 * CHOOSE(CONTROL!$C$23, $C$12, 100%, $E$12)</f>
        <v>16.9696</v>
      </c>
      <c r="D985" s="65">
        <f>16.9736 * CHOOSE(CONTROL!$C$23, $C$12, 100%, $E$12)</f>
        <v>16.973600000000001</v>
      </c>
      <c r="E985" s="66">
        <f>19.1003 * CHOOSE(CONTROL!$C$23, $C$12, 100%, $E$12)</f>
        <v>19.100300000000001</v>
      </c>
      <c r="F985" s="66">
        <f>19.1003 * CHOOSE(CONTROL!$C$23, $C$12, 100%, $E$12)</f>
        <v>19.100300000000001</v>
      </c>
      <c r="G985" s="66">
        <f>19.1052 * CHOOSE(CONTROL!$C$23, $C$12, 100%, $E$12)</f>
        <v>19.1052</v>
      </c>
      <c r="H985" s="66">
        <f>35.6676* CHOOSE(CONTROL!$C$23, $C$12, 100%, $E$12)</f>
        <v>35.6676</v>
      </c>
      <c r="I985" s="66">
        <f>35.6725 * CHOOSE(CONTROL!$C$23, $C$12, 100%, $E$12)</f>
        <v>35.672499999999999</v>
      </c>
      <c r="J985" s="66">
        <f>35.6676 * CHOOSE(CONTROL!$C$23, $C$12, 100%, $E$12)</f>
        <v>35.6676</v>
      </c>
      <c r="K985" s="66">
        <f>35.6725 * CHOOSE(CONTROL!$C$23, $C$12, 100%, $E$12)</f>
        <v>35.672499999999999</v>
      </c>
      <c r="L985" s="66">
        <f>19.1003 * CHOOSE(CONTROL!$C$23, $C$12, 100%, $E$12)</f>
        <v>19.100300000000001</v>
      </c>
      <c r="M985" s="66">
        <f>19.1052 * CHOOSE(CONTROL!$C$23, $C$12, 100%, $E$12)</f>
        <v>19.1052</v>
      </c>
      <c r="N985" s="66">
        <f>19.1003 * CHOOSE(CONTROL!$C$23, $C$12, 100%, $E$12)</f>
        <v>19.100300000000001</v>
      </c>
      <c r="O985" s="66">
        <f>19.1052 * CHOOSE(CONTROL!$C$23, $C$12, 100%, $E$12)</f>
        <v>19.1052</v>
      </c>
    </row>
    <row r="986" spans="1:15" ht="15">
      <c r="A986" s="13">
        <v>71164</v>
      </c>
      <c r="B986" s="65">
        <f>16.9727 * CHOOSE(CONTROL!$C$23, $C$12, 100%, $E$12)</f>
        <v>16.9727</v>
      </c>
      <c r="C986" s="65">
        <f>16.9727 * CHOOSE(CONTROL!$C$23, $C$12, 100%, $E$12)</f>
        <v>16.9727</v>
      </c>
      <c r="D986" s="65">
        <f>16.9767 * CHOOSE(CONTROL!$C$23, $C$12, 100%, $E$12)</f>
        <v>16.976700000000001</v>
      </c>
      <c r="E986" s="66">
        <f>19.1742 * CHOOSE(CONTROL!$C$23, $C$12, 100%, $E$12)</f>
        <v>19.174199999999999</v>
      </c>
      <c r="F986" s="66">
        <f>19.1742 * CHOOSE(CONTROL!$C$23, $C$12, 100%, $E$12)</f>
        <v>19.174199999999999</v>
      </c>
      <c r="G986" s="66">
        <f>19.1791 * CHOOSE(CONTROL!$C$23, $C$12, 100%, $E$12)</f>
        <v>19.179099999999998</v>
      </c>
      <c r="H986" s="66">
        <f>35.7419* CHOOSE(CONTROL!$C$23, $C$12, 100%, $E$12)</f>
        <v>35.741900000000001</v>
      </c>
      <c r="I986" s="66">
        <f>35.7468 * CHOOSE(CONTROL!$C$23, $C$12, 100%, $E$12)</f>
        <v>35.7468</v>
      </c>
      <c r="J986" s="66">
        <f>35.7419 * CHOOSE(CONTROL!$C$23, $C$12, 100%, $E$12)</f>
        <v>35.741900000000001</v>
      </c>
      <c r="K986" s="66">
        <f>35.7468 * CHOOSE(CONTROL!$C$23, $C$12, 100%, $E$12)</f>
        <v>35.7468</v>
      </c>
      <c r="L986" s="66">
        <f>19.1742 * CHOOSE(CONTROL!$C$23, $C$12, 100%, $E$12)</f>
        <v>19.174199999999999</v>
      </c>
      <c r="M986" s="66">
        <f>19.1791 * CHOOSE(CONTROL!$C$23, $C$12, 100%, $E$12)</f>
        <v>19.179099999999998</v>
      </c>
      <c r="N986" s="66">
        <f>19.1742 * CHOOSE(CONTROL!$C$23, $C$12, 100%, $E$12)</f>
        <v>19.174199999999999</v>
      </c>
      <c r="O986" s="66">
        <f>19.1791 * CHOOSE(CONTROL!$C$23, $C$12, 100%, $E$12)</f>
        <v>19.179099999999998</v>
      </c>
    </row>
    <row r="987" spans="1:15" ht="15">
      <c r="A987" s="13">
        <v>71194</v>
      </c>
      <c r="B987" s="65">
        <f>16.9727 * CHOOSE(CONTROL!$C$23, $C$12, 100%, $E$12)</f>
        <v>16.9727</v>
      </c>
      <c r="C987" s="65">
        <f>16.9727 * CHOOSE(CONTROL!$C$23, $C$12, 100%, $E$12)</f>
        <v>16.9727</v>
      </c>
      <c r="D987" s="65">
        <f>16.9767 * CHOOSE(CONTROL!$C$23, $C$12, 100%, $E$12)</f>
        <v>16.976700000000001</v>
      </c>
      <c r="E987" s="66">
        <f>18.9948 * CHOOSE(CONTROL!$C$23, $C$12, 100%, $E$12)</f>
        <v>18.994800000000001</v>
      </c>
      <c r="F987" s="66">
        <f>18.9948 * CHOOSE(CONTROL!$C$23, $C$12, 100%, $E$12)</f>
        <v>18.994800000000001</v>
      </c>
      <c r="G987" s="66">
        <f>18.9998 * CHOOSE(CONTROL!$C$23, $C$12, 100%, $E$12)</f>
        <v>18.9998</v>
      </c>
      <c r="H987" s="66">
        <f>35.8164* CHOOSE(CONTROL!$C$23, $C$12, 100%, $E$12)</f>
        <v>35.816400000000002</v>
      </c>
      <c r="I987" s="66">
        <f>35.8213 * CHOOSE(CONTROL!$C$23, $C$12, 100%, $E$12)</f>
        <v>35.821300000000001</v>
      </c>
      <c r="J987" s="66">
        <f>35.8164 * CHOOSE(CONTROL!$C$23, $C$12, 100%, $E$12)</f>
        <v>35.816400000000002</v>
      </c>
      <c r="K987" s="66">
        <f>35.8213 * CHOOSE(CONTROL!$C$23, $C$12, 100%, $E$12)</f>
        <v>35.821300000000001</v>
      </c>
      <c r="L987" s="66">
        <f>18.9948 * CHOOSE(CONTROL!$C$23, $C$12, 100%, $E$12)</f>
        <v>18.994800000000001</v>
      </c>
      <c r="M987" s="66">
        <f>18.9998 * CHOOSE(CONTROL!$C$23, $C$12, 100%, $E$12)</f>
        <v>18.9998</v>
      </c>
      <c r="N987" s="66">
        <f>18.9948 * CHOOSE(CONTROL!$C$23, $C$12, 100%, $E$12)</f>
        <v>18.994800000000001</v>
      </c>
      <c r="O987" s="66">
        <f>18.9998 * CHOOSE(CONTROL!$C$23, $C$12, 100%, $E$12)</f>
        <v>18.9998</v>
      </c>
    </row>
    <row r="988" spans="1:15" ht="15">
      <c r="A988" s="13">
        <v>71225</v>
      </c>
      <c r="B988" s="65">
        <f>16.9056 * CHOOSE(CONTROL!$C$23, $C$12, 100%, $E$12)</f>
        <v>16.9056</v>
      </c>
      <c r="C988" s="65">
        <f>16.9056 * CHOOSE(CONTROL!$C$23, $C$12, 100%, $E$12)</f>
        <v>16.9056</v>
      </c>
      <c r="D988" s="65">
        <f>16.9096 * CHOOSE(CONTROL!$C$23, $C$12, 100%, $E$12)</f>
        <v>16.909600000000001</v>
      </c>
      <c r="E988" s="66">
        <f>19.0697 * CHOOSE(CONTROL!$C$23, $C$12, 100%, $E$12)</f>
        <v>19.069700000000001</v>
      </c>
      <c r="F988" s="66">
        <f>19.0697 * CHOOSE(CONTROL!$C$23, $C$12, 100%, $E$12)</f>
        <v>19.069700000000001</v>
      </c>
      <c r="G988" s="66">
        <f>19.0746 * CHOOSE(CONTROL!$C$23, $C$12, 100%, $E$12)</f>
        <v>19.0746</v>
      </c>
      <c r="H988" s="66">
        <f>35.4883* CHOOSE(CONTROL!$C$23, $C$12, 100%, $E$12)</f>
        <v>35.488300000000002</v>
      </c>
      <c r="I988" s="66">
        <f>35.4932 * CHOOSE(CONTROL!$C$23, $C$12, 100%, $E$12)</f>
        <v>35.493200000000002</v>
      </c>
      <c r="J988" s="66">
        <f>35.4883 * CHOOSE(CONTROL!$C$23, $C$12, 100%, $E$12)</f>
        <v>35.488300000000002</v>
      </c>
      <c r="K988" s="66">
        <f>35.4932 * CHOOSE(CONTROL!$C$23, $C$12, 100%, $E$12)</f>
        <v>35.493200000000002</v>
      </c>
      <c r="L988" s="66">
        <f>19.0697 * CHOOSE(CONTROL!$C$23, $C$12, 100%, $E$12)</f>
        <v>19.069700000000001</v>
      </c>
      <c r="M988" s="66">
        <f>19.0746 * CHOOSE(CONTROL!$C$23, $C$12, 100%, $E$12)</f>
        <v>19.0746</v>
      </c>
      <c r="N988" s="66">
        <f>19.0697 * CHOOSE(CONTROL!$C$23, $C$12, 100%, $E$12)</f>
        <v>19.069700000000001</v>
      </c>
      <c r="O988" s="66">
        <f>19.0746 * CHOOSE(CONTROL!$C$23, $C$12, 100%, $E$12)</f>
        <v>19.0746</v>
      </c>
    </row>
    <row r="989" spans="1:15" ht="15">
      <c r="A989" s="13">
        <v>71256</v>
      </c>
      <c r="B989" s="65">
        <f>16.9025 * CHOOSE(CONTROL!$C$23, $C$12, 100%, $E$12)</f>
        <v>16.9025</v>
      </c>
      <c r="C989" s="65">
        <f>16.9025 * CHOOSE(CONTROL!$C$23, $C$12, 100%, $E$12)</f>
        <v>16.9025</v>
      </c>
      <c r="D989" s="65">
        <f>16.9065 * CHOOSE(CONTROL!$C$23, $C$12, 100%, $E$12)</f>
        <v>16.906500000000001</v>
      </c>
      <c r="E989" s="66">
        <f>18.7237 * CHOOSE(CONTROL!$C$23, $C$12, 100%, $E$12)</f>
        <v>18.723700000000001</v>
      </c>
      <c r="F989" s="66">
        <f>18.7237 * CHOOSE(CONTROL!$C$23, $C$12, 100%, $E$12)</f>
        <v>18.723700000000001</v>
      </c>
      <c r="G989" s="66">
        <f>18.7286 * CHOOSE(CONTROL!$C$23, $C$12, 100%, $E$12)</f>
        <v>18.7286</v>
      </c>
      <c r="H989" s="66">
        <f>35.5622* CHOOSE(CONTROL!$C$23, $C$12, 100%, $E$12)</f>
        <v>35.562199999999997</v>
      </c>
      <c r="I989" s="66">
        <f>35.5672 * CHOOSE(CONTROL!$C$23, $C$12, 100%, $E$12)</f>
        <v>35.5672</v>
      </c>
      <c r="J989" s="66">
        <f>35.5622 * CHOOSE(CONTROL!$C$23, $C$12, 100%, $E$12)</f>
        <v>35.562199999999997</v>
      </c>
      <c r="K989" s="66">
        <f>35.5672 * CHOOSE(CONTROL!$C$23, $C$12, 100%, $E$12)</f>
        <v>35.5672</v>
      </c>
      <c r="L989" s="66">
        <f>18.7237 * CHOOSE(CONTROL!$C$23, $C$12, 100%, $E$12)</f>
        <v>18.723700000000001</v>
      </c>
      <c r="M989" s="66">
        <f>18.7286 * CHOOSE(CONTROL!$C$23, $C$12, 100%, $E$12)</f>
        <v>18.7286</v>
      </c>
      <c r="N989" s="66">
        <f>18.7237 * CHOOSE(CONTROL!$C$23, $C$12, 100%, $E$12)</f>
        <v>18.723700000000001</v>
      </c>
      <c r="O989" s="66">
        <f>18.7286 * CHOOSE(CONTROL!$C$23, $C$12, 100%, $E$12)</f>
        <v>18.7286</v>
      </c>
    </row>
    <row r="990" spans="1:15" ht="15">
      <c r="A990" s="13">
        <v>71284</v>
      </c>
      <c r="B990" s="65">
        <f>16.8995 * CHOOSE(CONTROL!$C$23, $C$12, 100%, $E$12)</f>
        <v>16.8995</v>
      </c>
      <c r="C990" s="65">
        <f>16.8995 * CHOOSE(CONTROL!$C$23, $C$12, 100%, $E$12)</f>
        <v>16.8995</v>
      </c>
      <c r="D990" s="65">
        <f>16.9035 * CHOOSE(CONTROL!$C$23, $C$12, 100%, $E$12)</f>
        <v>16.903500000000001</v>
      </c>
      <c r="E990" s="66">
        <f>18.9926 * CHOOSE(CONTROL!$C$23, $C$12, 100%, $E$12)</f>
        <v>18.992599999999999</v>
      </c>
      <c r="F990" s="66">
        <f>18.9926 * CHOOSE(CONTROL!$C$23, $C$12, 100%, $E$12)</f>
        <v>18.992599999999999</v>
      </c>
      <c r="G990" s="66">
        <f>18.9976 * CHOOSE(CONTROL!$C$23, $C$12, 100%, $E$12)</f>
        <v>18.997599999999998</v>
      </c>
      <c r="H990" s="66">
        <f>35.6363* CHOOSE(CONTROL!$C$23, $C$12, 100%, $E$12)</f>
        <v>35.636299999999999</v>
      </c>
      <c r="I990" s="66">
        <f>35.6412 * CHOOSE(CONTROL!$C$23, $C$12, 100%, $E$12)</f>
        <v>35.641199999999998</v>
      </c>
      <c r="J990" s="66">
        <f>35.6363 * CHOOSE(CONTROL!$C$23, $C$12, 100%, $E$12)</f>
        <v>35.636299999999999</v>
      </c>
      <c r="K990" s="66">
        <f>35.6412 * CHOOSE(CONTROL!$C$23, $C$12, 100%, $E$12)</f>
        <v>35.641199999999998</v>
      </c>
      <c r="L990" s="66">
        <f>18.9926 * CHOOSE(CONTROL!$C$23, $C$12, 100%, $E$12)</f>
        <v>18.992599999999999</v>
      </c>
      <c r="M990" s="66">
        <f>18.9976 * CHOOSE(CONTROL!$C$23, $C$12, 100%, $E$12)</f>
        <v>18.997599999999998</v>
      </c>
      <c r="N990" s="66">
        <f>18.9926 * CHOOSE(CONTROL!$C$23, $C$12, 100%, $E$12)</f>
        <v>18.992599999999999</v>
      </c>
      <c r="O990" s="66">
        <f>18.9976 * CHOOSE(CONTROL!$C$23, $C$12, 100%, $E$12)</f>
        <v>18.997599999999998</v>
      </c>
    </row>
    <row r="991" spans="1:15" ht="15">
      <c r="A991" s="13">
        <v>71315</v>
      </c>
      <c r="B991" s="65">
        <f>16.9079 * CHOOSE(CONTROL!$C$23, $C$12, 100%, $E$12)</f>
        <v>16.907900000000001</v>
      </c>
      <c r="C991" s="65">
        <f>16.9079 * CHOOSE(CONTROL!$C$23, $C$12, 100%, $E$12)</f>
        <v>16.907900000000001</v>
      </c>
      <c r="D991" s="65">
        <f>16.9119 * CHOOSE(CONTROL!$C$23, $C$12, 100%, $E$12)</f>
        <v>16.911899999999999</v>
      </c>
      <c r="E991" s="66">
        <f>19.2795 * CHOOSE(CONTROL!$C$23, $C$12, 100%, $E$12)</f>
        <v>19.279499999999999</v>
      </c>
      <c r="F991" s="66">
        <f>19.2795 * CHOOSE(CONTROL!$C$23, $C$12, 100%, $E$12)</f>
        <v>19.279499999999999</v>
      </c>
      <c r="G991" s="66">
        <f>19.2844 * CHOOSE(CONTROL!$C$23, $C$12, 100%, $E$12)</f>
        <v>19.284400000000002</v>
      </c>
      <c r="H991" s="66">
        <f>35.7106* CHOOSE(CONTROL!$C$23, $C$12, 100%, $E$12)</f>
        <v>35.710599999999999</v>
      </c>
      <c r="I991" s="66">
        <f>35.7155 * CHOOSE(CONTROL!$C$23, $C$12, 100%, $E$12)</f>
        <v>35.715499999999999</v>
      </c>
      <c r="J991" s="66">
        <f>35.7106 * CHOOSE(CONTROL!$C$23, $C$12, 100%, $E$12)</f>
        <v>35.710599999999999</v>
      </c>
      <c r="K991" s="66">
        <f>35.7155 * CHOOSE(CONTROL!$C$23, $C$12, 100%, $E$12)</f>
        <v>35.715499999999999</v>
      </c>
      <c r="L991" s="66">
        <f>19.2795 * CHOOSE(CONTROL!$C$23, $C$12, 100%, $E$12)</f>
        <v>19.279499999999999</v>
      </c>
      <c r="M991" s="66">
        <f>19.2844 * CHOOSE(CONTROL!$C$23, $C$12, 100%, $E$12)</f>
        <v>19.284400000000002</v>
      </c>
      <c r="N991" s="66">
        <f>19.2795 * CHOOSE(CONTROL!$C$23, $C$12, 100%, $E$12)</f>
        <v>19.279499999999999</v>
      </c>
      <c r="O991" s="66">
        <f>19.2844 * CHOOSE(CONTROL!$C$23, $C$12, 100%, $E$12)</f>
        <v>19.284400000000002</v>
      </c>
    </row>
    <row r="992" spans="1:15" ht="15">
      <c r="A992" s="13">
        <v>71345</v>
      </c>
      <c r="B992" s="65">
        <f>16.9079 * CHOOSE(CONTROL!$C$23, $C$12, 100%, $E$12)</f>
        <v>16.907900000000001</v>
      </c>
      <c r="C992" s="65">
        <f>16.9079 * CHOOSE(CONTROL!$C$23, $C$12, 100%, $E$12)</f>
        <v>16.907900000000001</v>
      </c>
      <c r="D992" s="65">
        <f>16.9136 * CHOOSE(CONTROL!$C$23, $C$12, 100%, $E$12)</f>
        <v>16.913599999999999</v>
      </c>
      <c r="E992" s="66">
        <f>19.3887 * CHOOSE(CONTROL!$C$23, $C$12, 100%, $E$12)</f>
        <v>19.3887</v>
      </c>
      <c r="F992" s="66">
        <f>19.3887 * CHOOSE(CONTROL!$C$23, $C$12, 100%, $E$12)</f>
        <v>19.3887</v>
      </c>
      <c r="G992" s="66">
        <f>19.3956 * CHOOSE(CONTROL!$C$23, $C$12, 100%, $E$12)</f>
        <v>19.395600000000002</v>
      </c>
      <c r="H992" s="66">
        <f>35.785* CHOOSE(CONTROL!$C$23, $C$12, 100%, $E$12)</f>
        <v>35.784999999999997</v>
      </c>
      <c r="I992" s="66">
        <f>35.7919 * CHOOSE(CONTROL!$C$23, $C$12, 100%, $E$12)</f>
        <v>35.791899999999998</v>
      </c>
      <c r="J992" s="66">
        <f>35.785 * CHOOSE(CONTROL!$C$23, $C$12, 100%, $E$12)</f>
        <v>35.784999999999997</v>
      </c>
      <c r="K992" s="66">
        <f>35.7919 * CHOOSE(CONTROL!$C$23, $C$12, 100%, $E$12)</f>
        <v>35.791899999999998</v>
      </c>
      <c r="L992" s="66">
        <f>19.3887 * CHOOSE(CONTROL!$C$23, $C$12, 100%, $E$12)</f>
        <v>19.3887</v>
      </c>
      <c r="M992" s="66">
        <f>19.3956 * CHOOSE(CONTROL!$C$23, $C$12, 100%, $E$12)</f>
        <v>19.395600000000002</v>
      </c>
      <c r="N992" s="66">
        <f>19.3887 * CHOOSE(CONTROL!$C$23, $C$12, 100%, $E$12)</f>
        <v>19.3887</v>
      </c>
      <c r="O992" s="66">
        <f>19.3956 * CHOOSE(CONTROL!$C$23, $C$12, 100%, $E$12)</f>
        <v>19.395600000000002</v>
      </c>
    </row>
    <row r="993" spans="1:15" ht="15">
      <c r="A993" s="13">
        <v>71376</v>
      </c>
      <c r="B993" s="65">
        <f>16.914 * CHOOSE(CONTROL!$C$23, $C$12, 100%, $E$12)</f>
        <v>16.914000000000001</v>
      </c>
      <c r="C993" s="65">
        <f>16.914 * CHOOSE(CONTROL!$C$23, $C$12, 100%, $E$12)</f>
        <v>16.914000000000001</v>
      </c>
      <c r="D993" s="65">
        <f>16.9196 * CHOOSE(CONTROL!$C$23, $C$12, 100%, $E$12)</f>
        <v>16.919599999999999</v>
      </c>
      <c r="E993" s="66">
        <f>19.2838 * CHOOSE(CONTROL!$C$23, $C$12, 100%, $E$12)</f>
        <v>19.283799999999999</v>
      </c>
      <c r="F993" s="66">
        <f>19.2838 * CHOOSE(CONTROL!$C$23, $C$12, 100%, $E$12)</f>
        <v>19.283799999999999</v>
      </c>
      <c r="G993" s="66">
        <f>19.2907 * CHOOSE(CONTROL!$C$23, $C$12, 100%, $E$12)</f>
        <v>19.290700000000001</v>
      </c>
      <c r="H993" s="66">
        <f>35.8595* CHOOSE(CONTROL!$C$23, $C$12, 100%, $E$12)</f>
        <v>35.859499999999997</v>
      </c>
      <c r="I993" s="66">
        <f>35.8664 * CHOOSE(CONTROL!$C$23, $C$12, 100%, $E$12)</f>
        <v>35.866399999999999</v>
      </c>
      <c r="J993" s="66">
        <f>35.8595 * CHOOSE(CONTROL!$C$23, $C$12, 100%, $E$12)</f>
        <v>35.859499999999997</v>
      </c>
      <c r="K993" s="66">
        <f>35.8664 * CHOOSE(CONTROL!$C$23, $C$12, 100%, $E$12)</f>
        <v>35.866399999999999</v>
      </c>
      <c r="L993" s="66">
        <f>19.2838 * CHOOSE(CONTROL!$C$23, $C$12, 100%, $E$12)</f>
        <v>19.283799999999999</v>
      </c>
      <c r="M993" s="66">
        <f>19.2907 * CHOOSE(CONTROL!$C$23, $C$12, 100%, $E$12)</f>
        <v>19.290700000000001</v>
      </c>
      <c r="N993" s="66">
        <f>19.2838 * CHOOSE(CONTROL!$C$23, $C$12, 100%, $E$12)</f>
        <v>19.283799999999999</v>
      </c>
      <c r="O993" s="66">
        <f>19.2907 * CHOOSE(CONTROL!$C$23, $C$12, 100%, $E$12)</f>
        <v>19.290700000000001</v>
      </c>
    </row>
    <row r="994" spans="1:15" ht="15">
      <c r="A994" s="13">
        <v>71406</v>
      </c>
      <c r="B994" s="65">
        <f>17.1686 * CHOOSE(CONTROL!$C$23, $C$12, 100%, $E$12)</f>
        <v>17.168600000000001</v>
      </c>
      <c r="C994" s="65">
        <f>17.1686 * CHOOSE(CONTROL!$C$23, $C$12, 100%, $E$12)</f>
        <v>17.168600000000001</v>
      </c>
      <c r="D994" s="65">
        <f>17.1742 * CHOOSE(CONTROL!$C$23, $C$12, 100%, $E$12)</f>
        <v>17.174199999999999</v>
      </c>
      <c r="E994" s="66">
        <f>19.5882 * CHOOSE(CONTROL!$C$23, $C$12, 100%, $E$12)</f>
        <v>19.588200000000001</v>
      </c>
      <c r="F994" s="66">
        <f>19.5882 * CHOOSE(CONTROL!$C$23, $C$12, 100%, $E$12)</f>
        <v>19.588200000000001</v>
      </c>
      <c r="G994" s="66">
        <f>19.5951 * CHOOSE(CONTROL!$C$23, $C$12, 100%, $E$12)</f>
        <v>19.595099999999999</v>
      </c>
      <c r="H994" s="66">
        <f>35.9342* CHOOSE(CONTROL!$C$23, $C$12, 100%, $E$12)</f>
        <v>35.934199999999997</v>
      </c>
      <c r="I994" s="66">
        <f>35.9411 * CHOOSE(CONTROL!$C$23, $C$12, 100%, $E$12)</f>
        <v>35.941099999999999</v>
      </c>
      <c r="J994" s="66">
        <f>35.9342 * CHOOSE(CONTROL!$C$23, $C$12, 100%, $E$12)</f>
        <v>35.934199999999997</v>
      </c>
      <c r="K994" s="66">
        <f>35.9411 * CHOOSE(CONTROL!$C$23, $C$12, 100%, $E$12)</f>
        <v>35.941099999999999</v>
      </c>
      <c r="L994" s="66">
        <f>19.5882 * CHOOSE(CONTROL!$C$23, $C$12, 100%, $E$12)</f>
        <v>19.588200000000001</v>
      </c>
      <c r="M994" s="66">
        <f>19.5951 * CHOOSE(CONTROL!$C$23, $C$12, 100%, $E$12)</f>
        <v>19.595099999999999</v>
      </c>
      <c r="N994" s="66">
        <f>19.5882 * CHOOSE(CONTROL!$C$23, $C$12, 100%, $E$12)</f>
        <v>19.588200000000001</v>
      </c>
      <c r="O994" s="66">
        <f>19.5951 * CHOOSE(CONTROL!$C$23, $C$12, 100%, $E$12)</f>
        <v>19.595099999999999</v>
      </c>
    </row>
    <row r="995" spans="1:15" ht="15">
      <c r="A995" s="13">
        <v>71437</v>
      </c>
      <c r="B995" s="65">
        <f>17.1753 * CHOOSE(CONTROL!$C$23, $C$12, 100%, $E$12)</f>
        <v>17.1753</v>
      </c>
      <c r="C995" s="65">
        <f>17.1753 * CHOOSE(CONTROL!$C$23, $C$12, 100%, $E$12)</f>
        <v>17.1753</v>
      </c>
      <c r="D995" s="65">
        <f>17.1809 * CHOOSE(CONTROL!$C$23, $C$12, 100%, $E$12)</f>
        <v>17.180900000000001</v>
      </c>
      <c r="E995" s="66">
        <f>19.2653 * CHOOSE(CONTROL!$C$23, $C$12, 100%, $E$12)</f>
        <v>19.2653</v>
      </c>
      <c r="F995" s="66">
        <f>19.2653 * CHOOSE(CONTROL!$C$23, $C$12, 100%, $E$12)</f>
        <v>19.2653</v>
      </c>
      <c r="G995" s="66">
        <f>19.2722 * CHOOSE(CONTROL!$C$23, $C$12, 100%, $E$12)</f>
        <v>19.272200000000002</v>
      </c>
      <c r="H995" s="66">
        <f>36.0091* CHOOSE(CONTROL!$C$23, $C$12, 100%, $E$12)</f>
        <v>36.009099999999997</v>
      </c>
      <c r="I995" s="66">
        <f>36.016 * CHOOSE(CONTROL!$C$23, $C$12, 100%, $E$12)</f>
        <v>36.015999999999998</v>
      </c>
      <c r="J995" s="66">
        <f>36.0091 * CHOOSE(CONTROL!$C$23, $C$12, 100%, $E$12)</f>
        <v>36.009099999999997</v>
      </c>
      <c r="K995" s="66">
        <f>36.016 * CHOOSE(CONTROL!$C$23, $C$12, 100%, $E$12)</f>
        <v>36.015999999999998</v>
      </c>
      <c r="L995" s="66">
        <f>19.2653 * CHOOSE(CONTROL!$C$23, $C$12, 100%, $E$12)</f>
        <v>19.2653</v>
      </c>
      <c r="M995" s="66">
        <f>19.2722 * CHOOSE(CONTROL!$C$23, $C$12, 100%, $E$12)</f>
        <v>19.272200000000002</v>
      </c>
      <c r="N995" s="66">
        <f>19.2653 * CHOOSE(CONTROL!$C$23, $C$12, 100%, $E$12)</f>
        <v>19.2653</v>
      </c>
      <c r="O995" s="66">
        <f>19.2722 * CHOOSE(CONTROL!$C$23, $C$12, 100%, $E$12)</f>
        <v>19.272200000000002</v>
      </c>
    </row>
    <row r="996" spans="1:15" ht="15">
      <c r="A996" s="13">
        <v>71468</v>
      </c>
      <c r="B996" s="65">
        <f>17.1722 * CHOOSE(CONTROL!$C$23, $C$12, 100%, $E$12)</f>
        <v>17.1722</v>
      </c>
      <c r="C996" s="65">
        <f>17.1722 * CHOOSE(CONTROL!$C$23, $C$12, 100%, $E$12)</f>
        <v>17.1722</v>
      </c>
      <c r="D996" s="65">
        <f>17.1779 * CHOOSE(CONTROL!$C$23, $C$12, 100%, $E$12)</f>
        <v>17.177900000000001</v>
      </c>
      <c r="E996" s="66">
        <f>19.2268 * CHOOSE(CONTROL!$C$23, $C$12, 100%, $E$12)</f>
        <v>19.226800000000001</v>
      </c>
      <c r="F996" s="66">
        <f>19.2268 * CHOOSE(CONTROL!$C$23, $C$12, 100%, $E$12)</f>
        <v>19.226800000000001</v>
      </c>
      <c r="G996" s="66">
        <f>19.2337 * CHOOSE(CONTROL!$C$23, $C$12, 100%, $E$12)</f>
        <v>19.233699999999999</v>
      </c>
      <c r="H996" s="66">
        <f>36.0841* CHOOSE(CONTROL!$C$23, $C$12, 100%, $E$12)</f>
        <v>36.084099999999999</v>
      </c>
      <c r="I996" s="66">
        <f>36.091 * CHOOSE(CONTROL!$C$23, $C$12, 100%, $E$12)</f>
        <v>36.091000000000001</v>
      </c>
      <c r="J996" s="66">
        <f>36.0841 * CHOOSE(CONTROL!$C$23, $C$12, 100%, $E$12)</f>
        <v>36.084099999999999</v>
      </c>
      <c r="K996" s="66">
        <f>36.091 * CHOOSE(CONTROL!$C$23, $C$12, 100%, $E$12)</f>
        <v>36.091000000000001</v>
      </c>
      <c r="L996" s="66">
        <f>19.2268 * CHOOSE(CONTROL!$C$23, $C$12, 100%, $E$12)</f>
        <v>19.226800000000001</v>
      </c>
      <c r="M996" s="66">
        <f>19.2337 * CHOOSE(CONTROL!$C$23, $C$12, 100%, $E$12)</f>
        <v>19.233699999999999</v>
      </c>
      <c r="N996" s="66">
        <f>19.2268 * CHOOSE(CONTROL!$C$23, $C$12, 100%, $E$12)</f>
        <v>19.226800000000001</v>
      </c>
      <c r="O996" s="66">
        <f>19.2337 * CHOOSE(CONTROL!$C$23, $C$12, 100%, $E$12)</f>
        <v>19.233699999999999</v>
      </c>
    </row>
    <row r="997" spans="1:15" ht="15">
      <c r="A997" s="13">
        <v>71498</v>
      </c>
      <c r="B997" s="65">
        <f>17.2096 * CHOOSE(CONTROL!$C$23, $C$12, 100%, $E$12)</f>
        <v>17.209599999999998</v>
      </c>
      <c r="C997" s="65">
        <f>17.2096 * CHOOSE(CONTROL!$C$23, $C$12, 100%, $E$12)</f>
        <v>17.209599999999998</v>
      </c>
      <c r="D997" s="65">
        <f>17.2136 * CHOOSE(CONTROL!$C$23, $C$12, 100%, $E$12)</f>
        <v>17.2136</v>
      </c>
      <c r="E997" s="66">
        <f>19.359 * CHOOSE(CONTROL!$C$23, $C$12, 100%, $E$12)</f>
        <v>19.359000000000002</v>
      </c>
      <c r="F997" s="66">
        <f>19.359 * CHOOSE(CONTROL!$C$23, $C$12, 100%, $E$12)</f>
        <v>19.359000000000002</v>
      </c>
      <c r="G997" s="66">
        <f>19.3639 * CHOOSE(CONTROL!$C$23, $C$12, 100%, $E$12)</f>
        <v>19.363900000000001</v>
      </c>
      <c r="H997" s="66">
        <f>36.1593* CHOOSE(CONTROL!$C$23, $C$12, 100%, $E$12)</f>
        <v>36.159300000000002</v>
      </c>
      <c r="I997" s="66">
        <f>36.1642 * CHOOSE(CONTROL!$C$23, $C$12, 100%, $E$12)</f>
        <v>36.164200000000001</v>
      </c>
      <c r="J997" s="66">
        <f>36.1593 * CHOOSE(CONTROL!$C$23, $C$12, 100%, $E$12)</f>
        <v>36.159300000000002</v>
      </c>
      <c r="K997" s="66">
        <f>36.1642 * CHOOSE(CONTROL!$C$23, $C$12, 100%, $E$12)</f>
        <v>36.164200000000001</v>
      </c>
      <c r="L997" s="66">
        <f>19.359 * CHOOSE(CONTROL!$C$23, $C$12, 100%, $E$12)</f>
        <v>19.359000000000002</v>
      </c>
      <c r="M997" s="66">
        <f>19.3639 * CHOOSE(CONTROL!$C$23, $C$12, 100%, $E$12)</f>
        <v>19.363900000000001</v>
      </c>
      <c r="N997" s="66">
        <f>19.359 * CHOOSE(CONTROL!$C$23, $C$12, 100%, $E$12)</f>
        <v>19.359000000000002</v>
      </c>
      <c r="O997" s="66">
        <f>19.3639 * CHOOSE(CONTROL!$C$23, $C$12, 100%, $E$12)</f>
        <v>19.363900000000001</v>
      </c>
    </row>
    <row r="998" spans="1:15" ht="15">
      <c r="A998" s="13">
        <v>71529</v>
      </c>
      <c r="B998" s="65">
        <f>17.2126 * CHOOSE(CONTROL!$C$23, $C$12, 100%, $E$12)</f>
        <v>17.212599999999998</v>
      </c>
      <c r="C998" s="65">
        <f>17.2126 * CHOOSE(CONTROL!$C$23, $C$12, 100%, $E$12)</f>
        <v>17.212599999999998</v>
      </c>
      <c r="D998" s="65">
        <f>17.2166 * CHOOSE(CONTROL!$C$23, $C$12, 100%, $E$12)</f>
        <v>17.2166</v>
      </c>
      <c r="E998" s="66">
        <f>19.4339 * CHOOSE(CONTROL!$C$23, $C$12, 100%, $E$12)</f>
        <v>19.433900000000001</v>
      </c>
      <c r="F998" s="66">
        <f>19.4339 * CHOOSE(CONTROL!$C$23, $C$12, 100%, $E$12)</f>
        <v>19.433900000000001</v>
      </c>
      <c r="G998" s="66">
        <f>19.4388 * CHOOSE(CONTROL!$C$23, $C$12, 100%, $E$12)</f>
        <v>19.438800000000001</v>
      </c>
      <c r="H998" s="66">
        <f>36.2346* CHOOSE(CONTROL!$C$23, $C$12, 100%, $E$12)</f>
        <v>36.2346</v>
      </c>
      <c r="I998" s="66">
        <f>36.2395 * CHOOSE(CONTROL!$C$23, $C$12, 100%, $E$12)</f>
        <v>36.2395</v>
      </c>
      <c r="J998" s="66">
        <f>36.2346 * CHOOSE(CONTROL!$C$23, $C$12, 100%, $E$12)</f>
        <v>36.2346</v>
      </c>
      <c r="K998" s="66">
        <f>36.2395 * CHOOSE(CONTROL!$C$23, $C$12, 100%, $E$12)</f>
        <v>36.2395</v>
      </c>
      <c r="L998" s="66">
        <f>19.4339 * CHOOSE(CONTROL!$C$23, $C$12, 100%, $E$12)</f>
        <v>19.433900000000001</v>
      </c>
      <c r="M998" s="66">
        <f>19.4388 * CHOOSE(CONTROL!$C$23, $C$12, 100%, $E$12)</f>
        <v>19.438800000000001</v>
      </c>
      <c r="N998" s="66">
        <f>19.4339 * CHOOSE(CONTROL!$C$23, $C$12, 100%, $E$12)</f>
        <v>19.433900000000001</v>
      </c>
      <c r="O998" s="66">
        <f>19.4388 * CHOOSE(CONTROL!$C$23, $C$12, 100%, $E$12)</f>
        <v>19.438800000000001</v>
      </c>
    </row>
    <row r="999" spans="1:15" ht="15">
      <c r="A999" s="13">
        <v>71559</v>
      </c>
      <c r="B999" s="65">
        <f>17.2126 * CHOOSE(CONTROL!$C$23, $C$12, 100%, $E$12)</f>
        <v>17.212599999999998</v>
      </c>
      <c r="C999" s="65">
        <f>17.2126 * CHOOSE(CONTROL!$C$23, $C$12, 100%, $E$12)</f>
        <v>17.212599999999998</v>
      </c>
      <c r="D999" s="65">
        <f>17.2166 * CHOOSE(CONTROL!$C$23, $C$12, 100%, $E$12)</f>
        <v>17.2166</v>
      </c>
      <c r="E999" s="66">
        <f>19.2519 * CHOOSE(CONTROL!$C$23, $C$12, 100%, $E$12)</f>
        <v>19.251899999999999</v>
      </c>
      <c r="F999" s="66">
        <f>19.2519 * CHOOSE(CONTROL!$C$23, $C$12, 100%, $E$12)</f>
        <v>19.251899999999999</v>
      </c>
      <c r="G999" s="66">
        <f>19.2568 * CHOOSE(CONTROL!$C$23, $C$12, 100%, $E$12)</f>
        <v>19.256799999999998</v>
      </c>
      <c r="H999" s="66">
        <f>36.3101* CHOOSE(CONTROL!$C$23, $C$12, 100%, $E$12)</f>
        <v>36.310099999999998</v>
      </c>
      <c r="I999" s="66">
        <f>36.315 * CHOOSE(CONTROL!$C$23, $C$12, 100%, $E$12)</f>
        <v>36.314999999999998</v>
      </c>
      <c r="J999" s="66">
        <f>36.3101 * CHOOSE(CONTROL!$C$23, $C$12, 100%, $E$12)</f>
        <v>36.310099999999998</v>
      </c>
      <c r="K999" s="66">
        <f>36.315 * CHOOSE(CONTROL!$C$23, $C$12, 100%, $E$12)</f>
        <v>36.314999999999998</v>
      </c>
      <c r="L999" s="66">
        <f>19.2519 * CHOOSE(CONTROL!$C$23, $C$12, 100%, $E$12)</f>
        <v>19.251899999999999</v>
      </c>
      <c r="M999" s="66">
        <f>19.2568 * CHOOSE(CONTROL!$C$23, $C$12, 100%, $E$12)</f>
        <v>19.256799999999998</v>
      </c>
      <c r="N999" s="66">
        <f>19.2519 * CHOOSE(CONTROL!$C$23, $C$12, 100%, $E$12)</f>
        <v>19.251899999999999</v>
      </c>
      <c r="O999" s="66">
        <f>19.2568 * CHOOSE(CONTROL!$C$23, $C$12, 100%, $E$12)</f>
        <v>19.256799999999998</v>
      </c>
    </row>
    <row r="1000" spans="1:15" ht="15">
      <c r="A1000" s="13">
        <v>71590</v>
      </c>
      <c r="B1000" s="65">
        <f>17.1412 * CHOOSE(CONTROL!$C$23, $C$12, 100%, $E$12)</f>
        <v>17.141200000000001</v>
      </c>
      <c r="C1000" s="65">
        <f>17.1412 * CHOOSE(CONTROL!$C$23, $C$12, 100%, $E$12)</f>
        <v>17.141200000000001</v>
      </c>
      <c r="D1000" s="65">
        <f>17.1452 * CHOOSE(CONTROL!$C$23, $C$12, 100%, $E$12)</f>
        <v>17.145199999999999</v>
      </c>
      <c r="E1000" s="66">
        <f>19.3244 * CHOOSE(CONTROL!$C$23, $C$12, 100%, $E$12)</f>
        <v>19.324400000000001</v>
      </c>
      <c r="F1000" s="66">
        <f>19.3244 * CHOOSE(CONTROL!$C$23, $C$12, 100%, $E$12)</f>
        <v>19.324400000000001</v>
      </c>
      <c r="G1000" s="66">
        <f>19.3293 * CHOOSE(CONTROL!$C$23, $C$12, 100%, $E$12)</f>
        <v>19.3293</v>
      </c>
      <c r="H1000" s="66">
        <f>35.9708* CHOOSE(CONTROL!$C$23, $C$12, 100%, $E$12)</f>
        <v>35.970799999999997</v>
      </c>
      <c r="I1000" s="66">
        <f>35.9758 * CHOOSE(CONTROL!$C$23, $C$12, 100%, $E$12)</f>
        <v>35.9758</v>
      </c>
      <c r="J1000" s="66">
        <f>35.9708 * CHOOSE(CONTROL!$C$23, $C$12, 100%, $E$12)</f>
        <v>35.970799999999997</v>
      </c>
      <c r="K1000" s="66">
        <f>35.9758 * CHOOSE(CONTROL!$C$23, $C$12, 100%, $E$12)</f>
        <v>35.9758</v>
      </c>
      <c r="L1000" s="66">
        <f>19.3244 * CHOOSE(CONTROL!$C$23, $C$12, 100%, $E$12)</f>
        <v>19.324400000000001</v>
      </c>
      <c r="M1000" s="66">
        <f>19.3293 * CHOOSE(CONTROL!$C$23, $C$12, 100%, $E$12)</f>
        <v>19.3293</v>
      </c>
      <c r="N1000" s="66">
        <f>19.3244 * CHOOSE(CONTROL!$C$23, $C$12, 100%, $E$12)</f>
        <v>19.324400000000001</v>
      </c>
      <c r="O1000" s="66">
        <f>19.3293 * CHOOSE(CONTROL!$C$23, $C$12, 100%, $E$12)</f>
        <v>19.3293</v>
      </c>
    </row>
    <row r="1001" spans="1:15" ht="15">
      <c r="A1001" s="13">
        <v>71621</v>
      </c>
      <c r="B1001" s="65">
        <f>17.1381 * CHOOSE(CONTROL!$C$23, $C$12, 100%, $E$12)</f>
        <v>17.138100000000001</v>
      </c>
      <c r="C1001" s="65">
        <f>17.1381 * CHOOSE(CONTROL!$C$23, $C$12, 100%, $E$12)</f>
        <v>17.138100000000001</v>
      </c>
      <c r="D1001" s="65">
        <f>17.1421 * CHOOSE(CONTROL!$C$23, $C$12, 100%, $E$12)</f>
        <v>17.142099999999999</v>
      </c>
      <c r="E1001" s="66">
        <f>18.9735 * CHOOSE(CONTROL!$C$23, $C$12, 100%, $E$12)</f>
        <v>18.973500000000001</v>
      </c>
      <c r="F1001" s="66">
        <f>18.9735 * CHOOSE(CONTROL!$C$23, $C$12, 100%, $E$12)</f>
        <v>18.973500000000001</v>
      </c>
      <c r="G1001" s="66">
        <f>18.9784 * CHOOSE(CONTROL!$C$23, $C$12, 100%, $E$12)</f>
        <v>18.978400000000001</v>
      </c>
      <c r="H1001" s="66">
        <f>36.0458* CHOOSE(CONTROL!$C$23, $C$12, 100%, $E$12)</f>
        <v>36.0458</v>
      </c>
      <c r="I1001" s="66">
        <f>36.0507 * CHOOSE(CONTROL!$C$23, $C$12, 100%, $E$12)</f>
        <v>36.050699999999999</v>
      </c>
      <c r="J1001" s="66">
        <f>36.0458 * CHOOSE(CONTROL!$C$23, $C$12, 100%, $E$12)</f>
        <v>36.0458</v>
      </c>
      <c r="K1001" s="66">
        <f>36.0507 * CHOOSE(CONTROL!$C$23, $C$12, 100%, $E$12)</f>
        <v>36.050699999999999</v>
      </c>
      <c r="L1001" s="66">
        <f>18.9735 * CHOOSE(CONTROL!$C$23, $C$12, 100%, $E$12)</f>
        <v>18.973500000000001</v>
      </c>
      <c r="M1001" s="66">
        <f>18.9784 * CHOOSE(CONTROL!$C$23, $C$12, 100%, $E$12)</f>
        <v>18.978400000000001</v>
      </c>
      <c r="N1001" s="66">
        <f>18.9735 * CHOOSE(CONTROL!$C$23, $C$12, 100%, $E$12)</f>
        <v>18.973500000000001</v>
      </c>
      <c r="O1001" s="66">
        <f>18.9784 * CHOOSE(CONTROL!$C$23, $C$12, 100%, $E$12)</f>
        <v>18.978400000000001</v>
      </c>
    </row>
    <row r="1002" spans="1:15" ht="15">
      <c r="A1002" s="13">
        <v>71650</v>
      </c>
      <c r="B1002" s="65">
        <f>17.1351 * CHOOSE(CONTROL!$C$23, $C$12, 100%, $E$12)</f>
        <v>17.135100000000001</v>
      </c>
      <c r="C1002" s="65">
        <f>17.1351 * CHOOSE(CONTROL!$C$23, $C$12, 100%, $E$12)</f>
        <v>17.135100000000001</v>
      </c>
      <c r="D1002" s="65">
        <f>17.1391 * CHOOSE(CONTROL!$C$23, $C$12, 100%, $E$12)</f>
        <v>17.139099999999999</v>
      </c>
      <c r="E1002" s="66">
        <f>19.2463 * CHOOSE(CONTROL!$C$23, $C$12, 100%, $E$12)</f>
        <v>19.246300000000002</v>
      </c>
      <c r="F1002" s="66">
        <f>19.2463 * CHOOSE(CONTROL!$C$23, $C$12, 100%, $E$12)</f>
        <v>19.246300000000002</v>
      </c>
      <c r="G1002" s="66">
        <f>19.2512 * CHOOSE(CONTROL!$C$23, $C$12, 100%, $E$12)</f>
        <v>19.251200000000001</v>
      </c>
      <c r="H1002" s="66">
        <f>36.1209* CHOOSE(CONTROL!$C$23, $C$12, 100%, $E$12)</f>
        <v>36.120899999999999</v>
      </c>
      <c r="I1002" s="66">
        <f>36.1258 * CHOOSE(CONTROL!$C$23, $C$12, 100%, $E$12)</f>
        <v>36.125799999999998</v>
      </c>
      <c r="J1002" s="66">
        <f>36.1209 * CHOOSE(CONTROL!$C$23, $C$12, 100%, $E$12)</f>
        <v>36.120899999999999</v>
      </c>
      <c r="K1002" s="66">
        <f>36.1258 * CHOOSE(CONTROL!$C$23, $C$12, 100%, $E$12)</f>
        <v>36.125799999999998</v>
      </c>
      <c r="L1002" s="66">
        <f>19.2463 * CHOOSE(CONTROL!$C$23, $C$12, 100%, $E$12)</f>
        <v>19.246300000000002</v>
      </c>
      <c r="M1002" s="66">
        <f>19.2512 * CHOOSE(CONTROL!$C$23, $C$12, 100%, $E$12)</f>
        <v>19.251200000000001</v>
      </c>
      <c r="N1002" s="66">
        <f>19.2463 * CHOOSE(CONTROL!$C$23, $C$12, 100%, $E$12)</f>
        <v>19.246300000000002</v>
      </c>
      <c r="O1002" s="66">
        <f>19.2512 * CHOOSE(CONTROL!$C$23, $C$12, 100%, $E$12)</f>
        <v>19.251200000000001</v>
      </c>
    </row>
    <row r="1003" spans="1:15" ht="15">
      <c r="A1003" s="13">
        <v>71681</v>
      </c>
      <c r="B1003" s="65">
        <f>17.1437 * CHOOSE(CONTROL!$C$23, $C$12, 100%, $E$12)</f>
        <v>17.143699999999999</v>
      </c>
      <c r="C1003" s="65">
        <f>17.1437 * CHOOSE(CONTROL!$C$23, $C$12, 100%, $E$12)</f>
        <v>17.143699999999999</v>
      </c>
      <c r="D1003" s="65">
        <f>17.1477 * CHOOSE(CONTROL!$C$23, $C$12, 100%, $E$12)</f>
        <v>17.1477</v>
      </c>
      <c r="E1003" s="66">
        <f>19.5374 * CHOOSE(CONTROL!$C$23, $C$12, 100%, $E$12)</f>
        <v>19.537400000000002</v>
      </c>
      <c r="F1003" s="66">
        <f>19.5374 * CHOOSE(CONTROL!$C$23, $C$12, 100%, $E$12)</f>
        <v>19.537400000000002</v>
      </c>
      <c r="G1003" s="66">
        <f>19.5423 * CHOOSE(CONTROL!$C$23, $C$12, 100%, $E$12)</f>
        <v>19.542300000000001</v>
      </c>
      <c r="H1003" s="66">
        <f>36.1961* CHOOSE(CONTROL!$C$23, $C$12, 100%, $E$12)</f>
        <v>36.196100000000001</v>
      </c>
      <c r="I1003" s="66">
        <f>36.2011 * CHOOSE(CONTROL!$C$23, $C$12, 100%, $E$12)</f>
        <v>36.201099999999997</v>
      </c>
      <c r="J1003" s="66">
        <f>36.1961 * CHOOSE(CONTROL!$C$23, $C$12, 100%, $E$12)</f>
        <v>36.196100000000001</v>
      </c>
      <c r="K1003" s="66">
        <f>36.2011 * CHOOSE(CONTROL!$C$23, $C$12, 100%, $E$12)</f>
        <v>36.201099999999997</v>
      </c>
      <c r="L1003" s="66">
        <f>19.5374 * CHOOSE(CONTROL!$C$23, $C$12, 100%, $E$12)</f>
        <v>19.537400000000002</v>
      </c>
      <c r="M1003" s="66">
        <f>19.5423 * CHOOSE(CONTROL!$C$23, $C$12, 100%, $E$12)</f>
        <v>19.542300000000001</v>
      </c>
      <c r="N1003" s="66">
        <f>19.5374 * CHOOSE(CONTROL!$C$23, $C$12, 100%, $E$12)</f>
        <v>19.537400000000002</v>
      </c>
      <c r="O1003" s="66">
        <f>19.5423 * CHOOSE(CONTROL!$C$23, $C$12, 100%, $E$12)</f>
        <v>19.542300000000001</v>
      </c>
    </row>
    <row r="1004" spans="1:15" ht="15">
      <c r="A1004" s="13">
        <v>71711</v>
      </c>
      <c r="B1004" s="65">
        <f>17.1437 * CHOOSE(CONTROL!$C$23, $C$12, 100%, $E$12)</f>
        <v>17.143699999999999</v>
      </c>
      <c r="C1004" s="65">
        <f>17.1437 * CHOOSE(CONTROL!$C$23, $C$12, 100%, $E$12)</f>
        <v>17.143699999999999</v>
      </c>
      <c r="D1004" s="65">
        <f>17.1493 * CHOOSE(CONTROL!$C$23, $C$12, 100%, $E$12)</f>
        <v>17.1493</v>
      </c>
      <c r="E1004" s="66">
        <f>19.6481 * CHOOSE(CONTROL!$C$23, $C$12, 100%, $E$12)</f>
        <v>19.648099999999999</v>
      </c>
      <c r="F1004" s="66">
        <f>19.6481 * CHOOSE(CONTROL!$C$23, $C$12, 100%, $E$12)</f>
        <v>19.648099999999999</v>
      </c>
      <c r="G1004" s="66">
        <f>19.655 * CHOOSE(CONTROL!$C$23, $C$12, 100%, $E$12)</f>
        <v>19.655000000000001</v>
      </c>
      <c r="H1004" s="66">
        <f>36.2715* CHOOSE(CONTROL!$C$23, $C$12, 100%, $E$12)</f>
        <v>36.271500000000003</v>
      </c>
      <c r="I1004" s="66">
        <f>36.2784 * CHOOSE(CONTROL!$C$23, $C$12, 100%, $E$12)</f>
        <v>36.278399999999998</v>
      </c>
      <c r="J1004" s="66">
        <f>36.2715 * CHOOSE(CONTROL!$C$23, $C$12, 100%, $E$12)</f>
        <v>36.271500000000003</v>
      </c>
      <c r="K1004" s="66">
        <f>36.2784 * CHOOSE(CONTROL!$C$23, $C$12, 100%, $E$12)</f>
        <v>36.278399999999998</v>
      </c>
      <c r="L1004" s="66">
        <f>19.6481 * CHOOSE(CONTROL!$C$23, $C$12, 100%, $E$12)</f>
        <v>19.648099999999999</v>
      </c>
      <c r="M1004" s="66">
        <f>19.655 * CHOOSE(CONTROL!$C$23, $C$12, 100%, $E$12)</f>
        <v>19.655000000000001</v>
      </c>
      <c r="N1004" s="66">
        <f>19.6481 * CHOOSE(CONTROL!$C$23, $C$12, 100%, $E$12)</f>
        <v>19.648099999999999</v>
      </c>
      <c r="O1004" s="66">
        <f>19.655 * CHOOSE(CONTROL!$C$23, $C$12, 100%, $E$12)</f>
        <v>19.655000000000001</v>
      </c>
    </row>
    <row r="1005" spans="1:15" ht="15">
      <c r="A1005" s="13">
        <v>71742</v>
      </c>
      <c r="B1005" s="65">
        <f>17.1498 * CHOOSE(CONTROL!$C$23, $C$12, 100%, $E$12)</f>
        <v>17.149799999999999</v>
      </c>
      <c r="C1005" s="65">
        <f>17.1498 * CHOOSE(CONTROL!$C$23, $C$12, 100%, $E$12)</f>
        <v>17.149799999999999</v>
      </c>
      <c r="D1005" s="65">
        <f>17.1554 * CHOOSE(CONTROL!$C$23, $C$12, 100%, $E$12)</f>
        <v>17.1554</v>
      </c>
      <c r="E1005" s="66">
        <f>19.5416 * CHOOSE(CONTROL!$C$23, $C$12, 100%, $E$12)</f>
        <v>19.541599999999999</v>
      </c>
      <c r="F1005" s="66">
        <f>19.5416 * CHOOSE(CONTROL!$C$23, $C$12, 100%, $E$12)</f>
        <v>19.541599999999999</v>
      </c>
      <c r="G1005" s="66">
        <f>19.5485 * CHOOSE(CONTROL!$C$23, $C$12, 100%, $E$12)</f>
        <v>19.548500000000001</v>
      </c>
      <c r="H1005" s="66">
        <f>36.3471* CHOOSE(CONTROL!$C$23, $C$12, 100%, $E$12)</f>
        <v>36.347099999999998</v>
      </c>
      <c r="I1005" s="66">
        <f>36.354 * CHOOSE(CONTROL!$C$23, $C$12, 100%, $E$12)</f>
        <v>36.353999999999999</v>
      </c>
      <c r="J1005" s="66">
        <f>36.3471 * CHOOSE(CONTROL!$C$23, $C$12, 100%, $E$12)</f>
        <v>36.347099999999998</v>
      </c>
      <c r="K1005" s="66">
        <f>36.354 * CHOOSE(CONTROL!$C$23, $C$12, 100%, $E$12)</f>
        <v>36.353999999999999</v>
      </c>
      <c r="L1005" s="66">
        <f>19.5416 * CHOOSE(CONTROL!$C$23, $C$12, 100%, $E$12)</f>
        <v>19.541599999999999</v>
      </c>
      <c r="M1005" s="66">
        <f>19.5485 * CHOOSE(CONTROL!$C$23, $C$12, 100%, $E$12)</f>
        <v>19.548500000000001</v>
      </c>
      <c r="N1005" s="66">
        <f>19.5416 * CHOOSE(CONTROL!$C$23, $C$12, 100%, $E$12)</f>
        <v>19.541599999999999</v>
      </c>
      <c r="O1005" s="66">
        <f>19.5485 * CHOOSE(CONTROL!$C$23, $C$12, 100%, $E$12)</f>
        <v>19.548500000000001</v>
      </c>
    </row>
    <row r="1006" spans="1:15" ht="15">
      <c r="A1006" s="13">
        <v>71772</v>
      </c>
      <c r="B1006" s="65">
        <f>17.4078 * CHOOSE(CONTROL!$C$23, $C$12, 100%, $E$12)</f>
        <v>17.407800000000002</v>
      </c>
      <c r="C1006" s="65">
        <f>17.4078 * CHOOSE(CONTROL!$C$23, $C$12, 100%, $E$12)</f>
        <v>17.407800000000002</v>
      </c>
      <c r="D1006" s="65">
        <f>17.4134 * CHOOSE(CONTROL!$C$23, $C$12, 100%, $E$12)</f>
        <v>17.413399999999999</v>
      </c>
      <c r="E1006" s="66">
        <f>19.8499 * CHOOSE(CONTROL!$C$23, $C$12, 100%, $E$12)</f>
        <v>19.849900000000002</v>
      </c>
      <c r="F1006" s="66">
        <f>19.8499 * CHOOSE(CONTROL!$C$23, $C$12, 100%, $E$12)</f>
        <v>19.849900000000002</v>
      </c>
      <c r="G1006" s="66">
        <f>19.8568 * CHOOSE(CONTROL!$C$23, $C$12, 100%, $E$12)</f>
        <v>19.8568</v>
      </c>
      <c r="H1006" s="66">
        <f>36.4228* CHOOSE(CONTROL!$C$23, $C$12, 100%, $E$12)</f>
        <v>36.422800000000002</v>
      </c>
      <c r="I1006" s="66">
        <f>36.4297 * CHOOSE(CONTROL!$C$23, $C$12, 100%, $E$12)</f>
        <v>36.429699999999997</v>
      </c>
      <c r="J1006" s="66">
        <f>36.4228 * CHOOSE(CONTROL!$C$23, $C$12, 100%, $E$12)</f>
        <v>36.422800000000002</v>
      </c>
      <c r="K1006" s="66">
        <f>36.4297 * CHOOSE(CONTROL!$C$23, $C$12, 100%, $E$12)</f>
        <v>36.429699999999997</v>
      </c>
      <c r="L1006" s="66">
        <f>19.8499 * CHOOSE(CONTROL!$C$23, $C$12, 100%, $E$12)</f>
        <v>19.849900000000002</v>
      </c>
      <c r="M1006" s="66">
        <f>19.8568 * CHOOSE(CONTROL!$C$23, $C$12, 100%, $E$12)</f>
        <v>19.8568</v>
      </c>
      <c r="N1006" s="66">
        <f>19.8499 * CHOOSE(CONTROL!$C$23, $C$12, 100%, $E$12)</f>
        <v>19.849900000000002</v>
      </c>
      <c r="O1006" s="66">
        <f>19.8568 * CHOOSE(CONTROL!$C$23, $C$12, 100%, $E$12)</f>
        <v>19.8568</v>
      </c>
    </row>
    <row r="1007" spans="1:15" ht="15">
      <c r="A1007" s="13">
        <v>71803</v>
      </c>
      <c r="B1007" s="65">
        <f>17.4144 * CHOOSE(CONTROL!$C$23, $C$12, 100%, $E$12)</f>
        <v>17.414400000000001</v>
      </c>
      <c r="C1007" s="65">
        <f>17.4144 * CHOOSE(CONTROL!$C$23, $C$12, 100%, $E$12)</f>
        <v>17.414400000000001</v>
      </c>
      <c r="D1007" s="65">
        <f>17.4201 * CHOOSE(CONTROL!$C$23, $C$12, 100%, $E$12)</f>
        <v>17.420100000000001</v>
      </c>
      <c r="E1007" s="66">
        <f>19.5224 * CHOOSE(CONTROL!$C$23, $C$12, 100%, $E$12)</f>
        <v>19.522400000000001</v>
      </c>
      <c r="F1007" s="66">
        <f>19.5224 * CHOOSE(CONTROL!$C$23, $C$12, 100%, $E$12)</f>
        <v>19.522400000000001</v>
      </c>
      <c r="G1007" s="66">
        <f>19.5293 * CHOOSE(CONTROL!$C$23, $C$12, 100%, $E$12)</f>
        <v>19.529299999999999</v>
      </c>
      <c r="H1007" s="66">
        <f>36.4987* CHOOSE(CONTROL!$C$23, $C$12, 100%, $E$12)</f>
        <v>36.498699999999999</v>
      </c>
      <c r="I1007" s="66">
        <f>36.5056 * CHOOSE(CONTROL!$C$23, $C$12, 100%, $E$12)</f>
        <v>36.505600000000001</v>
      </c>
      <c r="J1007" s="66">
        <f>36.4987 * CHOOSE(CONTROL!$C$23, $C$12, 100%, $E$12)</f>
        <v>36.498699999999999</v>
      </c>
      <c r="K1007" s="66">
        <f>36.5056 * CHOOSE(CONTROL!$C$23, $C$12, 100%, $E$12)</f>
        <v>36.505600000000001</v>
      </c>
      <c r="L1007" s="66">
        <f>19.5224 * CHOOSE(CONTROL!$C$23, $C$12, 100%, $E$12)</f>
        <v>19.522400000000001</v>
      </c>
      <c r="M1007" s="66">
        <f>19.5293 * CHOOSE(CONTROL!$C$23, $C$12, 100%, $E$12)</f>
        <v>19.529299999999999</v>
      </c>
      <c r="N1007" s="66">
        <f>19.5224 * CHOOSE(CONTROL!$C$23, $C$12, 100%, $E$12)</f>
        <v>19.522400000000001</v>
      </c>
      <c r="O1007" s="66">
        <f>19.5293 * CHOOSE(CONTROL!$C$23, $C$12, 100%, $E$12)</f>
        <v>19.529299999999999</v>
      </c>
    </row>
    <row r="1008" spans="1:15" ht="15">
      <c r="A1008" s="13">
        <v>71834</v>
      </c>
      <c r="B1008" s="65">
        <f>17.4114 * CHOOSE(CONTROL!$C$23, $C$12, 100%, $E$12)</f>
        <v>17.4114</v>
      </c>
      <c r="C1008" s="65">
        <f>17.4114 * CHOOSE(CONTROL!$C$23, $C$12, 100%, $E$12)</f>
        <v>17.4114</v>
      </c>
      <c r="D1008" s="65">
        <f>17.417 * CHOOSE(CONTROL!$C$23, $C$12, 100%, $E$12)</f>
        <v>17.417000000000002</v>
      </c>
      <c r="E1008" s="66">
        <f>19.4834 * CHOOSE(CONTROL!$C$23, $C$12, 100%, $E$12)</f>
        <v>19.4834</v>
      </c>
      <c r="F1008" s="66">
        <f>19.4834 * CHOOSE(CONTROL!$C$23, $C$12, 100%, $E$12)</f>
        <v>19.4834</v>
      </c>
      <c r="G1008" s="66">
        <f>19.4902 * CHOOSE(CONTROL!$C$23, $C$12, 100%, $E$12)</f>
        <v>19.490200000000002</v>
      </c>
      <c r="H1008" s="66">
        <f>36.5748* CHOOSE(CONTROL!$C$23, $C$12, 100%, $E$12)</f>
        <v>36.574800000000003</v>
      </c>
      <c r="I1008" s="66">
        <f>36.5816 * CHOOSE(CONTROL!$C$23, $C$12, 100%, $E$12)</f>
        <v>36.581600000000002</v>
      </c>
      <c r="J1008" s="66">
        <f>36.5748 * CHOOSE(CONTROL!$C$23, $C$12, 100%, $E$12)</f>
        <v>36.574800000000003</v>
      </c>
      <c r="K1008" s="66">
        <f>36.5816 * CHOOSE(CONTROL!$C$23, $C$12, 100%, $E$12)</f>
        <v>36.581600000000002</v>
      </c>
      <c r="L1008" s="66">
        <f>19.4834 * CHOOSE(CONTROL!$C$23, $C$12, 100%, $E$12)</f>
        <v>19.4834</v>
      </c>
      <c r="M1008" s="66">
        <f>19.4902 * CHOOSE(CONTROL!$C$23, $C$12, 100%, $E$12)</f>
        <v>19.490200000000002</v>
      </c>
      <c r="N1008" s="66">
        <f>19.4834 * CHOOSE(CONTROL!$C$23, $C$12, 100%, $E$12)</f>
        <v>19.4834</v>
      </c>
      <c r="O1008" s="66">
        <f>19.4902 * CHOOSE(CONTROL!$C$23, $C$12, 100%, $E$12)</f>
        <v>19.490200000000002</v>
      </c>
    </row>
    <row r="1009" spans="1:15" ht="15">
      <c r="A1009" s="13">
        <v>71864</v>
      </c>
      <c r="B1009" s="65">
        <f>17.4495 * CHOOSE(CONTROL!$C$23, $C$12, 100%, $E$12)</f>
        <v>17.4495</v>
      </c>
      <c r="C1009" s="65">
        <f>17.4495 * CHOOSE(CONTROL!$C$23, $C$12, 100%, $E$12)</f>
        <v>17.4495</v>
      </c>
      <c r="D1009" s="65">
        <f>17.4535 * CHOOSE(CONTROL!$C$23, $C$12, 100%, $E$12)</f>
        <v>17.453499999999998</v>
      </c>
      <c r="E1009" s="66">
        <f>19.6176 * CHOOSE(CONTROL!$C$23, $C$12, 100%, $E$12)</f>
        <v>19.617599999999999</v>
      </c>
      <c r="F1009" s="66">
        <f>19.6176 * CHOOSE(CONTROL!$C$23, $C$12, 100%, $E$12)</f>
        <v>19.617599999999999</v>
      </c>
      <c r="G1009" s="66">
        <f>19.6225 * CHOOSE(CONTROL!$C$23, $C$12, 100%, $E$12)</f>
        <v>19.622499999999999</v>
      </c>
      <c r="H1009" s="66">
        <f>36.6509* CHOOSE(CONTROL!$C$23, $C$12, 100%, $E$12)</f>
        <v>36.6509</v>
      </c>
      <c r="I1009" s="66">
        <f>36.6559 * CHOOSE(CONTROL!$C$23, $C$12, 100%, $E$12)</f>
        <v>36.655900000000003</v>
      </c>
      <c r="J1009" s="66">
        <f>36.6509 * CHOOSE(CONTROL!$C$23, $C$12, 100%, $E$12)</f>
        <v>36.6509</v>
      </c>
      <c r="K1009" s="66">
        <f>36.6559 * CHOOSE(CONTROL!$C$23, $C$12, 100%, $E$12)</f>
        <v>36.655900000000003</v>
      </c>
      <c r="L1009" s="66">
        <f>19.6176 * CHOOSE(CONTROL!$C$23, $C$12, 100%, $E$12)</f>
        <v>19.617599999999999</v>
      </c>
      <c r="M1009" s="66">
        <f>19.6225 * CHOOSE(CONTROL!$C$23, $C$12, 100%, $E$12)</f>
        <v>19.622499999999999</v>
      </c>
      <c r="N1009" s="66">
        <f>19.6176 * CHOOSE(CONTROL!$C$23, $C$12, 100%, $E$12)</f>
        <v>19.617599999999999</v>
      </c>
      <c r="O1009" s="66">
        <f>19.6225 * CHOOSE(CONTROL!$C$23, $C$12, 100%, $E$12)</f>
        <v>19.622499999999999</v>
      </c>
    </row>
    <row r="1010" spans="1:15" ht="15">
      <c r="A1010" s="13">
        <v>71895</v>
      </c>
      <c r="B1010" s="65">
        <f>17.4526 * CHOOSE(CONTROL!$C$23, $C$12, 100%, $E$12)</f>
        <v>17.4526</v>
      </c>
      <c r="C1010" s="65">
        <f>17.4526 * CHOOSE(CONTROL!$C$23, $C$12, 100%, $E$12)</f>
        <v>17.4526</v>
      </c>
      <c r="D1010" s="65">
        <f>17.4566 * CHOOSE(CONTROL!$C$23, $C$12, 100%, $E$12)</f>
        <v>17.456600000000002</v>
      </c>
      <c r="E1010" s="66">
        <f>19.6935 * CHOOSE(CONTROL!$C$23, $C$12, 100%, $E$12)</f>
        <v>19.6935</v>
      </c>
      <c r="F1010" s="66">
        <f>19.6935 * CHOOSE(CONTROL!$C$23, $C$12, 100%, $E$12)</f>
        <v>19.6935</v>
      </c>
      <c r="G1010" s="66">
        <f>19.6985 * CHOOSE(CONTROL!$C$23, $C$12, 100%, $E$12)</f>
        <v>19.698499999999999</v>
      </c>
      <c r="H1010" s="66">
        <f>36.7273* CHOOSE(CONTROL!$C$23, $C$12, 100%, $E$12)</f>
        <v>36.7273</v>
      </c>
      <c r="I1010" s="66">
        <f>36.7322 * CHOOSE(CONTROL!$C$23, $C$12, 100%, $E$12)</f>
        <v>36.732199999999999</v>
      </c>
      <c r="J1010" s="66">
        <f>36.7273 * CHOOSE(CONTROL!$C$23, $C$12, 100%, $E$12)</f>
        <v>36.7273</v>
      </c>
      <c r="K1010" s="66">
        <f>36.7322 * CHOOSE(CONTROL!$C$23, $C$12, 100%, $E$12)</f>
        <v>36.732199999999999</v>
      </c>
      <c r="L1010" s="66">
        <f>19.6935 * CHOOSE(CONTROL!$C$23, $C$12, 100%, $E$12)</f>
        <v>19.6935</v>
      </c>
      <c r="M1010" s="66">
        <f>19.6985 * CHOOSE(CONTROL!$C$23, $C$12, 100%, $E$12)</f>
        <v>19.698499999999999</v>
      </c>
      <c r="N1010" s="66">
        <f>19.6935 * CHOOSE(CONTROL!$C$23, $C$12, 100%, $E$12)</f>
        <v>19.6935</v>
      </c>
      <c r="O1010" s="66">
        <f>19.6985 * CHOOSE(CONTROL!$C$23, $C$12, 100%, $E$12)</f>
        <v>19.698499999999999</v>
      </c>
    </row>
    <row r="1011" spans="1:15" ht="15">
      <c r="A1011" s="13">
        <v>71925</v>
      </c>
      <c r="B1011" s="65">
        <f>17.4526 * CHOOSE(CONTROL!$C$23, $C$12, 100%, $E$12)</f>
        <v>17.4526</v>
      </c>
      <c r="C1011" s="65">
        <f>17.4526 * CHOOSE(CONTROL!$C$23, $C$12, 100%, $E$12)</f>
        <v>17.4526</v>
      </c>
      <c r="D1011" s="65">
        <f>17.4566 * CHOOSE(CONTROL!$C$23, $C$12, 100%, $E$12)</f>
        <v>17.456600000000002</v>
      </c>
      <c r="E1011" s="66">
        <f>19.509 * CHOOSE(CONTROL!$C$23, $C$12, 100%, $E$12)</f>
        <v>19.509</v>
      </c>
      <c r="F1011" s="66">
        <f>19.509 * CHOOSE(CONTROL!$C$23, $C$12, 100%, $E$12)</f>
        <v>19.509</v>
      </c>
      <c r="G1011" s="66">
        <f>19.5139 * CHOOSE(CONTROL!$C$23, $C$12, 100%, $E$12)</f>
        <v>19.5139</v>
      </c>
      <c r="H1011" s="66">
        <f>36.8038* CHOOSE(CONTROL!$C$23, $C$12, 100%, $E$12)</f>
        <v>36.803800000000003</v>
      </c>
      <c r="I1011" s="66">
        <f>36.8087 * CHOOSE(CONTROL!$C$23, $C$12, 100%, $E$12)</f>
        <v>36.808700000000002</v>
      </c>
      <c r="J1011" s="66">
        <f>36.8038 * CHOOSE(CONTROL!$C$23, $C$12, 100%, $E$12)</f>
        <v>36.803800000000003</v>
      </c>
      <c r="K1011" s="66">
        <f>36.8087 * CHOOSE(CONTROL!$C$23, $C$12, 100%, $E$12)</f>
        <v>36.808700000000002</v>
      </c>
      <c r="L1011" s="66">
        <f>19.509 * CHOOSE(CONTROL!$C$23, $C$12, 100%, $E$12)</f>
        <v>19.509</v>
      </c>
      <c r="M1011" s="66">
        <f>19.5139 * CHOOSE(CONTROL!$C$23, $C$12, 100%, $E$12)</f>
        <v>19.5139</v>
      </c>
      <c r="N1011" s="66">
        <f>19.509 * CHOOSE(CONTROL!$C$23, $C$12, 100%, $E$12)</f>
        <v>19.509</v>
      </c>
      <c r="O1011" s="66">
        <f>19.5139 * CHOOSE(CONTROL!$C$23, $C$12, 100%, $E$12)</f>
        <v>19.5139</v>
      </c>
    </row>
    <row r="1012" spans="1:15" ht="15">
      <c r="A1012" s="13">
        <v>71956</v>
      </c>
      <c r="B1012" s="65">
        <f>17.3767 * CHOOSE(CONTROL!$C$23, $C$12, 100%, $E$12)</f>
        <v>17.3767</v>
      </c>
      <c r="C1012" s="65">
        <f>17.3767 * CHOOSE(CONTROL!$C$23, $C$12, 100%, $E$12)</f>
        <v>17.3767</v>
      </c>
      <c r="D1012" s="65">
        <f>17.3807 * CHOOSE(CONTROL!$C$23, $C$12, 100%, $E$12)</f>
        <v>17.380700000000001</v>
      </c>
      <c r="E1012" s="66">
        <f>19.5791 * CHOOSE(CONTROL!$C$23, $C$12, 100%, $E$12)</f>
        <v>19.5791</v>
      </c>
      <c r="F1012" s="66">
        <f>19.5791 * CHOOSE(CONTROL!$C$23, $C$12, 100%, $E$12)</f>
        <v>19.5791</v>
      </c>
      <c r="G1012" s="66">
        <f>19.584 * CHOOSE(CONTROL!$C$23, $C$12, 100%, $E$12)</f>
        <v>19.584</v>
      </c>
      <c r="H1012" s="66">
        <f>36.4534* CHOOSE(CONTROL!$C$23, $C$12, 100%, $E$12)</f>
        <v>36.453400000000002</v>
      </c>
      <c r="I1012" s="66">
        <f>36.4583 * CHOOSE(CONTROL!$C$23, $C$12, 100%, $E$12)</f>
        <v>36.458300000000001</v>
      </c>
      <c r="J1012" s="66">
        <f>36.4534 * CHOOSE(CONTROL!$C$23, $C$12, 100%, $E$12)</f>
        <v>36.453400000000002</v>
      </c>
      <c r="K1012" s="66">
        <f>36.4583 * CHOOSE(CONTROL!$C$23, $C$12, 100%, $E$12)</f>
        <v>36.458300000000001</v>
      </c>
      <c r="L1012" s="66">
        <f>19.5791 * CHOOSE(CONTROL!$C$23, $C$12, 100%, $E$12)</f>
        <v>19.5791</v>
      </c>
      <c r="M1012" s="66">
        <f>19.584 * CHOOSE(CONTROL!$C$23, $C$12, 100%, $E$12)</f>
        <v>19.584</v>
      </c>
      <c r="N1012" s="66">
        <f>19.5791 * CHOOSE(CONTROL!$C$23, $C$12, 100%, $E$12)</f>
        <v>19.5791</v>
      </c>
      <c r="O1012" s="66">
        <f>19.584 * CHOOSE(CONTROL!$C$23, $C$12, 100%, $E$12)</f>
        <v>19.584</v>
      </c>
    </row>
    <row r="1013" spans="1:15" ht="15">
      <c r="A1013" s="13">
        <v>71987</v>
      </c>
      <c r="B1013" s="65">
        <f>17.3737 * CHOOSE(CONTROL!$C$23, $C$12, 100%, $E$12)</f>
        <v>17.373699999999999</v>
      </c>
      <c r="C1013" s="65">
        <f>17.3737 * CHOOSE(CONTROL!$C$23, $C$12, 100%, $E$12)</f>
        <v>17.373699999999999</v>
      </c>
      <c r="D1013" s="65">
        <f>17.3777 * CHOOSE(CONTROL!$C$23, $C$12, 100%, $E$12)</f>
        <v>17.377700000000001</v>
      </c>
      <c r="E1013" s="66">
        <f>19.2233 * CHOOSE(CONTROL!$C$23, $C$12, 100%, $E$12)</f>
        <v>19.223299999999998</v>
      </c>
      <c r="F1013" s="66">
        <f>19.2233 * CHOOSE(CONTROL!$C$23, $C$12, 100%, $E$12)</f>
        <v>19.223299999999998</v>
      </c>
      <c r="G1013" s="66">
        <f>19.2282 * CHOOSE(CONTROL!$C$23, $C$12, 100%, $E$12)</f>
        <v>19.228200000000001</v>
      </c>
      <c r="H1013" s="66">
        <f>36.5293* CHOOSE(CONTROL!$C$23, $C$12, 100%, $E$12)</f>
        <v>36.529299999999999</v>
      </c>
      <c r="I1013" s="66">
        <f>36.5343 * CHOOSE(CONTROL!$C$23, $C$12, 100%, $E$12)</f>
        <v>36.534300000000002</v>
      </c>
      <c r="J1013" s="66">
        <f>36.5293 * CHOOSE(CONTROL!$C$23, $C$12, 100%, $E$12)</f>
        <v>36.529299999999999</v>
      </c>
      <c r="K1013" s="66">
        <f>36.5343 * CHOOSE(CONTROL!$C$23, $C$12, 100%, $E$12)</f>
        <v>36.534300000000002</v>
      </c>
      <c r="L1013" s="66">
        <f>19.2233 * CHOOSE(CONTROL!$C$23, $C$12, 100%, $E$12)</f>
        <v>19.223299999999998</v>
      </c>
      <c r="M1013" s="66">
        <f>19.2282 * CHOOSE(CONTROL!$C$23, $C$12, 100%, $E$12)</f>
        <v>19.228200000000001</v>
      </c>
      <c r="N1013" s="66">
        <f>19.2233 * CHOOSE(CONTROL!$C$23, $C$12, 100%, $E$12)</f>
        <v>19.223299999999998</v>
      </c>
      <c r="O1013" s="66">
        <f>19.2282 * CHOOSE(CONTROL!$C$23, $C$12, 100%, $E$12)</f>
        <v>19.228200000000001</v>
      </c>
    </row>
    <row r="1014" spans="1:15" ht="15">
      <c r="A1014" s="13">
        <v>72015</v>
      </c>
      <c r="B1014" s="65">
        <f>17.3706 * CHOOSE(CONTROL!$C$23, $C$12, 100%, $E$12)</f>
        <v>17.3706</v>
      </c>
      <c r="C1014" s="65">
        <f>17.3706 * CHOOSE(CONTROL!$C$23, $C$12, 100%, $E$12)</f>
        <v>17.3706</v>
      </c>
      <c r="D1014" s="65">
        <f>17.3746 * CHOOSE(CONTROL!$C$23, $C$12, 100%, $E$12)</f>
        <v>17.374600000000001</v>
      </c>
      <c r="E1014" s="66">
        <f>19.5 * CHOOSE(CONTROL!$C$23, $C$12, 100%, $E$12)</f>
        <v>19.5</v>
      </c>
      <c r="F1014" s="66">
        <f>19.5 * CHOOSE(CONTROL!$C$23, $C$12, 100%, $E$12)</f>
        <v>19.5</v>
      </c>
      <c r="G1014" s="66">
        <f>19.5049 * CHOOSE(CONTROL!$C$23, $C$12, 100%, $E$12)</f>
        <v>19.504899999999999</v>
      </c>
      <c r="H1014" s="66">
        <f>36.6054* CHOOSE(CONTROL!$C$23, $C$12, 100%, $E$12)</f>
        <v>36.605400000000003</v>
      </c>
      <c r="I1014" s="66">
        <f>36.6104 * CHOOSE(CONTROL!$C$23, $C$12, 100%, $E$12)</f>
        <v>36.610399999999998</v>
      </c>
      <c r="J1014" s="66">
        <f>36.6054 * CHOOSE(CONTROL!$C$23, $C$12, 100%, $E$12)</f>
        <v>36.605400000000003</v>
      </c>
      <c r="K1014" s="66">
        <f>36.6104 * CHOOSE(CONTROL!$C$23, $C$12, 100%, $E$12)</f>
        <v>36.610399999999998</v>
      </c>
      <c r="L1014" s="66">
        <f>19.5 * CHOOSE(CONTROL!$C$23, $C$12, 100%, $E$12)</f>
        <v>19.5</v>
      </c>
      <c r="M1014" s="66">
        <f>19.5049 * CHOOSE(CONTROL!$C$23, $C$12, 100%, $E$12)</f>
        <v>19.504899999999999</v>
      </c>
      <c r="N1014" s="66">
        <f>19.5 * CHOOSE(CONTROL!$C$23, $C$12, 100%, $E$12)</f>
        <v>19.5</v>
      </c>
      <c r="O1014" s="66">
        <f>19.5049 * CHOOSE(CONTROL!$C$23, $C$12, 100%, $E$12)</f>
        <v>19.504899999999999</v>
      </c>
    </row>
    <row r="1015" spans="1:15" ht="15">
      <c r="A1015" s="13">
        <v>72046</v>
      </c>
      <c r="B1015" s="65">
        <f>17.3795 * CHOOSE(CONTROL!$C$23, $C$12, 100%, $E$12)</f>
        <v>17.3795</v>
      </c>
      <c r="C1015" s="65">
        <f>17.3795 * CHOOSE(CONTROL!$C$23, $C$12, 100%, $E$12)</f>
        <v>17.3795</v>
      </c>
      <c r="D1015" s="65">
        <f>17.3835 * CHOOSE(CONTROL!$C$23, $C$12, 100%, $E$12)</f>
        <v>17.383500000000002</v>
      </c>
      <c r="E1015" s="66">
        <f>19.7952 * CHOOSE(CONTROL!$C$23, $C$12, 100%, $E$12)</f>
        <v>19.795200000000001</v>
      </c>
      <c r="F1015" s="66">
        <f>19.7952 * CHOOSE(CONTROL!$C$23, $C$12, 100%, $E$12)</f>
        <v>19.795200000000001</v>
      </c>
      <c r="G1015" s="66">
        <f>19.8002 * CHOOSE(CONTROL!$C$23, $C$12, 100%, $E$12)</f>
        <v>19.8002</v>
      </c>
      <c r="H1015" s="66">
        <f>36.6817* CHOOSE(CONTROL!$C$23, $C$12, 100%, $E$12)</f>
        <v>36.681699999999999</v>
      </c>
      <c r="I1015" s="66">
        <f>36.6866 * CHOOSE(CONTROL!$C$23, $C$12, 100%, $E$12)</f>
        <v>36.686599999999999</v>
      </c>
      <c r="J1015" s="66">
        <f>36.6817 * CHOOSE(CONTROL!$C$23, $C$12, 100%, $E$12)</f>
        <v>36.681699999999999</v>
      </c>
      <c r="K1015" s="66">
        <f>36.6866 * CHOOSE(CONTROL!$C$23, $C$12, 100%, $E$12)</f>
        <v>36.686599999999999</v>
      </c>
      <c r="L1015" s="66">
        <f>19.7952 * CHOOSE(CONTROL!$C$23, $C$12, 100%, $E$12)</f>
        <v>19.795200000000001</v>
      </c>
      <c r="M1015" s="66">
        <f>19.8002 * CHOOSE(CONTROL!$C$23, $C$12, 100%, $E$12)</f>
        <v>19.8002</v>
      </c>
      <c r="N1015" s="66">
        <f>19.7952 * CHOOSE(CONTROL!$C$23, $C$12, 100%, $E$12)</f>
        <v>19.795200000000001</v>
      </c>
      <c r="O1015" s="66">
        <f>19.8002 * CHOOSE(CONTROL!$C$23, $C$12, 100%, $E$12)</f>
        <v>19.8002</v>
      </c>
    </row>
    <row r="1016" spans="1:15" ht="15">
      <c r="A1016" s="13">
        <v>72076</v>
      </c>
      <c r="B1016" s="65">
        <f>17.3795 * CHOOSE(CONTROL!$C$23, $C$12, 100%, $E$12)</f>
        <v>17.3795</v>
      </c>
      <c r="C1016" s="65">
        <f>17.3795 * CHOOSE(CONTROL!$C$23, $C$12, 100%, $E$12)</f>
        <v>17.3795</v>
      </c>
      <c r="D1016" s="65">
        <f>17.3851 * CHOOSE(CONTROL!$C$23, $C$12, 100%, $E$12)</f>
        <v>17.385100000000001</v>
      </c>
      <c r="E1016" s="66">
        <f>19.9075 * CHOOSE(CONTROL!$C$23, $C$12, 100%, $E$12)</f>
        <v>19.907499999999999</v>
      </c>
      <c r="F1016" s="66">
        <f>19.9075 * CHOOSE(CONTROL!$C$23, $C$12, 100%, $E$12)</f>
        <v>19.907499999999999</v>
      </c>
      <c r="G1016" s="66">
        <f>19.9144 * CHOOSE(CONTROL!$C$23, $C$12, 100%, $E$12)</f>
        <v>19.914400000000001</v>
      </c>
      <c r="H1016" s="66">
        <f>36.7581* CHOOSE(CONTROL!$C$23, $C$12, 100%, $E$12)</f>
        <v>36.758099999999999</v>
      </c>
      <c r="I1016" s="66">
        <f>36.765 * CHOOSE(CONTROL!$C$23, $C$12, 100%, $E$12)</f>
        <v>36.765000000000001</v>
      </c>
      <c r="J1016" s="66">
        <f>36.7581 * CHOOSE(CONTROL!$C$23, $C$12, 100%, $E$12)</f>
        <v>36.758099999999999</v>
      </c>
      <c r="K1016" s="66">
        <f>36.765 * CHOOSE(CONTROL!$C$23, $C$12, 100%, $E$12)</f>
        <v>36.765000000000001</v>
      </c>
      <c r="L1016" s="66">
        <f>19.9075 * CHOOSE(CONTROL!$C$23, $C$12, 100%, $E$12)</f>
        <v>19.907499999999999</v>
      </c>
      <c r="M1016" s="66">
        <f>19.9144 * CHOOSE(CONTROL!$C$23, $C$12, 100%, $E$12)</f>
        <v>19.914400000000001</v>
      </c>
      <c r="N1016" s="66">
        <f>19.9075 * CHOOSE(CONTROL!$C$23, $C$12, 100%, $E$12)</f>
        <v>19.907499999999999</v>
      </c>
      <c r="O1016" s="66">
        <f>19.9144 * CHOOSE(CONTROL!$C$23, $C$12, 100%, $E$12)</f>
        <v>19.914400000000001</v>
      </c>
    </row>
    <row r="1017" spans="1:15" ht="15">
      <c r="A1017" s="13">
        <v>72107</v>
      </c>
      <c r="B1017" s="65">
        <f>17.3855 * CHOOSE(CONTROL!$C$23, $C$12, 100%, $E$12)</f>
        <v>17.3855</v>
      </c>
      <c r="C1017" s="65">
        <f>17.3855 * CHOOSE(CONTROL!$C$23, $C$12, 100%, $E$12)</f>
        <v>17.3855</v>
      </c>
      <c r="D1017" s="65">
        <f>17.3912 * CHOOSE(CONTROL!$C$23, $C$12, 100%, $E$12)</f>
        <v>17.391200000000001</v>
      </c>
      <c r="E1017" s="66">
        <f>19.7995 * CHOOSE(CONTROL!$C$23, $C$12, 100%, $E$12)</f>
        <v>19.799499999999998</v>
      </c>
      <c r="F1017" s="66">
        <f>19.7995 * CHOOSE(CONTROL!$C$23, $C$12, 100%, $E$12)</f>
        <v>19.799499999999998</v>
      </c>
      <c r="G1017" s="66">
        <f>19.8064 * CHOOSE(CONTROL!$C$23, $C$12, 100%, $E$12)</f>
        <v>19.8064</v>
      </c>
      <c r="H1017" s="66">
        <f>36.8347* CHOOSE(CONTROL!$C$23, $C$12, 100%, $E$12)</f>
        <v>36.834699999999998</v>
      </c>
      <c r="I1017" s="66">
        <f>36.8416 * CHOOSE(CONTROL!$C$23, $C$12, 100%, $E$12)</f>
        <v>36.8416</v>
      </c>
      <c r="J1017" s="66">
        <f>36.8347 * CHOOSE(CONTROL!$C$23, $C$12, 100%, $E$12)</f>
        <v>36.834699999999998</v>
      </c>
      <c r="K1017" s="66">
        <f>36.8416 * CHOOSE(CONTROL!$C$23, $C$12, 100%, $E$12)</f>
        <v>36.8416</v>
      </c>
      <c r="L1017" s="66">
        <f>19.7995 * CHOOSE(CONTROL!$C$23, $C$12, 100%, $E$12)</f>
        <v>19.799499999999998</v>
      </c>
      <c r="M1017" s="66">
        <f>19.8064 * CHOOSE(CONTROL!$C$23, $C$12, 100%, $E$12)</f>
        <v>19.8064</v>
      </c>
      <c r="N1017" s="66">
        <f>19.7995 * CHOOSE(CONTROL!$C$23, $C$12, 100%, $E$12)</f>
        <v>19.799499999999998</v>
      </c>
      <c r="O1017" s="66">
        <f>19.8064 * CHOOSE(CONTROL!$C$23, $C$12, 100%, $E$12)</f>
        <v>19.8064</v>
      </c>
    </row>
    <row r="1018" spans="1:15" ht="15">
      <c r="A1018" s="13">
        <v>72137</v>
      </c>
      <c r="B1018" s="65">
        <f>17.6469 * CHOOSE(CONTROL!$C$23, $C$12, 100%, $E$12)</f>
        <v>17.646899999999999</v>
      </c>
      <c r="C1018" s="65">
        <f>17.6469 * CHOOSE(CONTROL!$C$23, $C$12, 100%, $E$12)</f>
        <v>17.646899999999999</v>
      </c>
      <c r="D1018" s="65">
        <f>17.6526 * CHOOSE(CONTROL!$C$23, $C$12, 100%, $E$12)</f>
        <v>17.6526</v>
      </c>
      <c r="E1018" s="66">
        <f>20.1117 * CHOOSE(CONTROL!$C$23, $C$12, 100%, $E$12)</f>
        <v>20.111699999999999</v>
      </c>
      <c r="F1018" s="66">
        <f>20.1117 * CHOOSE(CONTROL!$C$23, $C$12, 100%, $E$12)</f>
        <v>20.111699999999999</v>
      </c>
      <c r="G1018" s="66">
        <f>20.1186 * CHOOSE(CONTROL!$C$23, $C$12, 100%, $E$12)</f>
        <v>20.118600000000001</v>
      </c>
      <c r="H1018" s="66">
        <f>36.9114* CHOOSE(CONTROL!$C$23, $C$12, 100%, $E$12)</f>
        <v>36.9114</v>
      </c>
      <c r="I1018" s="66">
        <f>36.9183 * CHOOSE(CONTROL!$C$23, $C$12, 100%, $E$12)</f>
        <v>36.918300000000002</v>
      </c>
      <c r="J1018" s="66">
        <f>36.9114 * CHOOSE(CONTROL!$C$23, $C$12, 100%, $E$12)</f>
        <v>36.9114</v>
      </c>
      <c r="K1018" s="66">
        <f>36.9183 * CHOOSE(CONTROL!$C$23, $C$12, 100%, $E$12)</f>
        <v>36.918300000000002</v>
      </c>
      <c r="L1018" s="66">
        <f>20.1117 * CHOOSE(CONTROL!$C$23, $C$12, 100%, $E$12)</f>
        <v>20.111699999999999</v>
      </c>
      <c r="M1018" s="66">
        <f>20.1186 * CHOOSE(CONTROL!$C$23, $C$12, 100%, $E$12)</f>
        <v>20.118600000000001</v>
      </c>
      <c r="N1018" s="66">
        <f>20.1117 * CHOOSE(CONTROL!$C$23, $C$12, 100%, $E$12)</f>
        <v>20.111699999999999</v>
      </c>
      <c r="O1018" s="66">
        <f>20.1186 * CHOOSE(CONTROL!$C$23, $C$12, 100%, $E$12)</f>
        <v>20.118600000000001</v>
      </c>
    </row>
    <row r="1019" spans="1:15" ht="15">
      <c r="A1019" s="13">
        <v>72168</v>
      </c>
      <c r="B1019" s="65">
        <f>17.6536 * CHOOSE(CONTROL!$C$23, $C$12, 100%, $E$12)</f>
        <v>17.653600000000001</v>
      </c>
      <c r="C1019" s="65">
        <f>17.6536 * CHOOSE(CONTROL!$C$23, $C$12, 100%, $E$12)</f>
        <v>17.653600000000001</v>
      </c>
      <c r="D1019" s="65">
        <f>17.6593 * CHOOSE(CONTROL!$C$23, $C$12, 100%, $E$12)</f>
        <v>17.659300000000002</v>
      </c>
      <c r="E1019" s="66">
        <f>19.7795 * CHOOSE(CONTROL!$C$23, $C$12, 100%, $E$12)</f>
        <v>19.779499999999999</v>
      </c>
      <c r="F1019" s="66">
        <f>19.7795 * CHOOSE(CONTROL!$C$23, $C$12, 100%, $E$12)</f>
        <v>19.779499999999999</v>
      </c>
      <c r="G1019" s="66">
        <f>19.7864 * CHOOSE(CONTROL!$C$23, $C$12, 100%, $E$12)</f>
        <v>19.7864</v>
      </c>
      <c r="H1019" s="66">
        <f>36.9883* CHOOSE(CONTROL!$C$23, $C$12, 100%, $E$12)</f>
        <v>36.988300000000002</v>
      </c>
      <c r="I1019" s="66">
        <f>36.9952 * CHOOSE(CONTROL!$C$23, $C$12, 100%, $E$12)</f>
        <v>36.995199999999997</v>
      </c>
      <c r="J1019" s="66">
        <f>36.9883 * CHOOSE(CONTROL!$C$23, $C$12, 100%, $E$12)</f>
        <v>36.988300000000002</v>
      </c>
      <c r="K1019" s="66">
        <f>36.9952 * CHOOSE(CONTROL!$C$23, $C$12, 100%, $E$12)</f>
        <v>36.995199999999997</v>
      </c>
      <c r="L1019" s="66">
        <f>19.7795 * CHOOSE(CONTROL!$C$23, $C$12, 100%, $E$12)</f>
        <v>19.779499999999999</v>
      </c>
      <c r="M1019" s="66">
        <f>19.7864 * CHOOSE(CONTROL!$C$23, $C$12, 100%, $E$12)</f>
        <v>19.7864</v>
      </c>
      <c r="N1019" s="66">
        <f>19.7795 * CHOOSE(CONTROL!$C$23, $C$12, 100%, $E$12)</f>
        <v>19.779499999999999</v>
      </c>
      <c r="O1019" s="66">
        <f>19.7864 * CHOOSE(CONTROL!$C$23, $C$12, 100%, $E$12)</f>
        <v>19.7864</v>
      </c>
    </row>
    <row r="1020" spans="1:15" ht="15">
      <c r="A1020" s="13">
        <v>72199</v>
      </c>
      <c r="B1020" s="65">
        <f>17.6506 * CHOOSE(CONTROL!$C$23, $C$12, 100%, $E$12)</f>
        <v>17.650600000000001</v>
      </c>
      <c r="C1020" s="65">
        <f>17.6506 * CHOOSE(CONTROL!$C$23, $C$12, 100%, $E$12)</f>
        <v>17.650600000000001</v>
      </c>
      <c r="D1020" s="65">
        <f>17.6562 * CHOOSE(CONTROL!$C$23, $C$12, 100%, $E$12)</f>
        <v>17.656199999999998</v>
      </c>
      <c r="E1020" s="66">
        <f>19.7399 * CHOOSE(CONTROL!$C$23, $C$12, 100%, $E$12)</f>
        <v>19.739899999999999</v>
      </c>
      <c r="F1020" s="66">
        <f>19.7399 * CHOOSE(CONTROL!$C$23, $C$12, 100%, $E$12)</f>
        <v>19.739899999999999</v>
      </c>
      <c r="G1020" s="66">
        <f>19.7468 * CHOOSE(CONTROL!$C$23, $C$12, 100%, $E$12)</f>
        <v>19.7468</v>
      </c>
      <c r="H1020" s="66">
        <f>37.0654* CHOOSE(CONTROL!$C$23, $C$12, 100%, $E$12)</f>
        <v>37.065399999999997</v>
      </c>
      <c r="I1020" s="66">
        <f>37.0723 * CHOOSE(CONTROL!$C$23, $C$12, 100%, $E$12)</f>
        <v>37.072299999999998</v>
      </c>
      <c r="J1020" s="66">
        <f>37.0654 * CHOOSE(CONTROL!$C$23, $C$12, 100%, $E$12)</f>
        <v>37.065399999999997</v>
      </c>
      <c r="K1020" s="66">
        <f>37.0723 * CHOOSE(CONTROL!$C$23, $C$12, 100%, $E$12)</f>
        <v>37.072299999999998</v>
      </c>
      <c r="L1020" s="66">
        <f>19.7399 * CHOOSE(CONTROL!$C$23, $C$12, 100%, $E$12)</f>
        <v>19.739899999999999</v>
      </c>
      <c r="M1020" s="66">
        <f>19.7468 * CHOOSE(CONTROL!$C$23, $C$12, 100%, $E$12)</f>
        <v>19.7468</v>
      </c>
      <c r="N1020" s="66">
        <f>19.7399 * CHOOSE(CONTROL!$C$23, $C$12, 100%, $E$12)</f>
        <v>19.739899999999999</v>
      </c>
      <c r="O1020" s="66">
        <f>19.7468 * CHOOSE(CONTROL!$C$23, $C$12, 100%, $E$12)</f>
        <v>19.7468</v>
      </c>
    </row>
    <row r="1021" spans="1:15" ht="15">
      <c r="A1021" s="13">
        <v>72229</v>
      </c>
      <c r="B1021" s="65">
        <f>17.6895 * CHOOSE(CONTROL!$C$23, $C$12, 100%, $E$12)</f>
        <v>17.689499999999999</v>
      </c>
      <c r="C1021" s="65">
        <f>17.6895 * CHOOSE(CONTROL!$C$23, $C$12, 100%, $E$12)</f>
        <v>17.689499999999999</v>
      </c>
      <c r="D1021" s="65">
        <f>17.6935 * CHOOSE(CONTROL!$C$23, $C$12, 100%, $E$12)</f>
        <v>17.6935</v>
      </c>
      <c r="E1021" s="66">
        <f>19.8762 * CHOOSE(CONTROL!$C$23, $C$12, 100%, $E$12)</f>
        <v>19.876200000000001</v>
      </c>
      <c r="F1021" s="66">
        <f>19.8762 * CHOOSE(CONTROL!$C$23, $C$12, 100%, $E$12)</f>
        <v>19.876200000000001</v>
      </c>
      <c r="G1021" s="66">
        <f>19.8812 * CHOOSE(CONTROL!$C$23, $C$12, 100%, $E$12)</f>
        <v>19.8812</v>
      </c>
      <c r="H1021" s="66">
        <f>37.1426* CHOOSE(CONTROL!$C$23, $C$12, 100%, $E$12)</f>
        <v>37.142600000000002</v>
      </c>
      <c r="I1021" s="66">
        <f>37.1475 * CHOOSE(CONTROL!$C$23, $C$12, 100%, $E$12)</f>
        <v>37.147500000000001</v>
      </c>
      <c r="J1021" s="66">
        <f>37.1426 * CHOOSE(CONTROL!$C$23, $C$12, 100%, $E$12)</f>
        <v>37.142600000000002</v>
      </c>
      <c r="K1021" s="66">
        <f>37.1475 * CHOOSE(CONTROL!$C$23, $C$12, 100%, $E$12)</f>
        <v>37.147500000000001</v>
      </c>
      <c r="L1021" s="66">
        <f>19.8762 * CHOOSE(CONTROL!$C$23, $C$12, 100%, $E$12)</f>
        <v>19.876200000000001</v>
      </c>
      <c r="M1021" s="66">
        <f>19.8812 * CHOOSE(CONTROL!$C$23, $C$12, 100%, $E$12)</f>
        <v>19.8812</v>
      </c>
      <c r="N1021" s="66">
        <f>19.8762 * CHOOSE(CONTROL!$C$23, $C$12, 100%, $E$12)</f>
        <v>19.876200000000001</v>
      </c>
      <c r="O1021" s="66">
        <f>19.8812 * CHOOSE(CONTROL!$C$23, $C$12, 100%, $E$12)</f>
        <v>19.8812</v>
      </c>
    </row>
    <row r="1022" spans="1:15" ht="15">
      <c r="A1022" s="13">
        <v>72260</v>
      </c>
      <c r="B1022" s="65">
        <f>17.6925 * CHOOSE(CONTROL!$C$23, $C$12, 100%, $E$12)</f>
        <v>17.692499999999999</v>
      </c>
      <c r="C1022" s="65">
        <f>17.6925 * CHOOSE(CONTROL!$C$23, $C$12, 100%, $E$12)</f>
        <v>17.692499999999999</v>
      </c>
      <c r="D1022" s="65">
        <f>17.6965 * CHOOSE(CONTROL!$C$23, $C$12, 100%, $E$12)</f>
        <v>17.6965</v>
      </c>
      <c r="E1022" s="66">
        <f>19.9532 * CHOOSE(CONTROL!$C$23, $C$12, 100%, $E$12)</f>
        <v>19.953199999999999</v>
      </c>
      <c r="F1022" s="66">
        <f>19.9532 * CHOOSE(CONTROL!$C$23, $C$12, 100%, $E$12)</f>
        <v>19.953199999999999</v>
      </c>
      <c r="G1022" s="66">
        <f>19.9581 * CHOOSE(CONTROL!$C$23, $C$12, 100%, $E$12)</f>
        <v>19.958100000000002</v>
      </c>
      <c r="H1022" s="66">
        <f>37.22* CHOOSE(CONTROL!$C$23, $C$12, 100%, $E$12)</f>
        <v>37.22</v>
      </c>
      <c r="I1022" s="66">
        <f>37.2249 * CHOOSE(CONTROL!$C$23, $C$12, 100%, $E$12)</f>
        <v>37.224899999999998</v>
      </c>
      <c r="J1022" s="66">
        <f>37.22 * CHOOSE(CONTROL!$C$23, $C$12, 100%, $E$12)</f>
        <v>37.22</v>
      </c>
      <c r="K1022" s="66">
        <f>37.2249 * CHOOSE(CONTROL!$C$23, $C$12, 100%, $E$12)</f>
        <v>37.224899999999998</v>
      </c>
      <c r="L1022" s="66">
        <f>19.9532 * CHOOSE(CONTROL!$C$23, $C$12, 100%, $E$12)</f>
        <v>19.953199999999999</v>
      </c>
      <c r="M1022" s="66">
        <f>19.9581 * CHOOSE(CONTROL!$C$23, $C$12, 100%, $E$12)</f>
        <v>19.958100000000002</v>
      </c>
      <c r="N1022" s="66">
        <f>19.9532 * CHOOSE(CONTROL!$C$23, $C$12, 100%, $E$12)</f>
        <v>19.953199999999999</v>
      </c>
      <c r="O1022" s="66">
        <f>19.9581 * CHOOSE(CONTROL!$C$23, $C$12, 100%, $E$12)</f>
        <v>19.958100000000002</v>
      </c>
    </row>
    <row r="1023" spans="1:15" ht="15">
      <c r="A1023" s="13">
        <v>72290</v>
      </c>
      <c r="B1023" s="65">
        <f>17.6925 * CHOOSE(CONTROL!$C$23, $C$12, 100%, $E$12)</f>
        <v>17.692499999999999</v>
      </c>
      <c r="C1023" s="65">
        <f>17.6925 * CHOOSE(CONTROL!$C$23, $C$12, 100%, $E$12)</f>
        <v>17.692499999999999</v>
      </c>
      <c r="D1023" s="65">
        <f>17.6965 * CHOOSE(CONTROL!$C$23, $C$12, 100%, $E$12)</f>
        <v>17.6965</v>
      </c>
      <c r="E1023" s="66">
        <f>19.766 * CHOOSE(CONTROL!$C$23, $C$12, 100%, $E$12)</f>
        <v>19.765999999999998</v>
      </c>
      <c r="F1023" s="66">
        <f>19.766 * CHOOSE(CONTROL!$C$23, $C$12, 100%, $E$12)</f>
        <v>19.765999999999998</v>
      </c>
      <c r="G1023" s="66">
        <f>19.771 * CHOOSE(CONTROL!$C$23, $C$12, 100%, $E$12)</f>
        <v>19.771000000000001</v>
      </c>
      <c r="H1023" s="66">
        <f>37.2975* CHOOSE(CONTROL!$C$23, $C$12, 100%, $E$12)</f>
        <v>37.297499999999999</v>
      </c>
      <c r="I1023" s="66">
        <f>37.3025 * CHOOSE(CONTROL!$C$23, $C$12, 100%, $E$12)</f>
        <v>37.302500000000002</v>
      </c>
      <c r="J1023" s="66">
        <f>37.2975 * CHOOSE(CONTROL!$C$23, $C$12, 100%, $E$12)</f>
        <v>37.297499999999999</v>
      </c>
      <c r="K1023" s="66">
        <f>37.3025 * CHOOSE(CONTROL!$C$23, $C$12, 100%, $E$12)</f>
        <v>37.302500000000002</v>
      </c>
      <c r="L1023" s="66">
        <f>19.766 * CHOOSE(CONTROL!$C$23, $C$12, 100%, $E$12)</f>
        <v>19.765999999999998</v>
      </c>
      <c r="M1023" s="66">
        <f>19.771 * CHOOSE(CONTROL!$C$23, $C$12, 100%, $E$12)</f>
        <v>19.771000000000001</v>
      </c>
      <c r="N1023" s="66">
        <f>19.766 * CHOOSE(CONTROL!$C$23, $C$12, 100%, $E$12)</f>
        <v>19.765999999999998</v>
      </c>
      <c r="O1023" s="66">
        <f>19.771 * CHOOSE(CONTROL!$C$23, $C$12, 100%, $E$12)</f>
        <v>19.771000000000001</v>
      </c>
    </row>
    <row r="1024" spans="1:15" ht="15">
      <c r="A1024" s="13">
        <v>72321</v>
      </c>
      <c r="B1024" s="65">
        <f>17.6123 * CHOOSE(CONTROL!$C$23, $C$12, 100%, $E$12)</f>
        <v>17.612300000000001</v>
      </c>
      <c r="C1024" s="65">
        <f>17.6123 * CHOOSE(CONTROL!$C$23, $C$12, 100%, $E$12)</f>
        <v>17.612300000000001</v>
      </c>
      <c r="D1024" s="65">
        <f>17.6163 * CHOOSE(CONTROL!$C$23, $C$12, 100%, $E$12)</f>
        <v>17.616299999999999</v>
      </c>
      <c r="E1024" s="66">
        <f>19.8338 * CHOOSE(CONTROL!$C$23, $C$12, 100%, $E$12)</f>
        <v>19.8338</v>
      </c>
      <c r="F1024" s="66">
        <f>19.8338 * CHOOSE(CONTROL!$C$23, $C$12, 100%, $E$12)</f>
        <v>19.8338</v>
      </c>
      <c r="G1024" s="66">
        <f>19.8387 * CHOOSE(CONTROL!$C$23, $C$12, 100%, $E$12)</f>
        <v>19.838699999999999</v>
      </c>
      <c r="H1024" s="66">
        <f>36.9359* CHOOSE(CONTROL!$C$23, $C$12, 100%, $E$12)</f>
        <v>36.935899999999997</v>
      </c>
      <c r="I1024" s="66">
        <f>36.9409 * CHOOSE(CONTROL!$C$23, $C$12, 100%, $E$12)</f>
        <v>36.940899999999999</v>
      </c>
      <c r="J1024" s="66">
        <f>36.9359 * CHOOSE(CONTROL!$C$23, $C$12, 100%, $E$12)</f>
        <v>36.935899999999997</v>
      </c>
      <c r="K1024" s="66">
        <f>36.9409 * CHOOSE(CONTROL!$C$23, $C$12, 100%, $E$12)</f>
        <v>36.940899999999999</v>
      </c>
      <c r="L1024" s="66">
        <f>19.8338 * CHOOSE(CONTROL!$C$23, $C$12, 100%, $E$12)</f>
        <v>19.8338</v>
      </c>
      <c r="M1024" s="66">
        <f>19.8387 * CHOOSE(CONTROL!$C$23, $C$12, 100%, $E$12)</f>
        <v>19.838699999999999</v>
      </c>
      <c r="N1024" s="66">
        <f>19.8338 * CHOOSE(CONTROL!$C$23, $C$12, 100%, $E$12)</f>
        <v>19.8338</v>
      </c>
      <c r="O1024" s="66">
        <f>19.8387 * CHOOSE(CONTROL!$C$23, $C$12, 100%, $E$12)</f>
        <v>19.838699999999999</v>
      </c>
    </row>
    <row r="1025" spans="1:15" ht="15">
      <c r="A1025" s="13">
        <v>72352</v>
      </c>
      <c r="B1025" s="65">
        <f>17.6093 * CHOOSE(CONTROL!$C$23, $C$12, 100%, $E$12)</f>
        <v>17.609300000000001</v>
      </c>
      <c r="C1025" s="65">
        <f>17.6093 * CHOOSE(CONTROL!$C$23, $C$12, 100%, $E$12)</f>
        <v>17.609300000000001</v>
      </c>
      <c r="D1025" s="65">
        <f>17.6133 * CHOOSE(CONTROL!$C$23, $C$12, 100%, $E$12)</f>
        <v>17.613299999999999</v>
      </c>
      <c r="E1025" s="66">
        <f>19.473 * CHOOSE(CONTROL!$C$23, $C$12, 100%, $E$12)</f>
        <v>19.472999999999999</v>
      </c>
      <c r="F1025" s="66">
        <f>19.473 * CHOOSE(CONTROL!$C$23, $C$12, 100%, $E$12)</f>
        <v>19.472999999999999</v>
      </c>
      <c r="G1025" s="66">
        <f>19.478 * CHOOSE(CONTROL!$C$23, $C$12, 100%, $E$12)</f>
        <v>19.478000000000002</v>
      </c>
      <c r="H1025" s="66">
        <f>37.0129* CHOOSE(CONTROL!$C$23, $C$12, 100%, $E$12)</f>
        <v>37.012900000000002</v>
      </c>
      <c r="I1025" s="66">
        <f>37.0178 * CHOOSE(CONTROL!$C$23, $C$12, 100%, $E$12)</f>
        <v>37.017800000000001</v>
      </c>
      <c r="J1025" s="66">
        <f>37.0129 * CHOOSE(CONTROL!$C$23, $C$12, 100%, $E$12)</f>
        <v>37.012900000000002</v>
      </c>
      <c r="K1025" s="66">
        <f>37.0178 * CHOOSE(CONTROL!$C$23, $C$12, 100%, $E$12)</f>
        <v>37.017800000000001</v>
      </c>
      <c r="L1025" s="66">
        <f>19.473 * CHOOSE(CONTROL!$C$23, $C$12, 100%, $E$12)</f>
        <v>19.472999999999999</v>
      </c>
      <c r="M1025" s="66">
        <f>19.478 * CHOOSE(CONTROL!$C$23, $C$12, 100%, $E$12)</f>
        <v>19.478000000000002</v>
      </c>
      <c r="N1025" s="66">
        <f>19.473 * CHOOSE(CONTROL!$C$23, $C$12, 100%, $E$12)</f>
        <v>19.472999999999999</v>
      </c>
      <c r="O1025" s="66">
        <f>19.478 * CHOOSE(CONTROL!$C$23, $C$12, 100%, $E$12)</f>
        <v>19.478000000000002</v>
      </c>
    </row>
    <row r="1026" spans="1:15" ht="15">
      <c r="A1026" s="13">
        <v>72380</v>
      </c>
      <c r="B1026" s="65">
        <f>17.6062 * CHOOSE(CONTROL!$C$23, $C$12, 100%, $E$12)</f>
        <v>17.606200000000001</v>
      </c>
      <c r="C1026" s="65">
        <f>17.6062 * CHOOSE(CONTROL!$C$23, $C$12, 100%, $E$12)</f>
        <v>17.606200000000001</v>
      </c>
      <c r="D1026" s="65">
        <f>17.6102 * CHOOSE(CONTROL!$C$23, $C$12, 100%, $E$12)</f>
        <v>17.610199999999999</v>
      </c>
      <c r="E1026" s="66">
        <f>19.7537 * CHOOSE(CONTROL!$C$23, $C$12, 100%, $E$12)</f>
        <v>19.753699999999998</v>
      </c>
      <c r="F1026" s="66">
        <f>19.7537 * CHOOSE(CONTROL!$C$23, $C$12, 100%, $E$12)</f>
        <v>19.753699999999998</v>
      </c>
      <c r="G1026" s="66">
        <f>19.7586 * CHOOSE(CONTROL!$C$23, $C$12, 100%, $E$12)</f>
        <v>19.758600000000001</v>
      </c>
      <c r="H1026" s="66">
        <f>37.09* CHOOSE(CONTROL!$C$23, $C$12, 100%, $E$12)</f>
        <v>37.090000000000003</v>
      </c>
      <c r="I1026" s="66">
        <f>37.0949 * CHOOSE(CONTROL!$C$23, $C$12, 100%, $E$12)</f>
        <v>37.094900000000003</v>
      </c>
      <c r="J1026" s="66">
        <f>37.09 * CHOOSE(CONTROL!$C$23, $C$12, 100%, $E$12)</f>
        <v>37.090000000000003</v>
      </c>
      <c r="K1026" s="66">
        <f>37.0949 * CHOOSE(CONTROL!$C$23, $C$12, 100%, $E$12)</f>
        <v>37.094900000000003</v>
      </c>
      <c r="L1026" s="66">
        <f>19.7537 * CHOOSE(CONTROL!$C$23, $C$12, 100%, $E$12)</f>
        <v>19.753699999999998</v>
      </c>
      <c r="M1026" s="66">
        <f>19.7586 * CHOOSE(CONTROL!$C$23, $C$12, 100%, $E$12)</f>
        <v>19.758600000000001</v>
      </c>
      <c r="N1026" s="66">
        <f>19.7537 * CHOOSE(CONTROL!$C$23, $C$12, 100%, $E$12)</f>
        <v>19.753699999999998</v>
      </c>
      <c r="O1026" s="66">
        <f>19.7586 * CHOOSE(CONTROL!$C$23, $C$12, 100%, $E$12)</f>
        <v>19.758600000000001</v>
      </c>
    </row>
    <row r="1027" spans="1:15" ht="15">
      <c r="A1027" s="13">
        <v>72411</v>
      </c>
      <c r="B1027" s="65">
        <f>17.6152 * CHOOSE(CONTROL!$C$23, $C$12, 100%, $E$12)</f>
        <v>17.615200000000002</v>
      </c>
      <c r="C1027" s="65">
        <f>17.6152 * CHOOSE(CONTROL!$C$23, $C$12, 100%, $E$12)</f>
        <v>17.615200000000002</v>
      </c>
      <c r="D1027" s="65">
        <f>17.6192 * CHOOSE(CONTROL!$C$23, $C$12, 100%, $E$12)</f>
        <v>17.619199999999999</v>
      </c>
      <c r="E1027" s="66">
        <f>20.0531 * CHOOSE(CONTROL!$C$23, $C$12, 100%, $E$12)</f>
        <v>20.053100000000001</v>
      </c>
      <c r="F1027" s="66">
        <f>20.0531 * CHOOSE(CONTROL!$C$23, $C$12, 100%, $E$12)</f>
        <v>20.053100000000001</v>
      </c>
      <c r="G1027" s="66">
        <f>20.058 * CHOOSE(CONTROL!$C$23, $C$12, 100%, $E$12)</f>
        <v>20.058</v>
      </c>
      <c r="H1027" s="66">
        <f>37.1673* CHOOSE(CONTROL!$C$23, $C$12, 100%, $E$12)</f>
        <v>37.167299999999997</v>
      </c>
      <c r="I1027" s="66">
        <f>37.1722 * CHOOSE(CONTROL!$C$23, $C$12, 100%, $E$12)</f>
        <v>37.172199999999997</v>
      </c>
      <c r="J1027" s="66">
        <f>37.1673 * CHOOSE(CONTROL!$C$23, $C$12, 100%, $E$12)</f>
        <v>37.167299999999997</v>
      </c>
      <c r="K1027" s="66">
        <f>37.1722 * CHOOSE(CONTROL!$C$23, $C$12, 100%, $E$12)</f>
        <v>37.172199999999997</v>
      </c>
      <c r="L1027" s="66">
        <f>20.0531 * CHOOSE(CONTROL!$C$23, $C$12, 100%, $E$12)</f>
        <v>20.053100000000001</v>
      </c>
      <c r="M1027" s="66">
        <f>20.058 * CHOOSE(CONTROL!$C$23, $C$12, 100%, $E$12)</f>
        <v>20.058</v>
      </c>
      <c r="N1027" s="66">
        <f>20.0531 * CHOOSE(CONTROL!$C$23, $C$12, 100%, $E$12)</f>
        <v>20.053100000000001</v>
      </c>
      <c r="O1027" s="66">
        <f>20.058 * CHOOSE(CONTROL!$C$23, $C$12, 100%, $E$12)</f>
        <v>20.058</v>
      </c>
    </row>
    <row r="1028" spans="1:15" ht="15">
      <c r="A1028" s="13">
        <v>72441</v>
      </c>
      <c r="B1028" s="65">
        <f>17.6152 * CHOOSE(CONTROL!$C$23, $C$12, 100%, $E$12)</f>
        <v>17.615200000000002</v>
      </c>
      <c r="C1028" s="65">
        <f>17.6152 * CHOOSE(CONTROL!$C$23, $C$12, 100%, $E$12)</f>
        <v>17.615200000000002</v>
      </c>
      <c r="D1028" s="65">
        <f>17.6209 * CHOOSE(CONTROL!$C$23, $C$12, 100%, $E$12)</f>
        <v>17.620899999999999</v>
      </c>
      <c r="E1028" s="66">
        <f>20.167 * CHOOSE(CONTROL!$C$23, $C$12, 100%, $E$12)</f>
        <v>20.167000000000002</v>
      </c>
      <c r="F1028" s="66">
        <f>20.167 * CHOOSE(CONTROL!$C$23, $C$12, 100%, $E$12)</f>
        <v>20.167000000000002</v>
      </c>
      <c r="G1028" s="66">
        <f>20.1739 * CHOOSE(CONTROL!$C$23, $C$12, 100%, $E$12)</f>
        <v>20.1739</v>
      </c>
      <c r="H1028" s="66">
        <f>37.2447* CHOOSE(CONTROL!$C$23, $C$12, 100%, $E$12)</f>
        <v>37.244700000000002</v>
      </c>
      <c r="I1028" s="66">
        <f>37.2516 * CHOOSE(CONTROL!$C$23, $C$12, 100%, $E$12)</f>
        <v>37.251600000000003</v>
      </c>
      <c r="J1028" s="66">
        <f>37.2447 * CHOOSE(CONTROL!$C$23, $C$12, 100%, $E$12)</f>
        <v>37.244700000000002</v>
      </c>
      <c r="K1028" s="66">
        <f>37.2516 * CHOOSE(CONTROL!$C$23, $C$12, 100%, $E$12)</f>
        <v>37.251600000000003</v>
      </c>
      <c r="L1028" s="66">
        <f>20.167 * CHOOSE(CONTROL!$C$23, $C$12, 100%, $E$12)</f>
        <v>20.167000000000002</v>
      </c>
      <c r="M1028" s="66">
        <f>20.1739 * CHOOSE(CONTROL!$C$23, $C$12, 100%, $E$12)</f>
        <v>20.1739</v>
      </c>
      <c r="N1028" s="66">
        <f>20.167 * CHOOSE(CONTROL!$C$23, $C$12, 100%, $E$12)</f>
        <v>20.167000000000002</v>
      </c>
      <c r="O1028" s="66">
        <f>20.1739 * CHOOSE(CONTROL!$C$23, $C$12, 100%, $E$12)</f>
        <v>20.1739</v>
      </c>
    </row>
    <row r="1029" spans="1:15" ht="15">
      <c r="A1029" s="13">
        <v>72472</v>
      </c>
      <c r="B1029" s="65">
        <f>17.6213 * CHOOSE(CONTROL!$C$23, $C$12, 100%, $E$12)</f>
        <v>17.621300000000002</v>
      </c>
      <c r="C1029" s="65">
        <f>17.6213 * CHOOSE(CONTROL!$C$23, $C$12, 100%, $E$12)</f>
        <v>17.621300000000002</v>
      </c>
      <c r="D1029" s="65">
        <f>17.6269 * CHOOSE(CONTROL!$C$23, $C$12, 100%, $E$12)</f>
        <v>17.626899999999999</v>
      </c>
      <c r="E1029" s="66">
        <f>20.0573 * CHOOSE(CONTROL!$C$23, $C$12, 100%, $E$12)</f>
        <v>20.057300000000001</v>
      </c>
      <c r="F1029" s="66">
        <f>20.0573 * CHOOSE(CONTROL!$C$23, $C$12, 100%, $E$12)</f>
        <v>20.057300000000001</v>
      </c>
      <c r="G1029" s="66">
        <f>20.0642 * CHOOSE(CONTROL!$C$23, $C$12, 100%, $E$12)</f>
        <v>20.0642</v>
      </c>
      <c r="H1029" s="66">
        <f>37.3223* CHOOSE(CONTROL!$C$23, $C$12, 100%, $E$12)</f>
        <v>37.322299999999998</v>
      </c>
      <c r="I1029" s="66">
        <f>37.3292 * CHOOSE(CONTROL!$C$23, $C$12, 100%, $E$12)</f>
        <v>37.3292</v>
      </c>
      <c r="J1029" s="66">
        <f>37.3223 * CHOOSE(CONTROL!$C$23, $C$12, 100%, $E$12)</f>
        <v>37.322299999999998</v>
      </c>
      <c r="K1029" s="66">
        <f>37.3292 * CHOOSE(CONTROL!$C$23, $C$12, 100%, $E$12)</f>
        <v>37.3292</v>
      </c>
      <c r="L1029" s="66">
        <f>20.0573 * CHOOSE(CONTROL!$C$23, $C$12, 100%, $E$12)</f>
        <v>20.057300000000001</v>
      </c>
      <c r="M1029" s="66">
        <f>20.0642 * CHOOSE(CONTROL!$C$23, $C$12, 100%, $E$12)</f>
        <v>20.0642</v>
      </c>
      <c r="N1029" s="66">
        <f>20.0573 * CHOOSE(CONTROL!$C$23, $C$12, 100%, $E$12)</f>
        <v>20.057300000000001</v>
      </c>
      <c r="O1029" s="66">
        <f>20.0642 * CHOOSE(CONTROL!$C$23, $C$12, 100%, $E$12)</f>
        <v>20.0642</v>
      </c>
    </row>
    <row r="1030" spans="1:15" ht="15">
      <c r="A1030" s="13">
        <v>72502</v>
      </c>
      <c r="B1030" s="65">
        <f>17.8861 * CHOOSE(CONTROL!$C$23, $C$12, 100%, $E$12)</f>
        <v>17.886099999999999</v>
      </c>
      <c r="C1030" s="65">
        <f>17.8861 * CHOOSE(CONTROL!$C$23, $C$12, 100%, $E$12)</f>
        <v>17.886099999999999</v>
      </c>
      <c r="D1030" s="65">
        <f>17.8917 * CHOOSE(CONTROL!$C$23, $C$12, 100%, $E$12)</f>
        <v>17.8917</v>
      </c>
      <c r="E1030" s="66">
        <f>20.3735 * CHOOSE(CONTROL!$C$23, $C$12, 100%, $E$12)</f>
        <v>20.3735</v>
      </c>
      <c r="F1030" s="66">
        <f>20.3735 * CHOOSE(CONTROL!$C$23, $C$12, 100%, $E$12)</f>
        <v>20.3735</v>
      </c>
      <c r="G1030" s="66">
        <f>20.3804 * CHOOSE(CONTROL!$C$23, $C$12, 100%, $E$12)</f>
        <v>20.380400000000002</v>
      </c>
      <c r="H1030" s="66">
        <f>37.4001* CHOOSE(CONTROL!$C$23, $C$12, 100%, $E$12)</f>
        <v>37.400100000000002</v>
      </c>
      <c r="I1030" s="66">
        <f>37.4069 * CHOOSE(CONTROL!$C$23, $C$12, 100%, $E$12)</f>
        <v>37.4069</v>
      </c>
      <c r="J1030" s="66">
        <f>37.4001 * CHOOSE(CONTROL!$C$23, $C$12, 100%, $E$12)</f>
        <v>37.400100000000002</v>
      </c>
      <c r="K1030" s="66">
        <f>37.4069 * CHOOSE(CONTROL!$C$23, $C$12, 100%, $E$12)</f>
        <v>37.4069</v>
      </c>
      <c r="L1030" s="66">
        <f>20.3735 * CHOOSE(CONTROL!$C$23, $C$12, 100%, $E$12)</f>
        <v>20.3735</v>
      </c>
      <c r="M1030" s="66">
        <f>20.3804 * CHOOSE(CONTROL!$C$23, $C$12, 100%, $E$12)</f>
        <v>20.380400000000002</v>
      </c>
      <c r="N1030" s="66">
        <f>20.3735 * CHOOSE(CONTROL!$C$23, $C$12, 100%, $E$12)</f>
        <v>20.3735</v>
      </c>
      <c r="O1030" s="66">
        <f>20.3804 * CHOOSE(CONTROL!$C$23, $C$12, 100%, $E$12)</f>
        <v>20.380400000000002</v>
      </c>
    </row>
    <row r="1031" spans="1:15" ht="15">
      <c r="A1031" s="13">
        <v>72533</v>
      </c>
      <c r="B1031" s="65">
        <f>17.8928 * CHOOSE(CONTROL!$C$23, $C$12, 100%, $E$12)</f>
        <v>17.892800000000001</v>
      </c>
      <c r="C1031" s="65">
        <f>17.8928 * CHOOSE(CONTROL!$C$23, $C$12, 100%, $E$12)</f>
        <v>17.892800000000001</v>
      </c>
      <c r="D1031" s="65">
        <f>17.8984 * CHOOSE(CONTROL!$C$23, $C$12, 100%, $E$12)</f>
        <v>17.898399999999999</v>
      </c>
      <c r="E1031" s="66">
        <f>20.0365 * CHOOSE(CONTROL!$C$23, $C$12, 100%, $E$12)</f>
        <v>20.0365</v>
      </c>
      <c r="F1031" s="66">
        <f>20.0365 * CHOOSE(CONTROL!$C$23, $C$12, 100%, $E$12)</f>
        <v>20.0365</v>
      </c>
      <c r="G1031" s="66">
        <f>20.0434 * CHOOSE(CONTROL!$C$23, $C$12, 100%, $E$12)</f>
        <v>20.043399999999998</v>
      </c>
      <c r="H1031" s="66">
        <f>37.478* CHOOSE(CONTROL!$C$23, $C$12, 100%, $E$12)</f>
        <v>37.478000000000002</v>
      </c>
      <c r="I1031" s="66">
        <f>37.4849 * CHOOSE(CONTROL!$C$23, $C$12, 100%, $E$12)</f>
        <v>37.484900000000003</v>
      </c>
      <c r="J1031" s="66">
        <f>37.478 * CHOOSE(CONTROL!$C$23, $C$12, 100%, $E$12)</f>
        <v>37.478000000000002</v>
      </c>
      <c r="K1031" s="66">
        <f>37.4849 * CHOOSE(CONTROL!$C$23, $C$12, 100%, $E$12)</f>
        <v>37.484900000000003</v>
      </c>
      <c r="L1031" s="66">
        <f>20.0365 * CHOOSE(CONTROL!$C$23, $C$12, 100%, $E$12)</f>
        <v>20.0365</v>
      </c>
      <c r="M1031" s="66">
        <f>20.0434 * CHOOSE(CONTROL!$C$23, $C$12, 100%, $E$12)</f>
        <v>20.043399999999998</v>
      </c>
      <c r="N1031" s="66">
        <f>20.0365 * CHOOSE(CONTROL!$C$23, $C$12, 100%, $E$12)</f>
        <v>20.0365</v>
      </c>
      <c r="O1031" s="66">
        <f>20.0434 * CHOOSE(CONTROL!$C$23, $C$12, 100%, $E$12)</f>
        <v>20.043399999999998</v>
      </c>
    </row>
    <row r="1032" spans="1:15" ht="15">
      <c r="A1032" s="13">
        <v>72564</v>
      </c>
      <c r="B1032" s="65">
        <f>17.8898 * CHOOSE(CONTROL!$C$23, $C$12, 100%, $E$12)</f>
        <v>17.889800000000001</v>
      </c>
      <c r="C1032" s="65">
        <f>17.8898 * CHOOSE(CONTROL!$C$23, $C$12, 100%, $E$12)</f>
        <v>17.889800000000001</v>
      </c>
      <c r="D1032" s="65">
        <f>17.8954 * CHOOSE(CONTROL!$C$23, $C$12, 100%, $E$12)</f>
        <v>17.895399999999999</v>
      </c>
      <c r="E1032" s="66">
        <f>19.9965 * CHOOSE(CONTROL!$C$23, $C$12, 100%, $E$12)</f>
        <v>19.996500000000001</v>
      </c>
      <c r="F1032" s="66">
        <f>19.9965 * CHOOSE(CONTROL!$C$23, $C$12, 100%, $E$12)</f>
        <v>19.996500000000001</v>
      </c>
      <c r="G1032" s="66">
        <f>20.0033 * CHOOSE(CONTROL!$C$23, $C$12, 100%, $E$12)</f>
        <v>20.003299999999999</v>
      </c>
      <c r="H1032" s="66">
        <f>37.556* CHOOSE(CONTROL!$C$23, $C$12, 100%, $E$12)</f>
        <v>37.555999999999997</v>
      </c>
      <c r="I1032" s="66">
        <f>37.5629 * CHOOSE(CONTROL!$C$23, $C$12, 100%, $E$12)</f>
        <v>37.562899999999999</v>
      </c>
      <c r="J1032" s="66">
        <f>37.556 * CHOOSE(CONTROL!$C$23, $C$12, 100%, $E$12)</f>
        <v>37.555999999999997</v>
      </c>
      <c r="K1032" s="66">
        <f>37.5629 * CHOOSE(CONTROL!$C$23, $C$12, 100%, $E$12)</f>
        <v>37.562899999999999</v>
      </c>
      <c r="L1032" s="66">
        <f>19.9965 * CHOOSE(CONTROL!$C$23, $C$12, 100%, $E$12)</f>
        <v>19.996500000000001</v>
      </c>
      <c r="M1032" s="66">
        <f>20.0033 * CHOOSE(CONTROL!$C$23, $C$12, 100%, $E$12)</f>
        <v>20.003299999999999</v>
      </c>
      <c r="N1032" s="66">
        <f>19.9965 * CHOOSE(CONTROL!$C$23, $C$12, 100%, $E$12)</f>
        <v>19.996500000000001</v>
      </c>
      <c r="O1032" s="66">
        <f>20.0033 * CHOOSE(CONTROL!$C$23, $C$12, 100%, $E$12)</f>
        <v>20.003299999999999</v>
      </c>
    </row>
    <row r="1033" spans="1:15" ht="15">
      <c r="A1033" s="13">
        <v>72594</v>
      </c>
      <c r="B1033" s="65">
        <f>17.9294 * CHOOSE(CONTROL!$C$23, $C$12, 100%, $E$12)</f>
        <v>17.929400000000001</v>
      </c>
      <c r="C1033" s="65">
        <f>17.9294 * CHOOSE(CONTROL!$C$23, $C$12, 100%, $E$12)</f>
        <v>17.929400000000001</v>
      </c>
      <c r="D1033" s="65">
        <f>17.9334 * CHOOSE(CONTROL!$C$23, $C$12, 100%, $E$12)</f>
        <v>17.933399999999999</v>
      </c>
      <c r="E1033" s="66">
        <f>20.1349 * CHOOSE(CONTROL!$C$23, $C$12, 100%, $E$12)</f>
        <v>20.134899999999998</v>
      </c>
      <c r="F1033" s="66">
        <f>20.1349 * CHOOSE(CONTROL!$C$23, $C$12, 100%, $E$12)</f>
        <v>20.134899999999998</v>
      </c>
      <c r="G1033" s="66">
        <f>20.1398 * CHOOSE(CONTROL!$C$23, $C$12, 100%, $E$12)</f>
        <v>20.139800000000001</v>
      </c>
      <c r="H1033" s="66">
        <f>37.6343* CHOOSE(CONTROL!$C$23, $C$12, 100%, $E$12)</f>
        <v>37.634300000000003</v>
      </c>
      <c r="I1033" s="66">
        <f>37.6392 * CHOOSE(CONTROL!$C$23, $C$12, 100%, $E$12)</f>
        <v>37.639200000000002</v>
      </c>
      <c r="J1033" s="66">
        <f>37.6343 * CHOOSE(CONTROL!$C$23, $C$12, 100%, $E$12)</f>
        <v>37.634300000000003</v>
      </c>
      <c r="K1033" s="66">
        <f>37.6392 * CHOOSE(CONTROL!$C$23, $C$12, 100%, $E$12)</f>
        <v>37.639200000000002</v>
      </c>
      <c r="L1033" s="66">
        <f>20.1349 * CHOOSE(CONTROL!$C$23, $C$12, 100%, $E$12)</f>
        <v>20.134899999999998</v>
      </c>
      <c r="M1033" s="66">
        <f>20.1398 * CHOOSE(CONTROL!$C$23, $C$12, 100%, $E$12)</f>
        <v>20.139800000000001</v>
      </c>
      <c r="N1033" s="66">
        <f>20.1349 * CHOOSE(CONTROL!$C$23, $C$12, 100%, $E$12)</f>
        <v>20.134899999999998</v>
      </c>
      <c r="O1033" s="66">
        <f>20.1398 * CHOOSE(CONTROL!$C$23, $C$12, 100%, $E$12)</f>
        <v>20.139800000000001</v>
      </c>
    </row>
    <row r="1034" spans="1:15" ht="15">
      <c r="A1034" s="13">
        <v>72625</v>
      </c>
      <c r="B1034" s="65">
        <f>17.9324 * CHOOSE(CONTROL!$C$23, $C$12, 100%, $E$12)</f>
        <v>17.932400000000001</v>
      </c>
      <c r="C1034" s="65">
        <f>17.9324 * CHOOSE(CONTROL!$C$23, $C$12, 100%, $E$12)</f>
        <v>17.932400000000001</v>
      </c>
      <c r="D1034" s="65">
        <f>17.9364 * CHOOSE(CONTROL!$C$23, $C$12, 100%, $E$12)</f>
        <v>17.936399999999999</v>
      </c>
      <c r="E1034" s="66">
        <f>20.2129 * CHOOSE(CONTROL!$C$23, $C$12, 100%, $E$12)</f>
        <v>20.212900000000001</v>
      </c>
      <c r="F1034" s="66">
        <f>20.2129 * CHOOSE(CONTROL!$C$23, $C$12, 100%, $E$12)</f>
        <v>20.212900000000001</v>
      </c>
      <c r="G1034" s="66">
        <f>20.2178 * CHOOSE(CONTROL!$C$23, $C$12, 100%, $E$12)</f>
        <v>20.2178</v>
      </c>
      <c r="H1034" s="66">
        <f>37.7127* CHOOSE(CONTROL!$C$23, $C$12, 100%, $E$12)</f>
        <v>37.712699999999998</v>
      </c>
      <c r="I1034" s="66">
        <f>37.7176 * CHOOSE(CONTROL!$C$23, $C$12, 100%, $E$12)</f>
        <v>37.717599999999997</v>
      </c>
      <c r="J1034" s="66">
        <f>37.7127 * CHOOSE(CONTROL!$C$23, $C$12, 100%, $E$12)</f>
        <v>37.712699999999998</v>
      </c>
      <c r="K1034" s="66">
        <f>37.7176 * CHOOSE(CONTROL!$C$23, $C$12, 100%, $E$12)</f>
        <v>37.717599999999997</v>
      </c>
      <c r="L1034" s="66">
        <f>20.2129 * CHOOSE(CONTROL!$C$23, $C$12, 100%, $E$12)</f>
        <v>20.212900000000001</v>
      </c>
      <c r="M1034" s="66">
        <f>20.2178 * CHOOSE(CONTROL!$C$23, $C$12, 100%, $E$12)</f>
        <v>20.2178</v>
      </c>
      <c r="N1034" s="66">
        <f>20.2129 * CHOOSE(CONTROL!$C$23, $C$12, 100%, $E$12)</f>
        <v>20.212900000000001</v>
      </c>
      <c r="O1034" s="66">
        <f>20.2178 * CHOOSE(CONTROL!$C$23, $C$12, 100%, $E$12)</f>
        <v>20.2178</v>
      </c>
    </row>
    <row r="1035" spans="1:15" ht="15">
      <c r="A1035" s="13">
        <v>72655</v>
      </c>
      <c r="B1035" s="65">
        <f>17.9324 * CHOOSE(CONTROL!$C$23, $C$12, 100%, $E$12)</f>
        <v>17.932400000000001</v>
      </c>
      <c r="C1035" s="65">
        <f>17.9324 * CHOOSE(CONTROL!$C$23, $C$12, 100%, $E$12)</f>
        <v>17.932400000000001</v>
      </c>
      <c r="D1035" s="65">
        <f>17.9364 * CHOOSE(CONTROL!$C$23, $C$12, 100%, $E$12)</f>
        <v>17.936399999999999</v>
      </c>
      <c r="E1035" s="66">
        <f>20.0231 * CHOOSE(CONTROL!$C$23, $C$12, 100%, $E$12)</f>
        <v>20.023099999999999</v>
      </c>
      <c r="F1035" s="66">
        <f>20.0231 * CHOOSE(CONTROL!$C$23, $C$12, 100%, $E$12)</f>
        <v>20.023099999999999</v>
      </c>
      <c r="G1035" s="66">
        <f>20.028 * CHOOSE(CONTROL!$C$23, $C$12, 100%, $E$12)</f>
        <v>20.027999999999999</v>
      </c>
      <c r="H1035" s="66">
        <f>37.7913* CHOOSE(CONTROL!$C$23, $C$12, 100%, $E$12)</f>
        <v>37.7913</v>
      </c>
      <c r="I1035" s="66">
        <f>37.7962 * CHOOSE(CONTROL!$C$23, $C$12, 100%, $E$12)</f>
        <v>37.796199999999999</v>
      </c>
      <c r="J1035" s="66">
        <f>37.7913 * CHOOSE(CONTROL!$C$23, $C$12, 100%, $E$12)</f>
        <v>37.7913</v>
      </c>
      <c r="K1035" s="66">
        <f>37.7962 * CHOOSE(CONTROL!$C$23, $C$12, 100%, $E$12)</f>
        <v>37.796199999999999</v>
      </c>
      <c r="L1035" s="66">
        <f>20.0231 * CHOOSE(CONTROL!$C$23, $C$12, 100%, $E$12)</f>
        <v>20.023099999999999</v>
      </c>
      <c r="M1035" s="66">
        <f>20.028 * CHOOSE(CONTROL!$C$23, $C$12, 100%, $E$12)</f>
        <v>20.027999999999999</v>
      </c>
      <c r="N1035" s="66">
        <f>20.0231 * CHOOSE(CONTROL!$C$23, $C$12, 100%, $E$12)</f>
        <v>20.023099999999999</v>
      </c>
      <c r="O1035" s="66">
        <f>20.028 * CHOOSE(CONTROL!$C$23, $C$12, 100%, $E$12)</f>
        <v>20.027999999999999</v>
      </c>
    </row>
    <row r="1036" spans="1:15" ht="15">
      <c r="A1036" s="13">
        <v>72686</v>
      </c>
      <c r="B1036" s="65">
        <f>17.8479 * CHOOSE(CONTROL!$C$23, $C$12, 100%, $E$12)</f>
        <v>17.847899999999999</v>
      </c>
      <c r="C1036" s="65">
        <f>17.8479 * CHOOSE(CONTROL!$C$23, $C$12, 100%, $E$12)</f>
        <v>17.847899999999999</v>
      </c>
      <c r="D1036" s="65">
        <f>17.8519 * CHOOSE(CONTROL!$C$23, $C$12, 100%, $E$12)</f>
        <v>17.851900000000001</v>
      </c>
      <c r="E1036" s="66">
        <f>20.0886 * CHOOSE(CONTROL!$C$23, $C$12, 100%, $E$12)</f>
        <v>20.0886</v>
      </c>
      <c r="F1036" s="66">
        <f>20.0886 * CHOOSE(CONTROL!$C$23, $C$12, 100%, $E$12)</f>
        <v>20.0886</v>
      </c>
      <c r="G1036" s="66">
        <f>20.0935 * CHOOSE(CONTROL!$C$23, $C$12, 100%, $E$12)</f>
        <v>20.093499999999999</v>
      </c>
      <c r="H1036" s="66">
        <f>37.4185* CHOOSE(CONTROL!$C$23, $C$12, 100%, $E$12)</f>
        <v>37.418500000000002</v>
      </c>
      <c r="I1036" s="66">
        <f>37.4234 * CHOOSE(CONTROL!$C$23, $C$12, 100%, $E$12)</f>
        <v>37.423400000000001</v>
      </c>
      <c r="J1036" s="66">
        <f>37.4185 * CHOOSE(CONTROL!$C$23, $C$12, 100%, $E$12)</f>
        <v>37.418500000000002</v>
      </c>
      <c r="K1036" s="66">
        <f>37.4234 * CHOOSE(CONTROL!$C$23, $C$12, 100%, $E$12)</f>
        <v>37.423400000000001</v>
      </c>
      <c r="L1036" s="66">
        <f>20.0886 * CHOOSE(CONTROL!$C$23, $C$12, 100%, $E$12)</f>
        <v>20.0886</v>
      </c>
      <c r="M1036" s="66">
        <f>20.0935 * CHOOSE(CONTROL!$C$23, $C$12, 100%, $E$12)</f>
        <v>20.093499999999999</v>
      </c>
      <c r="N1036" s="66">
        <f>20.0886 * CHOOSE(CONTROL!$C$23, $C$12, 100%, $E$12)</f>
        <v>20.0886</v>
      </c>
      <c r="O1036" s="66">
        <f>20.0935 * CHOOSE(CONTROL!$C$23, $C$12, 100%, $E$12)</f>
        <v>20.093499999999999</v>
      </c>
    </row>
    <row r="1037" spans="1:15" ht="15">
      <c r="A1037" s="13">
        <v>72717</v>
      </c>
      <c r="B1037" s="65">
        <f>17.8448 * CHOOSE(CONTROL!$C$23, $C$12, 100%, $E$12)</f>
        <v>17.844799999999999</v>
      </c>
      <c r="C1037" s="65">
        <f>17.8448 * CHOOSE(CONTROL!$C$23, $C$12, 100%, $E$12)</f>
        <v>17.844799999999999</v>
      </c>
      <c r="D1037" s="65">
        <f>17.8488 * CHOOSE(CONTROL!$C$23, $C$12, 100%, $E$12)</f>
        <v>17.848800000000001</v>
      </c>
      <c r="E1037" s="66">
        <f>19.7228 * CHOOSE(CONTROL!$C$23, $C$12, 100%, $E$12)</f>
        <v>19.722799999999999</v>
      </c>
      <c r="F1037" s="66">
        <f>19.7228 * CHOOSE(CONTROL!$C$23, $C$12, 100%, $E$12)</f>
        <v>19.722799999999999</v>
      </c>
      <c r="G1037" s="66">
        <f>19.7277 * CHOOSE(CONTROL!$C$23, $C$12, 100%, $E$12)</f>
        <v>19.727699999999999</v>
      </c>
      <c r="H1037" s="66">
        <f>37.4964* CHOOSE(CONTROL!$C$23, $C$12, 100%, $E$12)</f>
        <v>37.496400000000001</v>
      </c>
      <c r="I1037" s="66">
        <f>37.5014 * CHOOSE(CONTROL!$C$23, $C$12, 100%, $E$12)</f>
        <v>37.501399999999997</v>
      </c>
      <c r="J1037" s="66">
        <f>37.4964 * CHOOSE(CONTROL!$C$23, $C$12, 100%, $E$12)</f>
        <v>37.496400000000001</v>
      </c>
      <c r="K1037" s="66">
        <f>37.5014 * CHOOSE(CONTROL!$C$23, $C$12, 100%, $E$12)</f>
        <v>37.501399999999997</v>
      </c>
      <c r="L1037" s="66">
        <f>19.7228 * CHOOSE(CONTROL!$C$23, $C$12, 100%, $E$12)</f>
        <v>19.722799999999999</v>
      </c>
      <c r="M1037" s="66">
        <f>19.7277 * CHOOSE(CONTROL!$C$23, $C$12, 100%, $E$12)</f>
        <v>19.727699999999999</v>
      </c>
      <c r="N1037" s="66">
        <f>19.7228 * CHOOSE(CONTROL!$C$23, $C$12, 100%, $E$12)</f>
        <v>19.722799999999999</v>
      </c>
      <c r="O1037" s="66">
        <f>19.7277 * CHOOSE(CONTROL!$C$23, $C$12, 100%, $E$12)</f>
        <v>19.727699999999999</v>
      </c>
    </row>
    <row r="1038" spans="1:15" ht="15">
      <c r="A1038" s="13">
        <v>72745</v>
      </c>
      <c r="B1038" s="65">
        <f>17.8418 * CHOOSE(CONTROL!$C$23, $C$12, 100%, $E$12)</f>
        <v>17.841799999999999</v>
      </c>
      <c r="C1038" s="65">
        <f>17.8418 * CHOOSE(CONTROL!$C$23, $C$12, 100%, $E$12)</f>
        <v>17.841799999999999</v>
      </c>
      <c r="D1038" s="65">
        <f>17.8458 * CHOOSE(CONTROL!$C$23, $C$12, 100%, $E$12)</f>
        <v>17.845800000000001</v>
      </c>
      <c r="E1038" s="66">
        <f>20.0074 * CHOOSE(CONTROL!$C$23, $C$12, 100%, $E$12)</f>
        <v>20.007400000000001</v>
      </c>
      <c r="F1038" s="66">
        <f>20.0074 * CHOOSE(CONTROL!$C$23, $C$12, 100%, $E$12)</f>
        <v>20.007400000000001</v>
      </c>
      <c r="G1038" s="66">
        <f>20.0123 * CHOOSE(CONTROL!$C$23, $C$12, 100%, $E$12)</f>
        <v>20.0123</v>
      </c>
      <c r="H1038" s="66">
        <f>37.5746* CHOOSE(CONTROL!$C$23, $C$12, 100%, $E$12)</f>
        <v>37.574599999999997</v>
      </c>
      <c r="I1038" s="66">
        <f>37.5795 * CHOOSE(CONTROL!$C$23, $C$12, 100%, $E$12)</f>
        <v>37.579500000000003</v>
      </c>
      <c r="J1038" s="66">
        <f>37.5746 * CHOOSE(CONTROL!$C$23, $C$12, 100%, $E$12)</f>
        <v>37.574599999999997</v>
      </c>
      <c r="K1038" s="66">
        <f>37.5795 * CHOOSE(CONTROL!$C$23, $C$12, 100%, $E$12)</f>
        <v>37.579500000000003</v>
      </c>
      <c r="L1038" s="66">
        <f>20.0074 * CHOOSE(CONTROL!$C$23, $C$12, 100%, $E$12)</f>
        <v>20.007400000000001</v>
      </c>
      <c r="M1038" s="66">
        <f>20.0123 * CHOOSE(CONTROL!$C$23, $C$12, 100%, $E$12)</f>
        <v>20.0123</v>
      </c>
      <c r="N1038" s="66">
        <f>20.0074 * CHOOSE(CONTROL!$C$23, $C$12, 100%, $E$12)</f>
        <v>20.007400000000001</v>
      </c>
      <c r="O1038" s="66">
        <f>20.0123 * CHOOSE(CONTROL!$C$23, $C$12, 100%, $E$12)</f>
        <v>20.0123</v>
      </c>
    </row>
    <row r="1039" spans="1:15" ht="15">
      <c r="A1039" s="13">
        <v>72776</v>
      </c>
      <c r="B1039" s="65">
        <f>17.851 * CHOOSE(CONTROL!$C$23, $C$12, 100%, $E$12)</f>
        <v>17.850999999999999</v>
      </c>
      <c r="C1039" s="65">
        <f>17.851 * CHOOSE(CONTROL!$C$23, $C$12, 100%, $E$12)</f>
        <v>17.850999999999999</v>
      </c>
      <c r="D1039" s="65">
        <f>17.855 * CHOOSE(CONTROL!$C$23, $C$12, 100%, $E$12)</f>
        <v>17.855</v>
      </c>
      <c r="E1039" s="66">
        <f>20.311 * CHOOSE(CONTROL!$C$23, $C$12, 100%, $E$12)</f>
        <v>20.311</v>
      </c>
      <c r="F1039" s="66">
        <f>20.311 * CHOOSE(CONTROL!$C$23, $C$12, 100%, $E$12)</f>
        <v>20.311</v>
      </c>
      <c r="G1039" s="66">
        <f>20.3159 * CHOOSE(CONTROL!$C$23, $C$12, 100%, $E$12)</f>
        <v>20.315899999999999</v>
      </c>
      <c r="H1039" s="66">
        <f>37.6528* CHOOSE(CONTROL!$C$23, $C$12, 100%, $E$12)</f>
        <v>37.652799999999999</v>
      </c>
      <c r="I1039" s="66">
        <f>37.6578 * CHOOSE(CONTROL!$C$23, $C$12, 100%, $E$12)</f>
        <v>37.657800000000002</v>
      </c>
      <c r="J1039" s="66">
        <f>37.6528 * CHOOSE(CONTROL!$C$23, $C$12, 100%, $E$12)</f>
        <v>37.652799999999999</v>
      </c>
      <c r="K1039" s="66">
        <f>37.6578 * CHOOSE(CONTROL!$C$23, $C$12, 100%, $E$12)</f>
        <v>37.657800000000002</v>
      </c>
      <c r="L1039" s="66">
        <f>20.311 * CHOOSE(CONTROL!$C$23, $C$12, 100%, $E$12)</f>
        <v>20.311</v>
      </c>
      <c r="M1039" s="66">
        <f>20.3159 * CHOOSE(CONTROL!$C$23, $C$12, 100%, $E$12)</f>
        <v>20.315899999999999</v>
      </c>
      <c r="N1039" s="66">
        <f>20.311 * CHOOSE(CONTROL!$C$23, $C$12, 100%, $E$12)</f>
        <v>20.311</v>
      </c>
      <c r="O1039" s="66">
        <f>20.3159 * CHOOSE(CONTROL!$C$23, $C$12, 100%, $E$12)</f>
        <v>20.315899999999999</v>
      </c>
    </row>
    <row r="1040" spans="1:15" ht="15">
      <c r="A1040" s="13">
        <v>72806</v>
      </c>
      <c r="B1040" s="65">
        <f>17.851 * CHOOSE(CONTROL!$C$23, $C$12, 100%, $E$12)</f>
        <v>17.850999999999999</v>
      </c>
      <c r="C1040" s="65">
        <f>17.851 * CHOOSE(CONTROL!$C$23, $C$12, 100%, $E$12)</f>
        <v>17.850999999999999</v>
      </c>
      <c r="D1040" s="65">
        <f>17.8566 * CHOOSE(CONTROL!$C$23, $C$12, 100%, $E$12)</f>
        <v>17.8566</v>
      </c>
      <c r="E1040" s="66">
        <f>20.4264 * CHOOSE(CONTROL!$C$23, $C$12, 100%, $E$12)</f>
        <v>20.426400000000001</v>
      </c>
      <c r="F1040" s="66">
        <f>20.4264 * CHOOSE(CONTROL!$C$23, $C$12, 100%, $E$12)</f>
        <v>20.426400000000001</v>
      </c>
      <c r="G1040" s="66">
        <f>20.4333 * CHOOSE(CONTROL!$C$23, $C$12, 100%, $E$12)</f>
        <v>20.433299999999999</v>
      </c>
      <c r="H1040" s="66">
        <f>37.7313* CHOOSE(CONTROL!$C$23, $C$12, 100%, $E$12)</f>
        <v>37.731299999999997</v>
      </c>
      <c r="I1040" s="66">
        <f>37.7382 * CHOOSE(CONTROL!$C$23, $C$12, 100%, $E$12)</f>
        <v>37.738199999999999</v>
      </c>
      <c r="J1040" s="66">
        <f>37.7313 * CHOOSE(CONTROL!$C$23, $C$12, 100%, $E$12)</f>
        <v>37.731299999999997</v>
      </c>
      <c r="K1040" s="66">
        <f>37.7382 * CHOOSE(CONTROL!$C$23, $C$12, 100%, $E$12)</f>
        <v>37.738199999999999</v>
      </c>
      <c r="L1040" s="66">
        <f>20.4264 * CHOOSE(CONTROL!$C$23, $C$12, 100%, $E$12)</f>
        <v>20.426400000000001</v>
      </c>
      <c r="M1040" s="66">
        <f>20.4333 * CHOOSE(CONTROL!$C$23, $C$12, 100%, $E$12)</f>
        <v>20.433299999999999</v>
      </c>
      <c r="N1040" s="66">
        <f>20.4264 * CHOOSE(CONTROL!$C$23, $C$12, 100%, $E$12)</f>
        <v>20.426400000000001</v>
      </c>
      <c r="O1040" s="66">
        <f>20.4333 * CHOOSE(CONTROL!$C$23, $C$12, 100%, $E$12)</f>
        <v>20.433299999999999</v>
      </c>
    </row>
    <row r="1041" spans="1:15" ht="15">
      <c r="A1041" s="13">
        <v>72837</v>
      </c>
      <c r="B1041" s="65">
        <f>17.8571 * CHOOSE(CONTROL!$C$23, $C$12, 100%, $E$12)</f>
        <v>17.857099999999999</v>
      </c>
      <c r="C1041" s="65">
        <f>17.8571 * CHOOSE(CONTROL!$C$23, $C$12, 100%, $E$12)</f>
        <v>17.857099999999999</v>
      </c>
      <c r="D1041" s="65">
        <f>17.8627 * CHOOSE(CONTROL!$C$23, $C$12, 100%, $E$12)</f>
        <v>17.8627</v>
      </c>
      <c r="E1041" s="66">
        <f>20.3152 * CHOOSE(CONTROL!$C$23, $C$12, 100%, $E$12)</f>
        <v>20.315200000000001</v>
      </c>
      <c r="F1041" s="66">
        <f>20.3152 * CHOOSE(CONTROL!$C$23, $C$12, 100%, $E$12)</f>
        <v>20.315200000000001</v>
      </c>
      <c r="G1041" s="66">
        <f>20.3221 * CHOOSE(CONTROL!$C$23, $C$12, 100%, $E$12)</f>
        <v>20.322099999999999</v>
      </c>
      <c r="H1041" s="66">
        <f>37.8099* CHOOSE(CONTROL!$C$23, $C$12, 100%, $E$12)</f>
        <v>37.809899999999999</v>
      </c>
      <c r="I1041" s="66">
        <f>37.8168 * CHOOSE(CONTROL!$C$23, $C$12, 100%, $E$12)</f>
        <v>37.816800000000001</v>
      </c>
      <c r="J1041" s="66">
        <f>37.8099 * CHOOSE(CONTROL!$C$23, $C$12, 100%, $E$12)</f>
        <v>37.809899999999999</v>
      </c>
      <c r="K1041" s="66">
        <f>37.8168 * CHOOSE(CONTROL!$C$23, $C$12, 100%, $E$12)</f>
        <v>37.816800000000001</v>
      </c>
      <c r="L1041" s="66">
        <f>20.3152 * CHOOSE(CONTROL!$C$23, $C$12, 100%, $E$12)</f>
        <v>20.315200000000001</v>
      </c>
      <c r="M1041" s="66">
        <f>20.3221 * CHOOSE(CONTROL!$C$23, $C$12, 100%, $E$12)</f>
        <v>20.322099999999999</v>
      </c>
      <c r="N1041" s="66">
        <f>20.3152 * CHOOSE(CONTROL!$C$23, $C$12, 100%, $E$12)</f>
        <v>20.315200000000001</v>
      </c>
      <c r="O1041" s="66">
        <f>20.3221 * CHOOSE(CONTROL!$C$23, $C$12, 100%, $E$12)</f>
        <v>20.322099999999999</v>
      </c>
    </row>
    <row r="1042" spans="1:15" ht="15">
      <c r="A1042" s="13">
        <v>72867</v>
      </c>
      <c r="B1042" s="65">
        <f>18.1253 * CHOOSE(CONTROL!$C$23, $C$12, 100%, $E$12)</f>
        <v>18.125299999999999</v>
      </c>
      <c r="C1042" s="65">
        <f>18.1253 * CHOOSE(CONTROL!$C$23, $C$12, 100%, $E$12)</f>
        <v>18.125299999999999</v>
      </c>
      <c r="D1042" s="65">
        <f>18.1309 * CHOOSE(CONTROL!$C$23, $C$12, 100%, $E$12)</f>
        <v>18.1309</v>
      </c>
      <c r="E1042" s="66">
        <f>20.6353 * CHOOSE(CONTROL!$C$23, $C$12, 100%, $E$12)</f>
        <v>20.635300000000001</v>
      </c>
      <c r="F1042" s="66">
        <f>20.6353 * CHOOSE(CONTROL!$C$23, $C$12, 100%, $E$12)</f>
        <v>20.635300000000001</v>
      </c>
      <c r="G1042" s="66">
        <f>20.6422 * CHOOSE(CONTROL!$C$23, $C$12, 100%, $E$12)</f>
        <v>20.642199999999999</v>
      </c>
      <c r="H1042" s="66">
        <f>37.8887* CHOOSE(CONTROL!$C$23, $C$12, 100%, $E$12)</f>
        <v>37.8887</v>
      </c>
      <c r="I1042" s="66">
        <f>37.8956 * CHOOSE(CONTROL!$C$23, $C$12, 100%, $E$12)</f>
        <v>37.895600000000002</v>
      </c>
      <c r="J1042" s="66">
        <f>37.8887 * CHOOSE(CONTROL!$C$23, $C$12, 100%, $E$12)</f>
        <v>37.8887</v>
      </c>
      <c r="K1042" s="66">
        <f>37.8956 * CHOOSE(CONTROL!$C$23, $C$12, 100%, $E$12)</f>
        <v>37.895600000000002</v>
      </c>
      <c r="L1042" s="66">
        <f>20.6353 * CHOOSE(CONTROL!$C$23, $C$12, 100%, $E$12)</f>
        <v>20.635300000000001</v>
      </c>
      <c r="M1042" s="66">
        <f>20.6422 * CHOOSE(CONTROL!$C$23, $C$12, 100%, $E$12)</f>
        <v>20.642199999999999</v>
      </c>
      <c r="N1042" s="66">
        <f>20.6353 * CHOOSE(CONTROL!$C$23, $C$12, 100%, $E$12)</f>
        <v>20.635300000000001</v>
      </c>
      <c r="O1042" s="66">
        <f>20.6422 * CHOOSE(CONTROL!$C$23, $C$12, 100%, $E$12)</f>
        <v>20.642199999999999</v>
      </c>
    </row>
    <row r="1043" spans="1:15" ht="15">
      <c r="A1043" s="13">
        <v>72898</v>
      </c>
      <c r="B1043" s="65">
        <f>18.132 * CHOOSE(CONTROL!$C$23, $C$12, 100%, $E$12)</f>
        <v>18.132000000000001</v>
      </c>
      <c r="C1043" s="65">
        <f>18.132 * CHOOSE(CONTROL!$C$23, $C$12, 100%, $E$12)</f>
        <v>18.132000000000001</v>
      </c>
      <c r="D1043" s="65">
        <f>18.1376 * CHOOSE(CONTROL!$C$23, $C$12, 100%, $E$12)</f>
        <v>18.137599999999999</v>
      </c>
      <c r="E1043" s="66">
        <f>20.2936 * CHOOSE(CONTROL!$C$23, $C$12, 100%, $E$12)</f>
        <v>20.293600000000001</v>
      </c>
      <c r="F1043" s="66">
        <f>20.2936 * CHOOSE(CONTROL!$C$23, $C$12, 100%, $E$12)</f>
        <v>20.293600000000001</v>
      </c>
      <c r="G1043" s="66">
        <f>20.3005 * CHOOSE(CONTROL!$C$23, $C$12, 100%, $E$12)</f>
        <v>20.3005</v>
      </c>
      <c r="H1043" s="66">
        <f>37.9676* CHOOSE(CONTROL!$C$23, $C$12, 100%, $E$12)</f>
        <v>37.967599999999997</v>
      </c>
      <c r="I1043" s="66">
        <f>37.9745 * CHOOSE(CONTROL!$C$23, $C$12, 100%, $E$12)</f>
        <v>37.974499999999999</v>
      </c>
      <c r="J1043" s="66">
        <f>37.9676 * CHOOSE(CONTROL!$C$23, $C$12, 100%, $E$12)</f>
        <v>37.967599999999997</v>
      </c>
      <c r="K1043" s="66">
        <f>37.9745 * CHOOSE(CONTROL!$C$23, $C$12, 100%, $E$12)</f>
        <v>37.974499999999999</v>
      </c>
      <c r="L1043" s="66">
        <f>20.2936 * CHOOSE(CONTROL!$C$23, $C$12, 100%, $E$12)</f>
        <v>20.293600000000001</v>
      </c>
      <c r="M1043" s="66">
        <f>20.3005 * CHOOSE(CONTROL!$C$23, $C$12, 100%, $E$12)</f>
        <v>20.3005</v>
      </c>
      <c r="N1043" s="66">
        <f>20.2936 * CHOOSE(CONTROL!$C$23, $C$12, 100%, $E$12)</f>
        <v>20.293600000000001</v>
      </c>
      <c r="O1043" s="66">
        <f>20.3005 * CHOOSE(CONTROL!$C$23, $C$12, 100%, $E$12)</f>
        <v>20.3005</v>
      </c>
    </row>
    <row r="1044" spans="1:15" ht="15">
      <c r="A1044" s="13">
        <v>72929</v>
      </c>
      <c r="B1044" s="65">
        <f>18.1289 * CHOOSE(CONTROL!$C$23, $C$12, 100%, $E$12)</f>
        <v>18.128900000000002</v>
      </c>
      <c r="C1044" s="65">
        <f>18.1289 * CHOOSE(CONTROL!$C$23, $C$12, 100%, $E$12)</f>
        <v>18.128900000000002</v>
      </c>
      <c r="D1044" s="65">
        <f>18.1346 * CHOOSE(CONTROL!$C$23, $C$12, 100%, $E$12)</f>
        <v>18.134599999999999</v>
      </c>
      <c r="E1044" s="66">
        <f>20.253 * CHOOSE(CONTROL!$C$23, $C$12, 100%, $E$12)</f>
        <v>20.253</v>
      </c>
      <c r="F1044" s="66">
        <f>20.253 * CHOOSE(CONTROL!$C$23, $C$12, 100%, $E$12)</f>
        <v>20.253</v>
      </c>
      <c r="G1044" s="66">
        <f>20.2599 * CHOOSE(CONTROL!$C$23, $C$12, 100%, $E$12)</f>
        <v>20.259899999999998</v>
      </c>
      <c r="H1044" s="66">
        <f>38.0467* CHOOSE(CONTROL!$C$23, $C$12, 100%, $E$12)</f>
        <v>38.046700000000001</v>
      </c>
      <c r="I1044" s="66">
        <f>38.0536 * CHOOSE(CONTROL!$C$23, $C$12, 100%, $E$12)</f>
        <v>38.053600000000003</v>
      </c>
      <c r="J1044" s="66">
        <f>38.0467 * CHOOSE(CONTROL!$C$23, $C$12, 100%, $E$12)</f>
        <v>38.046700000000001</v>
      </c>
      <c r="K1044" s="66">
        <f>38.0536 * CHOOSE(CONTROL!$C$23, $C$12, 100%, $E$12)</f>
        <v>38.053600000000003</v>
      </c>
      <c r="L1044" s="66">
        <f>20.253 * CHOOSE(CONTROL!$C$23, $C$12, 100%, $E$12)</f>
        <v>20.253</v>
      </c>
      <c r="M1044" s="66">
        <f>20.2599 * CHOOSE(CONTROL!$C$23, $C$12, 100%, $E$12)</f>
        <v>20.259899999999998</v>
      </c>
      <c r="N1044" s="66">
        <f>20.253 * CHOOSE(CONTROL!$C$23, $C$12, 100%, $E$12)</f>
        <v>20.253</v>
      </c>
      <c r="O1044" s="66">
        <f>20.2599 * CHOOSE(CONTROL!$C$23, $C$12, 100%, $E$12)</f>
        <v>20.259899999999998</v>
      </c>
    </row>
    <row r="1045" spans="1:15" ht="15">
      <c r="A1045" s="13">
        <v>72959</v>
      </c>
      <c r="B1045" s="65">
        <f>18.1693 * CHOOSE(CONTROL!$C$23, $C$12, 100%, $E$12)</f>
        <v>18.1693</v>
      </c>
      <c r="C1045" s="65">
        <f>18.1693 * CHOOSE(CONTROL!$C$23, $C$12, 100%, $E$12)</f>
        <v>18.1693</v>
      </c>
      <c r="D1045" s="65">
        <f>18.1733 * CHOOSE(CONTROL!$C$23, $C$12, 100%, $E$12)</f>
        <v>18.173300000000001</v>
      </c>
      <c r="E1045" s="66">
        <f>20.3935 * CHOOSE(CONTROL!$C$23, $C$12, 100%, $E$12)</f>
        <v>20.3935</v>
      </c>
      <c r="F1045" s="66">
        <f>20.3935 * CHOOSE(CONTROL!$C$23, $C$12, 100%, $E$12)</f>
        <v>20.3935</v>
      </c>
      <c r="G1045" s="66">
        <f>20.3984 * CHOOSE(CONTROL!$C$23, $C$12, 100%, $E$12)</f>
        <v>20.398399999999999</v>
      </c>
      <c r="H1045" s="66">
        <f>38.126* CHOOSE(CONTROL!$C$23, $C$12, 100%, $E$12)</f>
        <v>38.125999999999998</v>
      </c>
      <c r="I1045" s="66">
        <f>38.1309 * CHOOSE(CONTROL!$C$23, $C$12, 100%, $E$12)</f>
        <v>38.130899999999997</v>
      </c>
      <c r="J1045" s="66">
        <f>38.126 * CHOOSE(CONTROL!$C$23, $C$12, 100%, $E$12)</f>
        <v>38.125999999999998</v>
      </c>
      <c r="K1045" s="66">
        <f>38.1309 * CHOOSE(CONTROL!$C$23, $C$12, 100%, $E$12)</f>
        <v>38.130899999999997</v>
      </c>
      <c r="L1045" s="66">
        <f>20.3935 * CHOOSE(CONTROL!$C$23, $C$12, 100%, $E$12)</f>
        <v>20.3935</v>
      </c>
      <c r="M1045" s="66">
        <f>20.3984 * CHOOSE(CONTROL!$C$23, $C$12, 100%, $E$12)</f>
        <v>20.398399999999999</v>
      </c>
      <c r="N1045" s="66">
        <f>20.3935 * CHOOSE(CONTROL!$C$23, $C$12, 100%, $E$12)</f>
        <v>20.3935</v>
      </c>
      <c r="O1045" s="66">
        <f>20.3984 * CHOOSE(CONTROL!$C$23, $C$12, 100%, $E$12)</f>
        <v>20.398399999999999</v>
      </c>
    </row>
    <row r="1046" spans="1:15" ht="15">
      <c r="A1046" s="13">
        <v>72990</v>
      </c>
      <c r="B1046" s="65">
        <f>18.1724 * CHOOSE(CONTROL!$C$23, $C$12, 100%, $E$12)</f>
        <v>18.1724</v>
      </c>
      <c r="C1046" s="65">
        <f>18.1724 * CHOOSE(CONTROL!$C$23, $C$12, 100%, $E$12)</f>
        <v>18.1724</v>
      </c>
      <c r="D1046" s="65">
        <f>18.1764 * CHOOSE(CONTROL!$C$23, $C$12, 100%, $E$12)</f>
        <v>18.176400000000001</v>
      </c>
      <c r="E1046" s="66">
        <f>20.4726 * CHOOSE(CONTROL!$C$23, $C$12, 100%, $E$12)</f>
        <v>20.4726</v>
      </c>
      <c r="F1046" s="66">
        <f>20.4726 * CHOOSE(CONTROL!$C$23, $C$12, 100%, $E$12)</f>
        <v>20.4726</v>
      </c>
      <c r="G1046" s="66">
        <f>20.4775 * CHOOSE(CONTROL!$C$23, $C$12, 100%, $E$12)</f>
        <v>20.477499999999999</v>
      </c>
      <c r="H1046" s="66">
        <f>38.2054* CHOOSE(CONTROL!$C$23, $C$12, 100%, $E$12)</f>
        <v>38.205399999999997</v>
      </c>
      <c r="I1046" s="66">
        <f>38.2103 * CHOOSE(CONTROL!$C$23, $C$12, 100%, $E$12)</f>
        <v>38.210299999999997</v>
      </c>
      <c r="J1046" s="66">
        <f>38.2054 * CHOOSE(CONTROL!$C$23, $C$12, 100%, $E$12)</f>
        <v>38.205399999999997</v>
      </c>
      <c r="K1046" s="66">
        <f>38.2103 * CHOOSE(CONTROL!$C$23, $C$12, 100%, $E$12)</f>
        <v>38.210299999999997</v>
      </c>
      <c r="L1046" s="66">
        <f>20.4726 * CHOOSE(CONTROL!$C$23, $C$12, 100%, $E$12)</f>
        <v>20.4726</v>
      </c>
      <c r="M1046" s="66">
        <f>20.4775 * CHOOSE(CONTROL!$C$23, $C$12, 100%, $E$12)</f>
        <v>20.477499999999999</v>
      </c>
      <c r="N1046" s="66">
        <f>20.4726 * CHOOSE(CONTROL!$C$23, $C$12, 100%, $E$12)</f>
        <v>20.4726</v>
      </c>
      <c r="O1046" s="66">
        <f>20.4775 * CHOOSE(CONTROL!$C$23, $C$12, 100%, $E$12)</f>
        <v>20.477499999999999</v>
      </c>
    </row>
    <row r="1047" spans="1:15" ht="15">
      <c r="A1047" s="13">
        <v>73020</v>
      </c>
      <c r="B1047" s="65">
        <f>18.1724 * CHOOSE(CONTROL!$C$23, $C$12, 100%, $E$12)</f>
        <v>18.1724</v>
      </c>
      <c r="C1047" s="65">
        <f>18.1724 * CHOOSE(CONTROL!$C$23, $C$12, 100%, $E$12)</f>
        <v>18.1724</v>
      </c>
      <c r="D1047" s="65">
        <f>18.1764 * CHOOSE(CONTROL!$C$23, $C$12, 100%, $E$12)</f>
        <v>18.176400000000001</v>
      </c>
      <c r="E1047" s="66">
        <f>20.2802 * CHOOSE(CONTROL!$C$23, $C$12, 100%, $E$12)</f>
        <v>20.280200000000001</v>
      </c>
      <c r="F1047" s="66">
        <f>20.2802 * CHOOSE(CONTROL!$C$23, $C$12, 100%, $E$12)</f>
        <v>20.280200000000001</v>
      </c>
      <c r="G1047" s="66">
        <f>20.2851 * CHOOSE(CONTROL!$C$23, $C$12, 100%, $E$12)</f>
        <v>20.2851</v>
      </c>
      <c r="H1047" s="66">
        <f>38.285* CHOOSE(CONTROL!$C$23, $C$12, 100%, $E$12)</f>
        <v>38.284999999999997</v>
      </c>
      <c r="I1047" s="66">
        <f>38.2899 * CHOOSE(CONTROL!$C$23, $C$12, 100%, $E$12)</f>
        <v>38.289900000000003</v>
      </c>
      <c r="J1047" s="66">
        <f>38.285 * CHOOSE(CONTROL!$C$23, $C$12, 100%, $E$12)</f>
        <v>38.284999999999997</v>
      </c>
      <c r="K1047" s="66">
        <f>38.2899 * CHOOSE(CONTROL!$C$23, $C$12, 100%, $E$12)</f>
        <v>38.289900000000003</v>
      </c>
      <c r="L1047" s="66">
        <f>20.2802 * CHOOSE(CONTROL!$C$23, $C$12, 100%, $E$12)</f>
        <v>20.280200000000001</v>
      </c>
      <c r="M1047" s="66">
        <f>20.2851 * CHOOSE(CONTROL!$C$23, $C$12, 100%, $E$12)</f>
        <v>20.2851</v>
      </c>
      <c r="N1047" s="66">
        <f>20.2802 * CHOOSE(CONTROL!$C$23, $C$12, 100%, $E$12)</f>
        <v>20.280200000000001</v>
      </c>
      <c r="O1047" s="66">
        <f>20.2851 * CHOOSE(CONTROL!$C$23, $C$12, 100%, $E$12)</f>
        <v>20.2851</v>
      </c>
    </row>
    <row r="1048" spans="1:15" ht="15">
      <c r="A1048" s="13">
        <v>73051</v>
      </c>
      <c r="B1048" s="65">
        <f>18.0834 * CHOOSE(CONTROL!$C$23, $C$12, 100%, $E$12)</f>
        <v>18.083400000000001</v>
      </c>
      <c r="C1048" s="65">
        <f>18.0834 * CHOOSE(CONTROL!$C$23, $C$12, 100%, $E$12)</f>
        <v>18.083400000000001</v>
      </c>
      <c r="D1048" s="65">
        <f>18.0874 * CHOOSE(CONTROL!$C$23, $C$12, 100%, $E$12)</f>
        <v>18.087399999999999</v>
      </c>
      <c r="E1048" s="66">
        <f>20.3433 * CHOOSE(CONTROL!$C$23, $C$12, 100%, $E$12)</f>
        <v>20.343299999999999</v>
      </c>
      <c r="F1048" s="66">
        <f>20.3433 * CHOOSE(CONTROL!$C$23, $C$12, 100%, $E$12)</f>
        <v>20.343299999999999</v>
      </c>
      <c r="G1048" s="66">
        <f>20.3482 * CHOOSE(CONTROL!$C$23, $C$12, 100%, $E$12)</f>
        <v>20.348199999999999</v>
      </c>
      <c r="H1048" s="66">
        <f>37.901* CHOOSE(CONTROL!$C$23, $C$12, 100%, $E$12)</f>
        <v>37.901000000000003</v>
      </c>
      <c r="I1048" s="66">
        <f>37.906 * CHOOSE(CONTROL!$C$23, $C$12, 100%, $E$12)</f>
        <v>37.905999999999999</v>
      </c>
      <c r="J1048" s="66">
        <f>37.901 * CHOOSE(CONTROL!$C$23, $C$12, 100%, $E$12)</f>
        <v>37.901000000000003</v>
      </c>
      <c r="K1048" s="66">
        <f>37.906 * CHOOSE(CONTROL!$C$23, $C$12, 100%, $E$12)</f>
        <v>37.905999999999999</v>
      </c>
      <c r="L1048" s="66">
        <f>20.3433 * CHOOSE(CONTROL!$C$23, $C$12, 100%, $E$12)</f>
        <v>20.343299999999999</v>
      </c>
      <c r="M1048" s="66">
        <f>20.3482 * CHOOSE(CONTROL!$C$23, $C$12, 100%, $E$12)</f>
        <v>20.348199999999999</v>
      </c>
      <c r="N1048" s="66">
        <f>20.3433 * CHOOSE(CONTROL!$C$23, $C$12, 100%, $E$12)</f>
        <v>20.343299999999999</v>
      </c>
      <c r="O1048" s="66">
        <f>20.3482 * CHOOSE(CONTROL!$C$23, $C$12, 100%, $E$12)</f>
        <v>20.348199999999999</v>
      </c>
    </row>
    <row r="1049" spans="1:15" ht="15">
      <c r="A1049" s="13">
        <v>73082</v>
      </c>
      <c r="B1049" s="65">
        <f>18.0804 * CHOOSE(CONTROL!$C$23, $C$12, 100%, $E$12)</f>
        <v>18.080400000000001</v>
      </c>
      <c r="C1049" s="65">
        <f>18.0804 * CHOOSE(CONTROL!$C$23, $C$12, 100%, $E$12)</f>
        <v>18.080400000000001</v>
      </c>
      <c r="D1049" s="65">
        <f>18.0844 * CHOOSE(CONTROL!$C$23, $C$12, 100%, $E$12)</f>
        <v>18.084399999999999</v>
      </c>
      <c r="E1049" s="66">
        <f>19.9726 * CHOOSE(CONTROL!$C$23, $C$12, 100%, $E$12)</f>
        <v>19.9726</v>
      </c>
      <c r="F1049" s="66">
        <f>19.9726 * CHOOSE(CONTROL!$C$23, $C$12, 100%, $E$12)</f>
        <v>19.9726</v>
      </c>
      <c r="G1049" s="66">
        <f>19.9775 * CHOOSE(CONTROL!$C$23, $C$12, 100%, $E$12)</f>
        <v>19.977499999999999</v>
      </c>
      <c r="H1049" s="66">
        <f>37.98* CHOOSE(CONTROL!$C$23, $C$12, 100%, $E$12)</f>
        <v>37.979999999999997</v>
      </c>
      <c r="I1049" s="66">
        <f>37.9849 * CHOOSE(CONTROL!$C$23, $C$12, 100%, $E$12)</f>
        <v>37.984900000000003</v>
      </c>
      <c r="J1049" s="66">
        <f>37.98 * CHOOSE(CONTROL!$C$23, $C$12, 100%, $E$12)</f>
        <v>37.979999999999997</v>
      </c>
      <c r="K1049" s="66">
        <f>37.9849 * CHOOSE(CONTROL!$C$23, $C$12, 100%, $E$12)</f>
        <v>37.984900000000003</v>
      </c>
      <c r="L1049" s="66">
        <f>19.9726 * CHOOSE(CONTROL!$C$23, $C$12, 100%, $E$12)</f>
        <v>19.9726</v>
      </c>
      <c r="M1049" s="66">
        <f>19.9775 * CHOOSE(CONTROL!$C$23, $C$12, 100%, $E$12)</f>
        <v>19.977499999999999</v>
      </c>
      <c r="N1049" s="66">
        <f>19.9726 * CHOOSE(CONTROL!$C$23, $C$12, 100%, $E$12)</f>
        <v>19.9726</v>
      </c>
      <c r="O1049" s="66">
        <f>19.9775 * CHOOSE(CONTROL!$C$23, $C$12, 100%, $E$12)</f>
        <v>19.977499999999999</v>
      </c>
    </row>
    <row r="1050" spans="1:15" ht="15">
      <c r="A1050" s="13">
        <v>73110</v>
      </c>
      <c r="B1050" s="65">
        <f>18.0774 * CHOOSE(CONTROL!$C$23, $C$12, 100%, $E$12)</f>
        <v>18.077400000000001</v>
      </c>
      <c r="C1050" s="65">
        <f>18.0774 * CHOOSE(CONTROL!$C$23, $C$12, 100%, $E$12)</f>
        <v>18.077400000000001</v>
      </c>
      <c r="D1050" s="65">
        <f>18.0814 * CHOOSE(CONTROL!$C$23, $C$12, 100%, $E$12)</f>
        <v>18.081399999999999</v>
      </c>
      <c r="E1050" s="66">
        <f>20.261 * CHOOSE(CONTROL!$C$23, $C$12, 100%, $E$12)</f>
        <v>20.260999999999999</v>
      </c>
      <c r="F1050" s="66">
        <f>20.261 * CHOOSE(CONTROL!$C$23, $C$12, 100%, $E$12)</f>
        <v>20.260999999999999</v>
      </c>
      <c r="G1050" s="66">
        <f>20.266 * CHOOSE(CONTROL!$C$23, $C$12, 100%, $E$12)</f>
        <v>20.265999999999998</v>
      </c>
      <c r="H1050" s="66">
        <f>38.0591* CHOOSE(CONTROL!$C$23, $C$12, 100%, $E$12)</f>
        <v>38.059100000000001</v>
      </c>
      <c r="I1050" s="66">
        <f>38.064 * CHOOSE(CONTROL!$C$23, $C$12, 100%, $E$12)</f>
        <v>38.064</v>
      </c>
      <c r="J1050" s="66">
        <f>38.0591 * CHOOSE(CONTROL!$C$23, $C$12, 100%, $E$12)</f>
        <v>38.059100000000001</v>
      </c>
      <c r="K1050" s="66">
        <f>38.064 * CHOOSE(CONTROL!$C$23, $C$12, 100%, $E$12)</f>
        <v>38.064</v>
      </c>
      <c r="L1050" s="66">
        <f>20.261 * CHOOSE(CONTROL!$C$23, $C$12, 100%, $E$12)</f>
        <v>20.260999999999999</v>
      </c>
      <c r="M1050" s="66">
        <f>20.266 * CHOOSE(CONTROL!$C$23, $C$12, 100%, $E$12)</f>
        <v>20.265999999999998</v>
      </c>
      <c r="N1050" s="66">
        <f>20.261 * CHOOSE(CONTROL!$C$23, $C$12, 100%, $E$12)</f>
        <v>20.260999999999999</v>
      </c>
      <c r="O1050" s="66">
        <f>20.266 * CHOOSE(CONTROL!$C$23, $C$12, 100%, $E$12)</f>
        <v>20.265999999999998</v>
      </c>
    </row>
    <row r="1051" spans="1:15" ht="15">
      <c r="A1051" s="13">
        <v>73141</v>
      </c>
      <c r="B1051" s="65">
        <f>18.0868 * CHOOSE(CONTROL!$C$23, $C$12, 100%, $E$12)</f>
        <v>18.0868</v>
      </c>
      <c r="C1051" s="65">
        <f>18.0868 * CHOOSE(CONTROL!$C$23, $C$12, 100%, $E$12)</f>
        <v>18.0868</v>
      </c>
      <c r="D1051" s="65">
        <f>18.0908 * CHOOSE(CONTROL!$C$23, $C$12, 100%, $E$12)</f>
        <v>18.090800000000002</v>
      </c>
      <c r="E1051" s="66">
        <f>20.5688 * CHOOSE(CONTROL!$C$23, $C$12, 100%, $E$12)</f>
        <v>20.5688</v>
      </c>
      <c r="F1051" s="66">
        <f>20.5688 * CHOOSE(CONTROL!$C$23, $C$12, 100%, $E$12)</f>
        <v>20.5688</v>
      </c>
      <c r="G1051" s="66">
        <f>20.5737 * CHOOSE(CONTROL!$C$23, $C$12, 100%, $E$12)</f>
        <v>20.573699999999999</v>
      </c>
      <c r="H1051" s="66">
        <f>38.1384* CHOOSE(CONTROL!$C$23, $C$12, 100%, $E$12)</f>
        <v>38.138399999999997</v>
      </c>
      <c r="I1051" s="66">
        <f>38.1433 * CHOOSE(CONTROL!$C$23, $C$12, 100%, $E$12)</f>
        <v>38.143300000000004</v>
      </c>
      <c r="J1051" s="66">
        <f>38.1384 * CHOOSE(CONTROL!$C$23, $C$12, 100%, $E$12)</f>
        <v>38.138399999999997</v>
      </c>
      <c r="K1051" s="66">
        <f>38.1433 * CHOOSE(CONTROL!$C$23, $C$12, 100%, $E$12)</f>
        <v>38.143300000000004</v>
      </c>
      <c r="L1051" s="66">
        <f>20.5688 * CHOOSE(CONTROL!$C$23, $C$12, 100%, $E$12)</f>
        <v>20.5688</v>
      </c>
      <c r="M1051" s="66">
        <f>20.5737 * CHOOSE(CONTROL!$C$23, $C$12, 100%, $E$12)</f>
        <v>20.573699999999999</v>
      </c>
      <c r="N1051" s="66">
        <f>20.5688 * CHOOSE(CONTROL!$C$23, $C$12, 100%, $E$12)</f>
        <v>20.5688</v>
      </c>
      <c r="O1051" s="66">
        <f>20.5737 * CHOOSE(CONTROL!$C$23, $C$12, 100%, $E$12)</f>
        <v>20.573699999999999</v>
      </c>
    </row>
    <row r="1052" spans="1:15" ht="15">
      <c r="A1052" s="13">
        <v>73171</v>
      </c>
      <c r="B1052" s="65">
        <f>18.0868 * CHOOSE(CONTROL!$C$23, $C$12, 100%, $E$12)</f>
        <v>18.0868</v>
      </c>
      <c r="C1052" s="65">
        <f>18.0868 * CHOOSE(CONTROL!$C$23, $C$12, 100%, $E$12)</f>
        <v>18.0868</v>
      </c>
      <c r="D1052" s="65">
        <f>18.0924 * CHOOSE(CONTROL!$C$23, $C$12, 100%, $E$12)</f>
        <v>18.092400000000001</v>
      </c>
      <c r="E1052" s="66">
        <f>20.6858 * CHOOSE(CONTROL!$C$23, $C$12, 100%, $E$12)</f>
        <v>20.6858</v>
      </c>
      <c r="F1052" s="66">
        <f>20.6858 * CHOOSE(CONTROL!$C$23, $C$12, 100%, $E$12)</f>
        <v>20.6858</v>
      </c>
      <c r="G1052" s="66">
        <f>20.6927 * CHOOSE(CONTROL!$C$23, $C$12, 100%, $E$12)</f>
        <v>20.692699999999999</v>
      </c>
      <c r="H1052" s="66">
        <f>38.2179* CHOOSE(CONTROL!$C$23, $C$12, 100%, $E$12)</f>
        <v>38.2179</v>
      </c>
      <c r="I1052" s="66">
        <f>38.2248 * CHOOSE(CONTROL!$C$23, $C$12, 100%, $E$12)</f>
        <v>38.224800000000002</v>
      </c>
      <c r="J1052" s="66">
        <f>38.2179 * CHOOSE(CONTROL!$C$23, $C$12, 100%, $E$12)</f>
        <v>38.2179</v>
      </c>
      <c r="K1052" s="66">
        <f>38.2248 * CHOOSE(CONTROL!$C$23, $C$12, 100%, $E$12)</f>
        <v>38.224800000000002</v>
      </c>
      <c r="L1052" s="66">
        <f>20.6858 * CHOOSE(CONTROL!$C$23, $C$12, 100%, $E$12)</f>
        <v>20.6858</v>
      </c>
      <c r="M1052" s="66">
        <f>20.6927 * CHOOSE(CONTROL!$C$23, $C$12, 100%, $E$12)</f>
        <v>20.692699999999999</v>
      </c>
      <c r="N1052" s="66">
        <f>20.6858 * CHOOSE(CONTROL!$C$23, $C$12, 100%, $E$12)</f>
        <v>20.6858</v>
      </c>
      <c r="O1052" s="66">
        <f>20.6927 * CHOOSE(CONTROL!$C$23, $C$12, 100%, $E$12)</f>
        <v>20.692699999999999</v>
      </c>
    </row>
    <row r="1053" spans="1:15" ht="15">
      <c r="A1053" s="13">
        <v>73202</v>
      </c>
      <c r="B1053" s="65">
        <f>18.0928 * CHOOSE(CONTROL!$C$23, $C$12, 100%, $E$12)</f>
        <v>18.0928</v>
      </c>
      <c r="C1053" s="65">
        <f>18.0928 * CHOOSE(CONTROL!$C$23, $C$12, 100%, $E$12)</f>
        <v>18.0928</v>
      </c>
      <c r="D1053" s="65">
        <f>18.0985 * CHOOSE(CONTROL!$C$23, $C$12, 100%, $E$12)</f>
        <v>18.098500000000001</v>
      </c>
      <c r="E1053" s="66">
        <f>20.5731 * CHOOSE(CONTROL!$C$23, $C$12, 100%, $E$12)</f>
        <v>20.5731</v>
      </c>
      <c r="F1053" s="66">
        <f>20.5731 * CHOOSE(CONTROL!$C$23, $C$12, 100%, $E$12)</f>
        <v>20.5731</v>
      </c>
      <c r="G1053" s="66">
        <f>20.58 * CHOOSE(CONTROL!$C$23, $C$12, 100%, $E$12)</f>
        <v>20.58</v>
      </c>
      <c r="H1053" s="66">
        <f>38.2975* CHOOSE(CONTROL!$C$23, $C$12, 100%, $E$12)</f>
        <v>38.297499999999999</v>
      </c>
      <c r="I1053" s="66">
        <f>38.3044 * CHOOSE(CONTROL!$C$23, $C$12, 100%, $E$12)</f>
        <v>38.304400000000001</v>
      </c>
      <c r="J1053" s="66">
        <f>38.2975 * CHOOSE(CONTROL!$C$23, $C$12, 100%, $E$12)</f>
        <v>38.297499999999999</v>
      </c>
      <c r="K1053" s="66">
        <f>38.3044 * CHOOSE(CONTROL!$C$23, $C$12, 100%, $E$12)</f>
        <v>38.304400000000001</v>
      </c>
      <c r="L1053" s="66">
        <f>20.5731 * CHOOSE(CONTROL!$C$23, $C$12, 100%, $E$12)</f>
        <v>20.5731</v>
      </c>
      <c r="M1053" s="66">
        <f>20.58 * CHOOSE(CONTROL!$C$23, $C$12, 100%, $E$12)</f>
        <v>20.58</v>
      </c>
      <c r="N1053" s="66">
        <f>20.5731 * CHOOSE(CONTROL!$C$23, $C$12, 100%, $E$12)</f>
        <v>20.5731</v>
      </c>
      <c r="O1053" s="66">
        <f>20.58 * CHOOSE(CONTROL!$C$23, $C$12, 100%, $E$12)</f>
        <v>20.58</v>
      </c>
    </row>
    <row r="1054" spans="1:15" ht="15">
      <c r="A1054" s="13">
        <v>73232</v>
      </c>
      <c r="B1054" s="65">
        <f>18.3645 * CHOOSE(CONTROL!$C$23, $C$12, 100%, $E$12)</f>
        <v>18.3645</v>
      </c>
      <c r="C1054" s="65">
        <f>18.3645 * CHOOSE(CONTROL!$C$23, $C$12, 100%, $E$12)</f>
        <v>18.3645</v>
      </c>
      <c r="D1054" s="65">
        <f>18.3701 * CHOOSE(CONTROL!$C$23, $C$12, 100%, $E$12)</f>
        <v>18.370100000000001</v>
      </c>
      <c r="E1054" s="66">
        <f>20.897 * CHOOSE(CONTROL!$C$23, $C$12, 100%, $E$12)</f>
        <v>20.896999999999998</v>
      </c>
      <c r="F1054" s="66">
        <f>20.897 * CHOOSE(CONTROL!$C$23, $C$12, 100%, $E$12)</f>
        <v>20.896999999999998</v>
      </c>
      <c r="G1054" s="66">
        <f>20.9039 * CHOOSE(CONTROL!$C$23, $C$12, 100%, $E$12)</f>
        <v>20.9039</v>
      </c>
      <c r="H1054" s="66">
        <f>38.3773* CHOOSE(CONTROL!$C$23, $C$12, 100%, $E$12)</f>
        <v>38.377299999999998</v>
      </c>
      <c r="I1054" s="66">
        <f>38.3842 * CHOOSE(CONTROL!$C$23, $C$12, 100%, $E$12)</f>
        <v>38.3842</v>
      </c>
      <c r="J1054" s="66">
        <f>38.3773 * CHOOSE(CONTROL!$C$23, $C$12, 100%, $E$12)</f>
        <v>38.377299999999998</v>
      </c>
      <c r="K1054" s="66">
        <f>38.3842 * CHOOSE(CONTROL!$C$23, $C$12, 100%, $E$12)</f>
        <v>38.3842</v>
      </c>
      <c r="L1054" s="66">
        <f>20.897 * CHOOSE(CONTROL!$C$23, $C$12, 100%, $E$12)</f>
        <v>20.896999999999998</v>
      </c>
      <c r="M1054" s="66">
        <f>20.9039 * CHOOSE(CONTROL!$C$23, $C$12, 100%, $E$12)</f>
        <v>20.9039</v>
      </c>
      <c r="N1054" s="66">
        <f>20.897 * CHOOSE(CONTROL!$C$23, $C$12, 100%, $E$12)</f>
        <v>20.896999999999998</v>
      </c>
      <c r="O1054" s="66">
        <f>20.9039 * CHOOSE(CONTROL!$C$23, $C$12, 100%, $E$12)</f>
        <v>20.9039</v>
      </c>
    </row>
    <row r="1055" spans="1:15" ht="15">
      <c r="A1055" s="13">
        <v>73263</v>
      </c>
      <c r="B1055" s="65">
        <f>18.3712 * CHOOSE(CONTROL!$C$23, $C$12, 100%, $E$12)</f>
        <v>18.371200000000002</v>
      </c>
      <c r="C1055" s="65">
        <f>18.3712 * CHOOSE(CONTROL!$C$23, $C$12, 100%, $E$12)</f>
        <v>18.371200000000002</v>
      </c>
      <c r="D1055" s="65">
        <f>18.3768 * CHOOSE(CONTROL!$C$23, $C$12, 100%, $E$12)</f>
        <v>18.376799999999999</v>
      </c>
      <c r="E1055" s="66">
        <f>20.5507 * CHOOSE(CONTROL!$C$23, $C$12, 100%, $E$12)</f>
        <v>20.550699999999999</v>
      </c>
      <c r="F1055" s="66">
        <f>20.5507 * CHOOSE(CONTROL!$C$23, $C$12, 100%, $E$12)</f>
        <v>20.550699999999999</v>
      </c>
      <c r="G1055" s="66">
        <f>20.5576 * CHOOSE(CONTROL!$C$23, $C$12, 100%, $E$12)</f>
        <v>20.557600000000001</v>
      </c>
      <c r="H1055" s="66">
        <f>38.4572* CHOOSE(CONTROL!$C$23, $C$12, 100%, $E$12)</f>
        <v>38.4572</v>
      </c>
      <c r="I1055" s="66">
        <f>38.4641 * CHOOSE(CONTROL!$C$23, $C$12, 100%, $E$12)</f>
        <v>38.464100000000002</v>
      </c>
      <c r="J1055" s="66">
        <f>38.4572 * CHOOSE(CONTROL!$C$23, $C$12, 100%, $E$12)</f>
        <v>38.4572</v>
      </c>
      <c r="K1055" s="66">
        <f>38.4641 * CHOOSE(CONTROL!$C$23, $C$12, 100%, $E$12)</f>
        <v>38.464100000000002</v>
      </c>
      <c r="L1055" s="66">
        <f>20.5507 * CHOOSE(CONTROL!$C$23, $C$12, 100%, $E$12)</f>
        <v>20.550699999999999</v>
      </c>
      <c r="M1055" s="66">
        <f>20.5576 * CHOOSE(CONTROL!$C$23, $C$12, 100%, $E$12)</f>
        <v>20.557600000000001</v>
      </c>
      <c r="N1055" s="66">
        <f>20.5507 * CHOOSE(CONTROL!$C$23, $C$12, 100%, $E$12)</f>
        <v>20.550699999999999</v>
      </c>
      <c r="O1055" s="66">
        <f>20.5576 * CHOOSE(CONTROL!$C$23, $C$12, 100%, $E$12)</f>
        <v>20.557600000000001</v>
      </c>
    </row>
    <row r="1056" spans="1:15" ht="15">
      <c r="A1056" s="13">
        <v>73294</v>
      </c>
      <c r="B1056" s="65">
        <f>18.3681 * CHOOSE(CONTROL!$C$23, $C$12, 100%, $E$12)</f>
        <v>18.368099999999998</v>
      </c>
      <c r="C1056" s="65">
        <f>18.3681 * CHOOSE(CONTROL!$C$23, $C$12, 100%, $E$12)</f>
        <v>18.368099999999998</v>
      </c>
      <c r="D1056" s="65">
        <f>18.3738 * CHOOSE(CONTROL!$C$23, $C$12, 100%, $E$12)</f>
        <v>18.373799999999999</v>
      </c>
      <c r="E1056" s="66">
        <f>20.5095 * CHOOSE(CONTROL!$C$23, $C$12, 100%, $E$12)</f>
        <v>20.509499999999999</v>
      </c>
      <c r="F1056" s="66">
        <f>20.5095 * CHOOSE(CONTROL!$C$23, $C$12, 100%, $E$12)</f>
        <v>20.509499999999999</v>
      </c>
      <c r="G1056" s="66">
        <f>20.5164 * CHOOSE(CONTROL!$C$23, $C$12, 100%, $E$12)</f>
        <v>20.516400000000001</v>
      </c>
      <c r="H1056" s="66">
        <f>38.5373* CHOOSE(CONTROL!$C$23, $C$12, 100%, $E$12)</f>
        <v>38.537300000000002</v>
      </c>
      <c r="I1056" s="66">
        <f>38.5442 * CHOOSE(CONTROL!$C$23, $C$12, 100%, $E$12)</f>
        <v>38.544199999999996</v>
      </c>
      <c r="J1056" s="66">
        <f>38.5373 * CHOOSE(CONTROL!$C$23, $C$12, 100%, $E$12)</f>
        <v>38.537300000000002</v>
      </c>
      <c r="K1056" s="66">
        <f>38.5442 * CHOOSE(CONTROL!$C$23, $C$12, 100%, $E$12)</f>
        <v>38.544199999999996</v>
      </c>
      <c r="L1056" s="66">
        <f>20.5095 * CHOOSE(CONTROL!$C$23, $C$12, 100%, $E$12)</f>
        <v>20.509499999999999</v>
      </c>
      <c r="M1056" s="66">
        <f>20.5164 * CHOOSE(CONTROL!$C$23, $C$12, 100%, $E$12)</f>
        <v>20.516400000000001</v>
      </c>
      <c r="N1056" s="66">
        <f>20.5095 * CHOOSE(CONTROL!$C$23, $C$12, 100%, $E$12)</f>
        <v>20.509499999999999</v>
      </c>
      <c r="O1056" s="66">
        <f>20.5164 * CHOOSE(CONTROL!$C$23, $C$12, 100%, $E$12)</f>
        <v>20.516400000000001</v>
      </c>
    </row>
    <row r="1057" spans="1:15" ht="15">
      <c r="A1057" s="13">
        <v>73324</v>
      </c>
      <c r="B1057" s="65">
        <f>18.4093 * CHOOSE(CONTROL!$C$23, $C$12, 100%, $E$12)</f>
        <v>18.409300000000002</v>
      </c>
      <c r="C1057" s="65">
        <f>18.4093 * CHOOSE(CONTROL!$C$23, $C$12, 100%, $E$12)</f>
        <v>18.409300000000002</v>
      </c>
      <c r="D1057" s="65">
        <f>18.4133 * CHOOSE(CONTROL!$C$23, $C$12, 100%, $E$12)</f>
        <v>18.4133</v>
      </c>
      <c r="E1057" s="66">
        <f>20.6521 * CHOOSE(CONTROL!$C$23, $C$12, 100%, $E$12)</f>
        <v>20.652100000000001</v>
      </c>
      <c r="F1057" s="66">
        <f>20.6521 * CHOOSE(CONTROL!$C$23, $C$12, 100%, $E$12)</f>
        <v>20.652100000000001</v>
      </c>
      <c r="G1057" s="66">
        <f>20.6571 * CHOOSE(CONTROL!$C$23, $C$12, 100%, $E$12)</f>
        <v>20.6571</v>
      </c>
      <c r="H1057" s="66">
        <f>38.6176* CHOOSE(CONTROL!$C$23, $C$12, 100%, $E$12)</f>
        <v>38.617600000000003</v>
      </c>
      <c r="I1057" s="66">
        <f>38.6226 * CHOOSE(CONTROL!$C$23, $C$12, 100%, $E$12)</f>
        <v>38.622599999999998</v>
      </c>
      <c r="J1057" s="66">
        <f>38.6176 * CHOOSE(CONTROL!$C$23, $C$12, 100%, $E$12)</f>
        <v>38.617600000000003</v>
      </c>
      <c r="K1057" s="66">
        <f>38.6226 * CHOOSE(CONTROL!$C$23, $C$12, 100%, $E$12)</f>
        <v>38.622599999999998</v>
      </c>
      <c r="L1057" s="66">
        <f>20.6521 * CHOOSE(CONTROL!$C$23, $C$12, 100%, $E$12)</f>
        <v>20.652100000000001</v>
      </c>
      <c r="M1057" s="66">
        <f>20.6571 * CHOOSE(CONTROL!$C$23, $C$12, 100%, $E$12)</f>
        <v>20.6571</v>
      </c>
      <c r="N1057" s="66">
        <f>20.6521 * CHOOSE(CONTROL!$C$23, $C$12, 100%, $E$12)</f>
        <v>20.652100000000001</v>
      </c>
      <c r="O1057" s="66">
        <f>20.6571 * CHOOSE(CONTROL!$C$23, $C$12, 100%, $E$12)</f>
        <v>20.6571</v>
      </c>
    </row>
    <row r="1058" spans="1:15" ht="15">
      <c r="A1058" s="13">
        <v>73355</v>
      </c>
      <c r="B1058" s="65">
        <f>18.4123 * CHOOSE(CONTROL!$C$23, $C$12, 100%, $E$12)</f>
        <v>18.412299999999998</v>
      </c>
      <c r="C1058" s="65">
        <f>18.4123 * CHOOSE(CONTROL!$C$23, $C$12, 100%, $E$12)</f>
        <v>18.412299999999998</v>
      </c>
      <c r="D1058" s="65">
        <f>18.4163 * CHOOSE(CONTROL!$C$23, $C$12, 100%, $E$12)</f>
        <v>18.4163</v>
      </c>
      <c r="E1058" s="66">
        <f>20.7323 * CHOOSE(CONTROL!$C$23, $C$12, 100%, $E$12)</f>
        <v>20.732299999999999</v>
      </c>
      <c r="F1058" s="66">
        <f>20.7323 * CHOOSE(CONTROL!$C$23, $C$12, 100%, $E$12)</f>
        <v>20.732299999999999</v>
      </c>
      <c r="G1058" s="66">
        <f>20.7372 * CHOOSE(CONTROL!$C$23, $C$12, 100%, $E$12)</f>
        <v>20.737200000000001</v>
      </c>
      <c r="H1058" s="66">
        <f>38.6981* CHOOSE(CONTROL!$C$23, $C$12, 100%, $E$12)</f>
        <v>38.698099999999997</v>
      </c>
      <c r="I1058" s="66">
        <f>38.703 * CHOOSE(CONTROL!$C$23, $C$12, 100%, $E$12)</f>
        <v>38.703000000000003</v>
      </c>
      <c r="J1058" s="66">
        <f>38.6981 * CHOOSE(CONTROL!$C$23, $C$12, 100%, $E$12)</f>
        <v>38.698099999999997</v>
      </c>
      <c r="K1058" s="66">
        <f>38.703 * CHOOSE(CONTROL!$C$23, $C$12, 100%, $E$12)</f>
        <v>38.703000000000003</v>
      </c>
      <c r="L1058" s="66">
        <f>20.7323 * CHOOSE(CONTROL!$C$23, $C$12, 100%, $E$12)</f>
        <v>20.732299999999999</v>
      </c>
      <c r="M1058" s="66">
        <f>20.7372 * CHOOSE(CONTROL!$C$23, $C$12, 100%, $E$12)</f>
        <v>20.737200000000001</v>
      </c>
      <c r="N1058" s="66">
        <f>20.7323 * CHOOSE(CONTROL!$C$23, $C$12, 100%, $E$12)</f>
        <v>20.732299999999999</v>
      </c>
      <c r="O1058" s="66">
        <f>20.7372 * CHOOSE(CONTROL!$C$23, $C$12, 100%, $E$12)</f>
        <v>20.737200000000001</v>
      </c>
    </row>
    <row r="1059" spans="1:15" ht="15">
      <c r="A1059" s="13">
        <v>73385</v>
      </c>
      <c r="B1059" s="65">
        <f>18.4123 * CHOOSE(CONTROL!$C$23, $C$12, 100%, $E$12)</f>
        <v>18.412299999999998</v>
      </c>
      <c r="C1059" s="65">
        <f>18.4123 * CHOOSE(CONTROL!$C$23, $C$12, 100%, $E$12)</f>
        <v>18.412299999999998</v>
      </c>
      <c r="D1059" s="65">
        <f>18.4163 * CHOOSE(CONTROL!$C$23, $C$12, 100%, $E$12)</f>
        <v>18.4163</v>
      </c>
      <c r="E1059" s="66">
        <f>20.5373 * CHOOSE(CONTROL!$C$23, $C$12, 100%, $E$12)</f>
        <v>20.537299999999998</v>
      </c>
      <c r="F1059" s="66">
        <f>20.5373 * CHOOSE(CONTROL!$C$23, $C$12, 100%, $E$12)</f>
        <v>20.537299999999998</v>
      </c>
      <c r="G1059" s="66">
        <f>20.5422 * CHOOSE(CONTROL!$C$23, $C$12, 100%, $E$12)</f>
        <v>20.542200000000001</v>
      </c>
      <c r="H1059" s="66">
        <f>38.7787* CHOOSE(CONTROL!$C$23, $C$12, 100%, $E$12)</f>
        <v>38.778700000000001</v>
      </c>
      <c r="I1059" s="66">
        <f>38.7836 * CHOOSE(CONTROL!$C$23, $C$12, 100%, $E$12)</f>
        <v>38.7836</v>
      </c>
      <c r="J1059" s="66">
        <f>38.7787 * CHOOSE(CONTROL!$C$23, $C$12, 100%, $E$12)</f>
        <v>38.778700000000001</v>
      </c>
      <c r="K1059" s="66">
        <f>38.7836 * CHOOSE(CONTROL!$C$23, $C$12, 100%, $E$12)</f>
        <v>38.7836</v>
      </c>
      <c r="L1059" s="66">
        <f>20.5373 * CHOOSE(CONTROL!$C$23, $C$12, 100%, $E$12)</f>
        <v>20.537299999999998</v>
      </c>
      <c r="M1059" s="66">
        <f>20.5422 * CHOOSE(CONTROL!$C$23, $C$12, 100%, $E$12)</f>
        <v>20.542200000000001</v>
      </c>
      <c r="N1059" s="66">
        <f>20.5373 * CHOOSE(CONTROL!$C$23, $C$12, 100%, $E$12)</f>
        <v>20.537299999999998</v>
      </c>
      <c r="O1059" s="66">
        <f>20.5422 * CHOOSE(CONTROL!$C$23, $C$12, 100%, $E$12)</f>
        <v>20.542200000000001</v>
      </c>
    </row>
    <row r="1060" spans="1:15" ht="15">
      <c r="A1060" s="10"/>
      <c r="B1060" s="65"/>
      <c r="C1060" s="65"/>
      <c r="D1060" s="65"/>
      <c r="E1060" s="66"/>
      <c r="F1060" s="66"/>
      <c r="G1060" s="66"/>
      <c r="H1060" s="66"/>
      <c r="I1060" s="66"/>
      <c r="J1060" s="66"/>
      <c r="K1060" s="66"/>
      <c r="L1060" s="66"/>
      <c r="M1060" s="66"/>
      <c r="N1060" s="66"/>
      <c r="O1060" s="66"/>
    </row>
    <row r="1061" spans="1:15" ht="15">
      <c r="A1061" s="3">
        <v>2014</v>
      </c>
      <c r="B1061" s="65">
        <f t="shared" ref="B1061:O1061" si="0">AVERAGE(B16:B27)</f>
        <v>2.4184833333333331</v>
      </c>
      <c r="C1061" s="65">
        <f t="shared" si="0"/>
        <v>2.4063500000000002</v>
      </c>
      <c r="D1061" s="65">
        <f t="shared" si="0"/>
        <v>2.4110166666666664</v>
      </c>
      <c r="E1061" s="65">
        <f t="shared" si="0"/>
        <v>3.2984333333333336</v>
      </c>
      <c r="F1061" s="65">
        <f t="shared" si="0"/>
        <v>3.4486666666666661</v>
      </c>
      <c r="G1061" s="65">
        <f t="shared" si="0"/>
        <v>3.4613999999999994</v>
      </c>
      <c r="H1061" s="65">
        <f t="shared" si="0"/>
        <v>5.9680833333333352</v>
      </c>
      <c r="I1061" s="65">
        <f t="shared" si="0"/>
        <v>5.9808250000000003</v>
      </c>
      <c r="J1061" s="65">
        <f t="shared" si="0"/>
        <v>5.9680833333333352</v>
      </c>
      <c r="K1061" s="65">
        <f t="shared" si="0"/>
        <v>5.9808250000000003</v>
      </c>
      <c r="L1061" s="65">
        <f t="shared" si="0"/>
        <v>3.2984333333333336</v>
      </c>
      <c r="M1061" s="65">
        <f t="shared" si="0"/>
        <v>3.3111833333333336</v>
      </c>
      <c r="N1061" s="65">
        <f t="shared" si="0"/>
        <v>3.2984333333333336</v>
      </c>
      <c r="O1061" s="65">
        <f t="shared" si="0"/>
        <v>3.3111833333333336</v>
      </c>
    </row>
    <row r="1062" spans="1:15" ht="15">
      <c r="A1062" s="3">
        <v>2015</v>
      </c>
      <c r="B1062" s="65">
        <f t="shared" ref="B1062:O1062" si="1">AVERAGE(B28:B39)</f>
        <v>2.5009166666666673</v>
      </c>
      <c r="C1062" s="65">
        <f t="shared" si="1"/>
        <v>2.5282416666666667</v>
      </c>
      <c r="D1062" s="65">
        <f t="shared" si="1"/>
        <v>2.5329166666666669</v>
      </c>
      <c r="E1062" s="65">
        <f t="shared" si="1"/>
        <v>3.2090166666666664</v>
      </c>
      <c r="F1062" s="65">
        <f t="shared" si="1"/>
        <v>3.254</v>
      </c>
      <c r="G1062" s="65">
        <f t="shared" si="1"/>
        <v>3.2597333333333327</v>
      </c>
      <c r="H1062" s="65">
        <f t="shared" si="1"/>
        <v>6.1190083333333334</v>
      </c>
      <c r="I1062" s="65">
        <f t="shared" si="1"/>
        <v>6.1247499999999988</v>
      </c>
      <c r="J1062" s="65">
        <f t="shared" si="1"/>
        <v>6.1190083333333334</v>
      </c>
      <c r="K1062" s="65">
        <f t="shared" si="1"/>
        <v>6.1247499999999988</v>
      </c>
      <c r="L1062" s="65">
        <f t="shared" si="1"/>
        <v>3.2090166666666664</v>
      </c>
      <c r="M1062" s="65">
        <f t="shared" si="1"/>
        <v>3.2147583333333327</v>
      </c>
      <c r="N1062" s="65">
        <f t="shared" si="1"/>
        <v>3.2090166666666664</v>
      </c>
      <c r="O1062" s="65">
        <f t="shared" si="1"/>
        <v>3.2147583333333327</v>
      </c>
    </row>
    <row r="1063" spans="1:15" ht="15">
      <c r="A1063" s="3">
        <v>2016</v>
      </c>
      <c r="B1063" s="65">
        <f t="shared" ref="B1063:O1063" si="2">AVERAGE(B40:B51)</f>
        <v>2.8711249999999997</v>
      </c>
      <c r="C1063" s="65">
        <f t="shared" si="2"/>
        <v>2.8711249999999997</v>
      </c>
      <c r="D1063" s="65">
        <f t="shared" si="2"/>
        <v>2.8757833333333331</v>
      </c>
      <c r="E1063" s="65">
        <f t="shared" si="2"/>
        <v>3.3873333333333338</v>
      </c>
      <c r="F1063" s="65">
        <f t="shared" si="2"/>
        <v>3.4460000000000002</v>
      </c>
      <c r="G1063" s="65">
        <f t="shared" si="2"/>
        <v>3.4517333333333329</v>
      </c>
      <c r="H1063" s="65">
        <f t="shared" si="2"/>
        <v>6.2737333333333325</v>
      </c>
      <c r="I1063" s="65">
        <f t="shared" si="2"/>
        <v>6.2794750000000006</v>
      </c>
      <c r="J1063" s="65">
        <f t="shared" si="2"/>
        <v>6.2737333333333325</v>
      </c>
      <c r="K1063" s="65">
        <f t="shared" si="2"/>
        <v>6.2794750000000006</v>
      </c>
      <c r="L1063" s="65">
        <f t="shared" si="2"/>
        <v>3.3873333333333338</v>
      </c>
      <c r="M1063" s="65">
        <f t="shared" si="2"/>
        <v>3.393066666666666</v>
      </c>
      <c r="N1063" s="65">
        <f t="shared" si="2"/>
        <v>3.3873333333333338</v>
      </c>
      <c r="O1063" s="65">
        <f t="shared" si="2"/>
        <v>3.393066666666666</v>
      </c>
    </row>
    <row r="1064" spans="1:15" ht="15">
      <c r="A1064" s="3">
        <v>2017</v>
      </c>
      <c r="B1064" s="65">
        <f t="shared" ref="B1064:O1064" si="3">AVERAGE(B52:B63)</f>
        <v>3.0028000000000001</v>
      </c>
      <c r="C1064" s="65">
        <f t="shared" si="3"/>
        <v>3.0028000000000001</v>
      </c>
      <c r="D1064" s="65">
        <f t="shared" si="3"/>
        <v>3.0074833333333331</v>
      </c>
      <c r="E1064" s="65">
        <f t="shared" si="3"/>
        <v>3.5879916666666669</v>
      </c>
      <c r="F1064" s="65">
        <f t="shared" si="3"/>
        <v>3.5879916666666669</v>
      </c>
      <c r="G1064" s="65">
        <f t="shared" si="3"/>
        <v>3.5937250000000005</v>
      </c>
      <c r="H1064" s="65">
        <f t="shared" si="3"/>
        <v>6.4323833333333331</v>
      </c>
      <c r="I1064" s="65">
        <f t="shared" si="3"/>
        <v>6.4381416666666667</v>
      </c>
      <c r="J1064" s="65">
        <f t="shared" si="3"/>
        <v>6.4323833333333331</v>
      </c>
      <c r="K1064" s="65">
        <f t="shared" si="3"/>
        <v>6.4381416666666667</v>
      </c>
      <c r="L1064" s="65">
        <f t="shared" si="3"/>
        <v>3.5879916666666669</v>
      </c>
      <c r="M1064" s="65">
        <f t="shared" si="3"/>
        <v>3.5937250000000005</v>
      </c>
      <c r="N1064" s="65">
        <f t="shared" si="3"/>
        <v>3.5879916666666669</v>
      </c>
      <c r="O1064" s="65">
        <f t="shared" si="3"/>
        <v>3.5937250000000005</v>
      </c>
    </row>
    <row r="1065" spans="1:15" ht="15">
      <c r="A1065" s="3">
        <v>2018</v>
      </c>
      <c r="B1065" s="65">
        <f t="shared" ref="B1065:O1065" si="4">AVERAGE(B64:B75)</f>
        <v>3.1109000000000004</v>
      </c>
      <c r="C1065" s="65">
        <f t="shared" si="4"/>
        <v>3.1109000000000004</v>
      </c>
      <c r="D1065" s="65">
        <f t="shared" si="4"/>
        <v>3.1155666666666662</v>
      </c>
      <c r="E1065" s="65">
        <f t="shared" si="4"/>
        <v>3.7429000000000006</v>
      </c>
      <c r="F1065" s="65">
        <f t="shared" si="4"/>
        <v>3.7429000000000006</v>
      </c>
      <c r="G1065" s="65">
        <f t="shared" si="4"/>
        <v>3.7486333333333337</v>
      </c>
      <c r="H1065" s="65">
        <f t="shared" si="4"/>
        <v>6.5950499999999996</v>
      </c>
      <c r="I1065" s="65">
        <f t="shared" si="4"/>
        <v>6.6007916666666686</v>
      </c>
      <c r="J1065" s="65">
        <f t="shared" si="4"/>
        <v>6.5950499999999996</v>
      </c>
      <c r="K1065" s="65">
        <f t="shared" si="4"/>
        <v>6.6007916666666686</v>
      </c>
      <c r="L1065" s="65">
        <f t="shared" si="4"/>
        <v>3.7429000000000006</v>
      </c>
      <c r="M1065" s="65">
        <f t="shared" si="4"/>
        <v>3.7486333333333337</v>
      </c>
      <c r="N1065" s="65">
        <f t="shared" si="4"/>
        <v>3.7429000000000006</v>
      </c>
      <c r="O1065" s="65">
        <f t="shared" si="4"/>
        <v>3.7486333333333337</v>
      </c>
    </row>
    <row r="1066" spans="1:15" ht="15">
      <c r="A1066" s="3">
        <v>2019</v>
      </c>
      <c r="B1066" s="65">
        <f t="shared" ref="B1066:O1066" si="5">AVERAGE(B76:B87)</f>
        <v>3.1375166666666665</v>
      </c>
      <c r="C1066" s="65">
        <f t="shared" si="5"/>
        <v>3.1375166666666665</v>
      </c>
      <c r="D1066" s="65">
        <f t="shared" si="5"/>
        <v>3.1421916666666658</v>
      </c>
      <c r="E1066" s="65">
        <f t="shared" si="5"/>
        <v>3.8573833333333334</v>
      </c>
      <c r="F1066" s="65">
        <f t="shared" si="5"/>
        <v>3.8573833333333334</v>
      </c>
      <c r="G1066" s="65">
        <f t="shared" si="5"/>
        <v>3.8631416666666674</v>
      </c>
      <c r="H1066" s="65">
        <f t="shared" si="5"/>
        <v>6.7618333333333345</v>
      </c>
      <c r="I1066" s="65">
        <f t="shared" si="5"/>
        <v>6.7675750000000008</v>
      </c>
      <c r="J1066" s="65">
        <f t="shared" si="5"/>
        <v>6.7618333333333345</v>
      </c>
      <c r="K1066" s="65">
        <f t="shared" si="5"/>
        <v>6.7675750000000008</v>
      </c>
      <c r="L1066" s="65">
        <f t="shared" si="5"/>
        <v>3.8573833333333334</v>
      </c>
      <c r="M1066" s="65">
        <f t="shared" si="5"/>
        <v>3.8631416666666674</v>
      </c>
      <c r="N1066" s="65">
        <f t="shared" si="5"/>
        <v>3.8573833333333334</v>
      </c>
      <c r="O1066" s="65">
        <f t="shared" si="5"/>
        <v>3.8631416666666674</v>
      </c>
    </row>
    <row r="1067" spans="1:15" ht="15">
      <c r="A1067" s="3">
        <v>2020</v>
      </c>
      <c r="B1067" s="65">
        <f t="shared" ref="B1067:O1067" si="6">AVERAGE(B88:B99)</f>
        <v>3.1985999999999994</v>
      </c>
      <c r="C1067" s="65">
        <f t="shared" si="6"/>
        <v>3.1985999999999994</v>
      </c>
      <c r="D1067" s="65">
        <f t="shared" si="6"/>
        <v>3.2032833333333333</v>
      </c>
      <c r="E1067" s="65">
        <f t="shared" si="6"/>
        <v>3.7282833333333336</v>
      </c>
      <c r="F1067" s="65">
        <f t="shared" si="6"/>
        <v>3.7282833333333336</v>
      </c>
      <c r="G1067" s="65">
        <f t="shared" si="6"/>
        <v>3.7340416666666676</v>
      </c>
      <c r="H1067" s="65">
        <f t="shared" si="6"/>
        <v>6.9328250000000002</v>
      </c>
      <c r="I1067" s="65">
        <f t="shared" si="6"/>
        <v>6.9385833333333311</v>
      </c>
      <c r="J1067" s="65">
        <f t="shared" si="6"/>
        <v>6.9328250000000002</v>
      </c>
      <c r="K1067" s="65">
        <f t="shared" si="6"/>
        <v>6.9385833333333311</v>
      </c>
      <c r="L1067" s="65">
        <f t="shared" si="6"/>
        <v>3.7282833333333336</v>
      </c>
      <c r="M1067" s="65">
        <f t="shared" si="6"/>
        <v>3.7340416666666676</v>
      </c>
      <c r="N1067" s="65">
        <f t="shared" si="6"/>
        <v>3.7282833333333336</v>
      </c>
      <c r="O1067" s="65">
        <f t="shared" si="6"/>
        <v>3.7340416666666676</v>
      </c>
    </row>
    <row r="1068" spans="1:15" ht="15">
      <c r="A1068" s="3">
        <v>2021</v>
      </c>
      <c r="B1068" s="65">
        <f t="shared" ref="B1068:O1068" si="7">AVERAGE(B100:B111)</f>
        <v>3.2682833333333332</v>
      </c>
      <c r="C1068" s="65">
        <f t="shared" si="7"/>
        <v>3.2682833333333332</v>
      </c>
      <c r="D1068" s="65">
        <f t="shared" si="7"/>
        <v>3.272958333333333</v>
      </c>
      <c r="E1068" s="65">
        <f t="shared" si="7"/>
        <v>3.7707666666666668</v>
      </c>
      <c r="F1068" s="65">
        <f t="shared" si="7"/>
        <v>3.7707666666666668</v>
      </c>
      <c r="G1068" s="65">
        <f t="shared" si="7"/>
        <v>3.7765083333333336</v>
      </c>
      <c r="H1068" s="65">
        <f t="shared" si="7"/>
        <v>7.1081583333333329</v>
      </c>
      <c r="I1068" s="65">
        <f t="shared" si="7"/>
        <v>7.1139000000000001</v>
      </c>
      <c r="J1068" s="65">
        <f t="shared" si="7"/>
        <v>7.1081583333333329</v>
      </c>
      <c r="K1068" s="65">
        <f t="shared" si="7"/>
        <v>7.1139000000000001</v>
      </c>
      <c r="L1068" s="65">
        <f t="shared" si="7"/>
        <v>3.7707666666666668</v>
      </c>
      <c r="M1068" s="65">
        <f t="shared" si="7"/>
        <v>3.7765083333333336</v>
      </c>
      <c r="N1068" s="65">
        <f t="shared" si="7"/>
        <v>3.7707666666666668</v>
      </c>
      <c r="O1068" s="65">
        <f t="shared" si="7"/>
        <v>3.7765083333333336</v>
      </c>
    </row>
    <row r="1069" spans="1:15" ht="15">
      <c r="A1069" s="3">
        <v>2022</v>
      </c>
      <c r="B1069" s="65">
        <f t="shared" ref="B1069:O1069" si="8">AVERAGE(B112:B123)</f>
        <v>3.3391416666666669</v>
      </c>
      <c r="C1069" s="65">
        <f t="shared" si="8"/>
        <v>3.3391416666666669</v>
      </c>
      <c r="D1069" s="65">
        <f t="shared" si="8"/>
        <v>3.3438166666666667</v>
      </c>
      <c r="E1069" s="65">
        <f t="shared" si="8"/>
        <v>3.944116666666666</v>
      </c>
      <c r="F1069" s="65">
        <f t="shared" si="8"/>
        <v>3.944116666666666</v>
      </c>
      <c r="G1069" s="65">
        <f t="shared" si="8"/>
        <v>3.9498583333333328</v>
      </c>
      <c r="H1069" s="65">
        <f t="shared" si="8"/>
        <v>7.2878999999999996</v>
      </c>
      <c r="I1069" s="65">
        <f t="shared" si="8"/>
        <v>7.2936416666666659</v>
      </c>
      <c r="J1069" s="65">
        <f t="shared" si="8"/>
        <v>7.2878999999999996</v>
      </c>
      <c r="K1069" s="65">
        <f t="shared" si="8"/>
        <v>7.2936416666666659</v>
      </c>
      <c r="L1069" s="65">
        <f t="shared" si="8"/>
        <v>3.944116666666666</v>
      </c>
      <c r="M1069" s="65">
        <f t="shared" si="8"/>
        <v>3.9498583333333328</v>
      </c>
      <c r="N1069" s="65">
        <f t="shared" si="8"/>
        <v>3.944116666666666</v>
      </c>
      <c r="O1069" s="65">
        <f t="shared" si="8"/>
        <v>3.9498583333333328</v>
      </c>
    </row>
    <row r="1070" spans="1:15" ht="15">
      <c r="A1070" s="3">
        <v>2023</v>
      </c>
      <c r="B1070" s="65">
        <f t="shared" ref="B1070:O1070" si="9">AVERAGE(B124:B135)</f>
        <v>3.4119833333333336</v>
      </c>
      <c r="C1070" s="65">
        <f t="shared" si="9"/>
        <v>3.4119833333333336</v>
      </c>
      <c r="D1070" s="65">
        <f t="shared" si="9"/>
        <v>3.4166666666666665</v>
      </c>
      <c r="E1070" s="65">
        <f t="shared" si="9"/>
        <v>4.0709833333333334</v>
      </c>
      <c r="F1070" s="65">
        <f t="shared" si="9"/>
        <v>4.0709833333333334</v>
      </c>
      <c r="G1070" s="65">
        <f t="shared" si="9"/>
        <v>4.076741666666666</v>
      </c>
      <c r="H1070" s="65">
        <f t="shared" si="9"/>
        <v>7.4721999999999982</v>
      </c>
      <c r="I1070" s="65">
        <f t="shared" si="9"/>
        <v>7.4779583333333335</v>
      </c>
      <c r="J1070" s="65">
        <f t="shared" si="9"/>
        <v>7.4721999999999982</v>
      </c>
      <c r="K1070" s="65">
        <f t="shared" si="9"/>
        <v>7.4779583333333335</v>
      </c>
      <c r="L1070" s="65">
        <f t="shared" si="9"/>
        <v>4.0709833333333334</v>
      </c>
      <c r="M1070" s="65">
        <f t="shared" si="9"/>
        <v>4.076741666666666</v>
      </c>
      <c r="N1070" s="65">
        <f t="shared" si="9"/>
        <v>4.0709833333333334</v>
      </c>
      <c r="O1070" s="65">
        <f t="shared" si="9"/>
        <v>4.076741666666666</v>
      </c>
    </row>
    <row r="1071" spans="1:15" ht="15">
      <c r="A1071" s="3">
        <v>2024</v>
      </c>
      <c r="B1071" s="65">
        <f t="shared" ref="B1071:O1071" si="10">AVERAGE(B136:B147)</f>
        <v>3.4898833333333328</v>
      </c>
      <c r="C1071" s="65">
        <f t="shared" si="10"/>
        <v>3.4898833333333328</v>
      </c>
      <c r="D1071" s="65">
        <f t="shared" si="10"/>
        <v>3.4945583333333334</v>
      </c>
      <c r="E1071" s="65">
        <f t="shared" si="10"/>
        <v>4.1558083333333329</v>
      </c>
      <c r="F1071" s="65">
        <f t="shared" si="10"/>
        <v>4.1558083333333329</v>
      </c>
      <c r="G1071" s="65">
        <f t="shared" si="10"/>
        <v>4.1615416666666674</v>
      </c>
      <c r="H1071" s="65">
        <f t="shared" si="10"/>
        <v>7.6611750000000001</v>
      </c>
      <c r="I1071" s="65">
        <f t="shared" si="10"/>
        <v>7.6669083333333345</v>
      </c>
      <c r="J1071" s="65">
        <f t="shared" si="10"/>
        <v>7.6611750000000001</v>
      </c>
      <c r="K1071" s="65">
        <f t="shared" si="10"/>
        <v>7.6669083333333345</v>
      </c>
      <c r="L1071" s="65">
        <f t="shared" si="10"/>
        <v>4.1558083333333329</v>
      </c>
      <c r="M1071" s="65">
        <f t="shared" si="10"/>
        <v>4.1615416666666674</v>
      </c>
      <c r="N1071" s="65">
        <f t="shared" si="10"/>
        <v>4.1558083333333329</v>
      </c>
      <c r="O1071" s="65">
        <f t="shared" si="10"/>
        <v>4.1615416666666674</v>
      </c>
    </row>
    <row r="1072" spans="1:15" ht="15">
      <c r="A1072" s="3">
        <v>2025</v>
      </c>
      <c r="B1072" s="65">
        <f t="shared" ref="B1072:O1072" si="11">AVERAGE(B148:B159)</f>
        <v>3.5713666666666675</v>
      </c>
      <c r="C1072" s="65">
        <f t="shared" si="11"/>
        <v>3.5713666666666675</v>
      </c>
      <c r="D1072" s="65">
        <f t="shared" si="11"/>
        <v>3.5760416666666663</v>
      </c>
      <c r="E1072" s="65">
        <f t="shared" si="11"/>
        <v>4.2415750000000001</v>
      </c>
      <c r="F1072" s="65">
        <f t="shared" si="11"/>
        <v>4.2415750000000001</v>
      </c>
      <c r="G1072" s="65">
        <f t="shared" si="11"/>
        <v>4.247325</v>
      </c>
      <c r="H1072" s="65">
        <f t="shared" si="11"/>
        <v>7.8548999999999998</v>
      </c>
      <c r="I1072" s="65">
        <f t="shared" si="11"/>
        <v>7.8606499999999997</v>
      </c>
      <c r="J1072" s="65">
        <f t="shared" si="11"/>
        <v>7.8548999999999998</v>
      </c>
      <c r="K1072" s="65">
        <f t="shared" si="11"/>
        <v>7.8606499999999997</v>
      </c>
      <c r="L1072" s="65">
        <f t="shared" si="11"/>
        <v>4.2415750000000001</v>
      </c>
      <c r="M1072" s="65">
        <f t="shared" si="11"/>
        <v>4.247325</v>
      </c>
      <c r="N1072" s="65">
        <f t="shared" si="11"/>
        <v>4.2415750000000001</v>
      </c>
      <c r="O1072" s="65">
        <f t="shared" si="11"/>
        <v>4.247325</v>
      </c>
    </row>
    <row r="1073" spans="1:15" ht="15">
      <c r="A1073" s="3">
        <v>2026</v>
      </c>
      <c r="B1073" s="65">
        <f t="shared" ref="B1073:O1073" si="12">AVERAGE(B160:B171)</f>
        <v>3.6529916666666669</v>
      </c>
      <c r="C1073" s="65">
        <f t="shared" si="12"/>
        <v>3.6529916666666669</v>
      </c>
      <c r="D1073" s="65">
        <f t="shared" si="12"/>
        <v>3.6576749999999993</v>
      </c>
      <c r="E1073" s="65">
        <f t="shared" si="12"/>
        <v>4.3426083333333336</v>
      </c>
      <c r="F1073" s="65">
        <f t="shared" si="12"/>
        <v>4.3426083333333336</v>
      </c>
      <c r="G1073" s="65">
        <f t="shared" si="12"/>
        <v>4.3483583333333335</v>
      </c>
      <c r="H1073" s="65">
        <f t="shared" si="12"/>
        <v>8.0535333333333323</v>
      </c>
      <c r="I1073" s="65">
        <f t="shared" si="12"/>
        <v>8.0592833333333331</v>
      </c>
      <c r="J1073" s="65">
        <f t="shared" si="12"/>
        <v>8.0535333333333323</v>
      </c>
      <c r="K1073" s="65">
        <f t="shared" si="12"/>
        <v>8.0592833333333331</v>
      </c>
      <c r="L1073" s="65">
        <f t="shared" si="12"/>
        <v>4.3426083333333336</v>
      </c>
      <c r="M1073" s="65">
        <f t="shared" si="12"/>
        <v>4.3483583333333335</v>
      </c>
      <c r="N1073" s="65">
        <f t="shared" si="12"/>
        <v>4.3426083333333336</v>
      </c>
      <c r="O1073" s="65">
        <f t="shared" si="12"/>
        <v>4.3483583333333335</v>
      </c>
    </row>
    <row r="1074" spans="1:15" ht="15">
      <c r="A1074" s="3">
        <v>2027</v>
      </c>
      <c r="B1074" s="65">
        <f t="shared" ref="B1074:O1074" si="13">AVERAGE(B172:B183)</f>
        <v>3.7325916666666674</v>
      </c>
      <c r="C1074" s="65">
        <f t="shared" si="13"/>
        <v>3.7325916666666674</v>
      </c>
      <c r="D1074" s="65">
        <f t="shared" si="13"/>
        <v>3.7372499999999991</v>
      </c>
      <c r="E1074" s="65">
        <f t="shared" si="13"/>
        <v>4.4449999999999994</v>
      </c>
      <c r="F1074" s="65">
        <f t="shared" si="13"/>
        <v>4.4449999999999994</v>
      </c>
      <c r="G1074" s="65">
        <f t="shared" si="13"/>
        <v>4.4507416666666666</v>
      </c>
      <c r="H1074" s="65">
        <f t="shared" si="13"/>
        <v>8.2572166666666664</v>
      </c>
      <c r="I1074" s="65">
        <f t="shared" si="13"/>
        <v>8.26295</v>
      </c>
      <c r="J1074" s="65">
        <f t="shared" si="13"/>
        <v>8.2572166666666664</v>
      </c>
      <c r="K1074" s="65">
        <f t="shared" si="13"/>
        <v>8.26295</v>
      </c>
      <c r="L1074" s="65">
        <f t="shared" si="13"/>
        <v>4.4449999999999994</v>
      </c>
      <c r="M1074" s="65">
        <f t="shared" si="13"/>
        <v>4.4507416666666666</v>
      </c>
      <c r="N1074" s="65">
        <f t="shared" si="13"/>
        <v>4.4449999999999994</v>
      </c>
      <c r="O1074" s="65">
        <f t="shared" si="13"/>
        <v>4.4507416666666666</v>
      </c>
    </row>
    <row r="1075" spans="1:15" ht="15">
      <c r="A1075" s="3">
        <v>2028</v>
      </c>
      <c r="B1075" s="65">
        <f t="shared" ref="B1075:O1075" si="14">AVERAGE(B184:B195)</f>
        <v>3.8206500000000001</v>
      </c>
      <c r="C1075" s="65">
        <f t="shared" si="14"/>
        <v>3.8206500000000001</v>
      </c>
      <c r="D1075" s="65">
        <f t="shared" si="14"/>
        <v>3.8253333333333335</v>
      </c>
      <c r="E1075" s="65">
        <f t="shared" si="14"/>
        <v>4.5496749999999997</v>
      </c>
      <c r="F1075" s="65">
        <f t="shared" si="14"/>
        <v>4.5496749999999997</v>
      </c>
      <c r="G1075" s="65">
        <f t="shared" si="14"/>
        <v>4.5554250000000005</v>
      </c>
      <c r="H1075" s="65">
        <f t="shared" si="14"/>
        <v>8.4660416666666674</v>
      </c>
      <c r="I1075" s="65">
        <f t="shared" si="14"/>
        <v>8.4717749999999992</v>
      </c>
      <c r="J1075" s="65">
        <f t="shared" si="14"/>
        <v>8.4660416666666674</v>
      </c>
      <c r="K1075" s="65">
        <f t="shared" si="14"/>
        <v>8.4717749999999992</v>
      </c>
      <c r="L1075" s="65">
        <f t="shared" si="14"/>
        <v>4.5496749999999997</v>
      </c>
      <c r="M1075" s="65">
        <f t="shared" si="14"/>
        <v>4.5554250000000005</v>
      </c>
      <c r="N1075" s="65">
        <f t="shared" si="14"/>
        <v>4.5496749999999997</v>
      </c>
      <c r="O1075" s="65">
        <f t="shared" si="14"/>
        <v>4.5554250000000005</v>
      </c>
    </row>
    <row r="1076" spans="1:15" ht="15">
      <c r="A1076" s="3">
        <v>2029</v>
      </c>
      <c r="B1076" s="65">
        <f t="shared" ref="B1076:O1076" si="15">AVERAGE(B196:B207)</f>
        <v>3.9070166666666659</v>
      </c>
      <c r="C1076" s="65">
        <f t="shared" si="15"/>
        <v>3.9070166666666659</v>
      </c>
      <c r="D1076" s="65">
        <f t="shared" si="15"/>
        <v>3.9117000000000002</v>
      </c>
      <c r="E1076" s="65">
        <f t="shared" si="15"/>
        <v>4.6572416666666667</v>
      </c>
      <c r="F1076" s="65">
        <f t="shared" si="15"/>
        <v>4.6572416666666667</v>
      </c>
      <c r="G1076" s="65">
        <f t="shared" si="15"/>
        <v>4.6629916666666666</v>
      </c>
      <c r="H1076" s="65">
        <f t="shared" si="15"/>
        <v>8.6801083333333331</v>
      </c>
      <c r="I1076" s="65">
        <f t="shared" si="15"/>
        <v>8.6858583333333339</v>
      </c>
      <c r="J1076" s="65">
        <f t="shared" si="15"/>
        <v>8.6801083333333331</v>
      </c>
      <c r="K1076" s="65">
        <f t="shared" si="15"/>
        <v>8.6858583333333339</v>
      </c>
      <c r="L1076" s="65">
        <f t="shared" si="15"/>
        <v>4.6572416666666667</v>
      </c>
      <c r="M1076" s="65">
        <f t="shared" si="15"/>
        <v>4.6629916666666666</v>
      </c>
      <c r="N1076" s="65">
        <f t="shared" si="15"/>
        <v>4.6572416666666667</v>
      </c>
      <c r="O1076" s="65">
        <f t="shared" si="15"/>
        <v>4.6629916666666666</v>
      </c>
    </row>
    <row r="1077" spans="1:15" ht="15">
      <c r="A1077" s="3">
        <v>2030</v>
      </c>
      <c r="B1077" s="65">
        <f t="shared" ref="B1077:O1077" si="16">AVERAGE(B208:B219)</f>
        <v>3.998324999999999</v>
      </c>
      <c r="C1077" s="65">
        <f t="shared" si="16"/>
        <v>3.998324999999999</v>
      </c>
      <c r="D1077" s="65">
        <f t="shared" si="16"/>
        <v>4.0030000000000001</v>
      </c>
      <c r="E1077" s="65">
        <f t="shared" si="16"/>
        <v>4.7692916666666667</v>
      </c>
      <c r="F1077" s="65">
        <f t="shared" si="16"/>
        <v>4.7692916666666667</v>
      </c>
      <c r="G1077" s="65">
        <f t="shared" si="16"/>
        <v>4.7750250000000003</v>
      </c>
      <c r="H1077" s="65">
        <f t="shared" si="16"/>
        <v>8.8996166666666667</v>
      </c>
      <c r="I1077" s="65">
        <f t="shared" si="16"/>
        <v>8.9053500000000003</v>
      </c>
      <c r="J1077" s="65">
        <f t="shared" si="16"/>
        <v>8.8996166666666667</v>
      </c>
      <c r="K1077" s="65">
        <f t="shared" si="16"/>
        <v>8.9053500000000003</v>
      </c>
      <c r="L1077" s="65">
        <f t="shared" si="16"/>
        <v>4.7692916666666667</v>
      </c>
      <c r="M1077" s="65">
        <f t="shared" si="16"/>
        <v>4.7750250000000003</v>
      </c>
      <c r="N1077" s="65">
        <f t="shared" si="16"/>
        <v>4.7692916666666667</v>
      </c>
      <c r="O1077" s="65">
        <f t="shared" si="16"/>
        <v>4.7750250000000003</v>
      </c>
    </row>
    <row r="1078" spans="1:15" ht="15">
      <c r="A1078" s="3">
        <v>2031</v>
      </c>
      <c r="B1078" s="65">
        <f t="shared" ref="B1078:O1078" si="17">AVERAGE(B220:B231)</f>
        <v>4.0933833333333327</v>
      </c>
      <c r="C1078" s="65">
        <f t="shared" si="17"/>
        <v>4.0933833333333327</v>
      </c>
      <c r="D1078" s="65">
        <f t="shared" si="17"/>
        <v>4.0980583333333334</v>
      </c>
      <c r="E1078" s="65">
        <f t="shared" si="17"/>
        <v>4.915375</v>
      </c>
      <c r="F1078" s="65">
        <f t="shared" si="17"/>
        <v>4.915375</v>
      </c>
      <c r="G1078" s="65">
        <f t="shared" si="17"/>
        <v>4.9211166666666664</v>
      </c>
      <c r="H1078" s="65">
        <f t="shared" si="17"/>
        <v>9.1246750000000016</v>
      </c>
      <c r="I1078" s="65">
        <f t="shared" si="17"/>
        <v>9.1304083333333335</v>
      </c>
      <c r="J1078" s="65">
        <f t="shared" si="17"/>
        <v>9.1246750000000016</v>
      </c>
      <c r="K1078" s="65">
        <f t="shared" si="17"/>
        <v>9.1304083333333335</v>
      </c>
      <c r="L1078" s="65">
        <f t="shared" si="17"/>
        <v>4.915375</v>
      </c>
      <c r="M1078" s="65">
        <f t="shared" si="17"/>
        <v>4.9211166666666664</v>
      </c>
      <c r="N1078" s="65">
        <f t="shared" si="17"/>
        <v>4.915375</v>
      </c>
      <c r="O1078" s="65">
        <f t="shared" si="17"/>
        <v>4.9211166666666664</v>
      </c>
    </row>
    <row r="1079" spans="1:15" ht="15">
      <c r="A1079" s="3">
        <v>2032</v>
      </c>
      <c r="B1079" s="65">
        <f t="shared" ref="B1079:O1079" si="18">AVERAGE(B232:B243)</f>
        <v>4.1982249999999999</v>
      </c>
      <c r="C1079" s="65">
        <f t="shared" si="18"/>
        <v>4.1982249999999999</v>
      </c>
      <c r="D1079" s="65">
        <f t="shared" si="18"/>
        <v>4.2029000000000005</v>
      </c>
      <c r="E1079" s="65">
        <f t="shared" si="18"/>
        <v>5.0666166666666665</v>
      </c>
      <c r="F1079" s="65">
        <f t="shared" si="18"/>
        <v>5.0666166666666665</v>
      </c>
      <c r="G1079" s="65">
        <f t="shared" si="18"/>
        <v>5.0723583333333337</v>
      </c>
      <c r="H1079" s="65">
        <f t="shared" si="18"/>
        <v>9.3554250000000021</v>
      </c>
      <c r="I1079" s="65">
        <f t="shared" si="18"/>
        <v>9.3611583333333321</v>
      </c>
      <c r="J1079" s="65">
        <f t="shared" si="18"/>
        <v>9.3554250000000021</v>
      </c>
      <c r="K1079" s="65">
        <f t="shared" si="18"/>
        <v>9.3611583333333321</v>
      </c>
      <c r="L1079" s="65">
        <f t="shared" si="18"/>
        <v>5.0666166666666665</v>
      </c>
      <c r="M1079" s="65">
        <f t="shared" si="18"/>
        <v>5.0723583333333337</v>
      </c>
      <c r="N1079" s="65">
        <f t="shared" si="18"/>
        <v>5.0666166666666665</v>
      </c>
      <c r="O1079" s="65">
        <f t="shared" si="18"/>
        <v>5.0723583333333337</v>
      </c>
    </row>
    <row r="1080" spans="1:15" ht="15">
      <c r="A1080" s="3">
        <v>2033</v>
      </c>
      <c r="B1080" s="65">
        <f t="shared" ref="B1080:O1080" si="19">AVERAGE(B244:B255)</f>
        <v>4.3121749999999999</v>
      </c>
      <c r="C1080" s="65">
        <f t="shared" si="19"/>
        <v>4.3121749999999999</v>
      </c>
      <c r="D1080" s="65">
        <f t="shared" si="19"/>
        <v>4.3168583333333332</v>
      </c>
      <c r="E1080" s="65">
        <f t="shared" si="19"/>
        <v>5.2221833333333327</v>
      </c>
      <c r="F1080" s="65">
        <f t="shared" si="19"/>
        <v>5.2221833333333327</v>
      </c>
      <c r="G1080" s="65">
        <f t="shared" si="19"/>
        <v>5.2279416666666672</v>
      </c>
      <c r="H1080" s="65">
        <f t="shared" si="19"/>
        <v>9.5920166666666677</v>
      </c>
      <c r="I1080" s="65">
        <f t="shared" si="19"/>
        <v>9.5977499999999996</v>
      </c>
      <c r="J1080" s="65">
        <f t="shared" si="19"/>
        <v>9.5920166666666677</v>
      </c>
      <c r="K1080" s="65">
        <f t="shared" si="19"/>
        <v>9.5977499999999996</v>
      </c>
      <c r="L1080" s="65">
        <f t="shared" si="19"/>
        <v>5.2221833333333327</v>
      </c>
      <c r="M1080" s="65">
        <f t="shared" si="19"/>
        <v>5.2279416666666672</v>
      </c>
      <c r="N1080" s="65">
        <f t="shared" si="19"/>
        <v>5.2221833333333327</v>
      </c>
      <c r="O1080" s="65">
        <f t="shared" si="19"/>
        <v>5.2279416666666672</v>
      </c>
    </row>
    <row r="1081" spans="1:15" ht="15">
      <c r="A1081" s="3">
        <v>2034</v>
      </c>
      <c r="B1081" s="65">
        <f t="shared" ref="B1081:O1081" si="20">AVERAGE(B256:B267)</f>
        <v>4.4314749999999998</v>
      </c>
      <c r="C1081" s="65">
        <f t="shared" si="20"/>
        <v>4.4314749999999998</v>
      </c>
      <c r="D1081" s="65">
        <f t="shared" si="20"/>
        <v>4.4361500000000005</v>
      </c>
      <c r="E1081" s="65">
        <f t="shared" si="20"/>
        <v>5.3829916666666664</v>
      </c>
      <c r="F1081" s="65">
        <f t="shared" si="20"/>
        <v>5.3829916666666664</v>
      </c>
      <c r="G1081" s="65">
        <f t="shared" si="20"/>
        <v>5.388725</v>
      </c>
      <c r="H1081" s="65">
        <f t="shared" si="20"/>
        <v>9.8345833333333328</v>
      </c>
      <c r="I1081" s="65">
        <f t="shared" si="20"/>
        <v>9.8403333333333318</v>
      </c>
      <c r="J1081" s="65">
        <f t="shared" si="20"/>
        <v>9.8345833333333328</v>
      </c>
      <c r="K1081" s="65">
        <f t="shared" si="20"/>
        <v>9.8403333333333318</v>
      </c>
      <c r="L1081" s="65">
        <f t="shared" si="20"/>
        <v>5.3829916666666664</v>
      </c>
      <c r="M1081" s="65">
        <f t="shared" si="20"/>
        <v>5.388725</v>
      </c>
      <c r="N1081" s="65">
        <f t="shared" si="20"/>
        <v>5.3829916666666664</v>
      </c>
      <c r="O1081" s="65">
        <f t="shared" si="20"/>
        <v>5.388725</v>
      </c>
    </row>
    <row r="1082" spans="1:15" ht="15">
      <c r="A1082" s="3">
        <v>2035</v>
      </c>
      <c r="B1082" s="65">
        <f t="shared" ref="B1082:O1082" si="21">AVERAGE(B268:B279)</f>
        <v>4.5522083333333327</v>
      </c>
      <c r="C1082" s="65">
        <f t="shared" si="21"/>
        <v>4.5522083333333327</v>
      </c>
      <c r="D1082" s="65">
        <f t="shared" si="21"/>
        <v>4.5568833333333325</v>
      </c>
      <c r="E1082" s="65">
        <f t="shared" si="21"/>
        <v>5.5499833333333326</v>
      </c>
      <c r="F1082" s="65">
        <f t="shared" si="21"/>
        <v>5.5499833333333326</v>
      </c>
      <c r="G1082" s="65">
        <f t="shared" si="21"/>
        <v>5.5557083333333326</v>
      </c>
      <c r="H1082" s="65">
        <f t="shared" si="21"/>
        <v>10.083266666666667</v>
      </c>
      <c r="I1082" s="65">
        <f t="shared" si="21"/>
        <v>10.089024999999999</v>
      </c>
      <c r="J1082" s="65">
        <f t="shared" si="21"/>
        <v>10.083266666666667</v>
      </c>
      <c r="K1082" s="65">
        <f t="shared" si="21"/>
        <v>10.089024999999999</v>
      </c>
      <c r="L1082" s="65">
        <f t="shared" si="21"/>
        <v>5.5499833333333326</v>
      </c>
      <c r="M1082" s="65">
        <f t="shared" si="21"/>
        <v>5.5557083333333326</v>
      </c>
      <c r="N1082" s="65">
        <f t="shared" si="21"/>
        <v>5.5499833333333326</v>
      </c>
      <c r="O1082" s="65">
        <f t="shared" si="21"/>
        <v>5.5557083333333326</v>
      </c>
    </row>
    <row r="1083" spans="1:15" ht="15">
      <c r="A1083" s="3">
        <v>2036</v>
      </c>
      <c r="B1083" s="65">
        <f t="shared" ref="B1083:O1083" si="22">AVERAGE(B280:B291)</f>
        <v>4.6735916666666668</v>
      </c>
      <c r="C1083" s="65">
        <f t="shared" si="22"/>
        <v>4.6735916666666668</v>
      </c>
      <c r="D1083" s="65">
        <f t="shared" si="22"/>
        <v>4.6782666666666666</v>
      </c>
      <c r="E1083" s="65">
        <f t="shared" si="22"/>
        <v>5.7116166666666652</v>
      </c>
      <c r="F1083" s="65">
        <f t="shared" si="22"/>
        <v>5.7116166666666652</v>
      </c>
      <c r="G1083" s="65">
        <f t="shared" si="22"/>
        <v>5.717366666666666</v>
      </c>
      <c r="H1083" s="65">
        <f t="shared" si="22"/>
        <v>10.338275000000001</v>
      </c>
      <c r="I1083" s="65">
        <f t="shared" si="22"/>
        <v>10.344016666666667</v>
      </c>
      <c r="J1083" s="65">
        <f t="shared" si="22"/>
        <v>10.338275000000001</v>
      </c>
      <c r="K1083" s="65">
        <f t="shared" si="22"/>
        <v>10.344016666666667</v>
      </c>
      <c r="L1083" s="65">
        <f t="shared" si="22"/>
        <v>5.7116166666666652</v>
      </c>
      <c r="M1083" s="65">
        <f t="shared" si="22"/>
        <v>5.717366666666666</v>
      </c>
      <c r="N1083" s="65">
        <f t="shared" si="22"/>
        <v>5.7116166666666652</v>
      </c>
      <c r="O1083" s="65">
        <f t="shared" si="22"/>
        <v>5.717366666666666</v>
      </c>
    </row>
    <row r="1084" spans="1:15" ht="15">
      <c r="A1084" s="3">
        <v>2037</v>
      </c>
      <c r="B1084" s="65">
        <f t="shared" ref="B1084:O1084" si="23">AVERAGE(B292:B303)</f>
        <v>4.7968249999999992</v>
      </c>
      <c r="C1084" s="65">
        <f t="shared" si="23"/>
        <v>4.7968249999999992</v>
      </c>
      <c r="D1084" s="65">
        <f t="shared" si="23"/>
        <v>4.8014916666666663</v>
      </c>
      <c r="E1084" s="65">
        <f t="shared" si="23"/>
        <v>5.8677333333333328</v>
      </c>
      <c r="F1084" s="65">
        <f t="shared" si="23"/>
        <v>5.8677333333333328</v>
      </c>
      <c r="G1084" s="65">
        <f t="shared" si="23"/>
        <v>5.8734833333333327</v>
      </c>
      <c r="H1084" s="65">
        <f t="shared" si="23"/>
        <v>10.599708333333334</v>
      </c>
      <c r="I1084" s="65">
        <f t="shared" si="23"/>
        <v>10.605458333333333</v>
      </c>
      <c r="J1084" s="65">
        <f t="shared" si="23"/>
        <v>10.599708333333334</v>
      </c>
      <c r="K1084" s="65">
        <f t="shared" si="23"/>
        <v>10.605458333333333</v>
      </c>
      <c r="L1084" s="65">
        <f t="shared" si="23"/>
        <v>5.8677333333333328</v>
      </c>
      <c r="M1084" s="65">
        <f t="shared" si="23"/>
        <v>5.8734833333333327</v>
      </c>
      <c r="N1084" s="65">
        <f t="shared" si="23"/>
        <v>5.8677333333333328</v>
      </c>
      <c r="O1084" s="65">
        <f t="shared" si="23"/>
        <v>5.8734833333333327</v>
      </c>
    </row>
    <row r="1085" spans="1:15" ht="15">
      <c r="A1085" s="3">
        <v>2038</v>
      </c>
      <c r="B1085" s="65">
        <f t="shared" ref="B1085:O1085" si="24">AVERAGE(B304:B315)</f>
        <v>4.9241666666666664</v>
      </c>
      <c r="C1085" s="65">
        <f t="shared" si="24"/>
        <v>4.9241666666666664</v>
      </c>
      <c r="D1085" s="65">
        <f t="shared" si="24"/>
        <v>4.9288583333333325</v>
      </c>
      <c r="E1085" s="65">
        <f t="shared" si="24"/>
        <v>6.0242416666666658</v>
      </c>
      <c r="F1085" s="65">
        <f t="shared" si="24"/>
        <v>6.0242416666666658</v>
      </c>
      <c r="G1085" s="65">
        <f t="shared" si="24"/>
        <v>6.0299916666666666</v>
      </c>
      <c r="H1085" s="65">
        <f t="shared" si="24"/>
        <v>10.867766666666668</v>
      </c>
      <c r="I1085" s="65">
        <f t="shared" si="24"/>
        <v>10.8735</v>
      </c>
      <c r="J1085" s="65">
        <f t="shared" si="24"/>
        <v>10.867766666666668</v>
      </c>
      <c r="K1085" s="65">
        <f t="shared" si="24"/>
        <v>10.8735</v>
      </c>
      <c r="L1085" s="65">
        <f t="shared" si="24"/>
        <v>6.0242416666666658</v>
      </c>
      <c r="M1085" s="65">
        <f t="shared" si="24"/>
        <v>6.0299916666666666</v>
      </c>
      <c r="N1085" s="65">
        <f t="shared" si="24"/>
        <v>6.0242416666666658</v>
      </c>
      <c r="O1085" s="65">
        <f t="shared" si="24"/>
        <v>6.0299916666666666</v>
      </c>
    </row>
    <row r="1086" spans="1:15" ht="15">
      <c r="A1086" s="3">
        <v>2039</v>
      </c>
      <c r="B1086" s="65">
        <f t="shared" ref="B1086:O1086" si="25">AVERAGE(B316:B327)</f>
        <v>5.0543916666666666</v>
      </c>
      <c r="C1086" s="65">
        <f t="shared" si="25"/>
        <v>5.0543916666666666</v>
      </c>
      <c r="D1086" s="65">
        <f t="shared" si="25"/>
        <v>5.059075</v>
      </c>
      <c r="E1086" s="65">
        <f t="shared" si="25"/>
        <v>6.1721166666666667</v>
      </c>
      <c r="F1086" s="65">
        <f t="shared" si="25"/>
        <v>6.1721166666666667</v>
      </c>
      <c r="G1086" s="65">
        <f t="shared" si="25"/>
        <v>6.1778666666666666</v>
      </c>
      <c r="H1086" s="65">
        <f t="shared" si="25"/>
        <v>11.142583333333333</v>
      </c>
      <c r="I1086" s="65">
        <f t="shared" si="25"/>
        <v>11.148341666666667</v>
      </c>
      <c r="J1086" s="65">
        <f t="shared" si="25"/>
        <v>11.142583333333333</v>
      </c>
      <c r="K1086" s="65">
        <f t="shared" si="25"/>
        <v>11.148341666666667</v>
      </c>
      <c r="L1086" s="65">
        <f t="shared" si="25"/>
        <v>6.1721166666666667</v>
      </c>
      <c r="M1086" s="65">
        <f t="shared" si="25"/>
        <v>6.1778666666666666</v>
      </c>
      <c r="N1086" s="65">
        <f t="shared" si="25"/>
        <v>6.1721166666666667</v>
      </c>
      <c r="O1086" s="65">
        <f t="shared" si="25"/>
        <v>6.1778666666666666</v>
      </c>
    </row>
    <row r="1087" spans="1:15" ht="15">
      <c r="A1087" s="3">
        <v>2040</v>
      </c>
      <c r="B1087" s="65">
        <f t="shared" ref="B1087:O1087" si="26">AVERAGE(B328:B339)</f>
        <v>5.1875999999999998</v>
      </c>
      <c r="C1087" s="65">
        <f t="shared" si="26"/>
        <v>5.1875999999999998</v>
      </c>
      <c r="D1087" s="65">
        <f t="shared" si="26"/>
        <v>5.1922666666666659</v>
      </c>
      <c r="E1087" s="65">
        <f t="shared" si="26"/>
        <v>6.3228333333333326</v>
      </c>
      <c r="F1087" s="65">
        <f t="shared" si="26"/>
        <v>6.3228333333333326</v>
      </c>
      <c r="G1087" s="65">
        <f t="shared" si="26"/>
        <v>6.3285750000000007</v>
      </c>
      <c r="H1087" s="65">
        <f t="shared" si="26"/>
        <v>11.424391666666667</v>
      </c>
      <c r="I1087" s="65">
        <f t="shared" si="26"/>
        <v>11.430125000000002</v>
      </c>
      <c r="J1087" s="65">
        <f t="shared" si="26"/>
        <v>11.424391666666667</v>
      </c>
      <c r="K1087" s="65">
        <f t="shared" si="26"/>
        <v>11.430125000000002</v>
      </c>
      <c r="L1087" s="65">
        <f t="shared" si="26"/>
        <v>6.3228333333333326</v>
      </c>
      <c r="M1087" s="65">
        <f t="shared" si="26"/>
        <v>6.3285750000000007</v>
      </c>
      <c r="N1087" s="65">
        <f t="shared" si="26"/>
        <v>6.3228333333333326</v>
      </c>
      <c r="O1087" s="65">
        <f t="shared" si="26"/>
        <v>6.3285750000000007</v>
      </c>
    </row>
    <row r="1088" spans="1:15" ht="15">
      <c r="A1088" s="3">
        <v>2041</v>
      </c>
      <c r="B1088" s="65">
        <f t="shared" ref="B1088:O1088" si="27">AVERAGE(B340:B351)</f>
        <v>5.324349999999999</v>
      </c>
      <c r="C1088" s="65">
        <f t="shared" si="27"/>
        <v>5.324349999999999</v>
      </c>
      <c r="D1088" s="65">
        <f t="shared" si="27"/>
        <v>5.329016666666667</v>
      </c>
      <c r="E1088" s="65">
        <f t="shared" si="27"/>
        <v>6.4772500000000006</v>
      </c>
      <c r="F1088" s="65">
        <f t="shared" si="27"/>
        <v>6.4772500000000006</v>
      </c>
      <c r="G1088" s="65">
        <f t="shared" si="27"/>
        <v>6.4830083333333341</v>
      </c>
      <c r="H1088" s="65">
        <f t="shared" si="27"/>
        <v>11.713291666666668</v>
      </c>
      <c r="I1088" s="65">
        <f t="shared" si="27"/>
        <v>11.719025</v>
      </c>
      <c r="J1088" s="65">
        <f t="shared" si="27"/>
        <v>11.713291666666668</v>
      </c>
      <c r="K1088" s="65">
        <f t="shared" si="27"/>
        <v>11.719025</v>
      </c>
      <c r="L1088" s="65">
        <f t="shared" si="27"/>
        <v>6.4772500000000006</v>
      </c>
      <c r="M1088" s="65">
        <f t="shared" si="27"/>
        <v>6.4830083333333341</v>
      </c>
      <c r="N1088" s="65">
        <f t="shared" si="27"/>
        <v>6.4772500000000006</v>
      </c>
      <c r="O1088" s="65">
        <f t="shared" si="27"/>
        <v>6.4830083333333341</v>
      </c>
    </row>
    <row r="1089" spans="1:15" ht="15">
      <c r="A1089" s="3">
        <v>2042</v>
      </c>
      <c r="B1089" s="65">
        <f t="shared" ref="B1089:O1089" si="28">AVERAGE(B352:B363)</f>
        <v>5.4647166666666651</v>
      </c>
      <c r="C1089" s="65">
        <f t="shared" si="28"/>
        <v>5.4647166666666651</v>
      </c>
      <c r="D1089" s="65">
        <f t="shared" si="28"/>
        <v>5.4693916666666667</v>
      </c>
      <c r="E1089" s="65">
        <f t="shared" si="28"/>
        <v>6.6354583333333323</v>
      </c>
      <c r="F1089" s="65">
        <f t="shared" si="28"/>
        <v>6.6354583333333323</v>
      </c>
      <c r="G1089" s="65">
        <f t="shared" si="28"/>
        <v>6.6411999999999987</v>
      </c>
      <c r="H1089" s="65">
        <f t="shared" si="28"/>
        <v>12.009483333333334</v>
      </c>
      <c r="I1089" s="65">
        <f t="shared" si="28"/>
        <v>12.015216666666667</v>
      </c>
      <c r="J1089" s="65">
        <f t="shared" si="28"/>
        <v>12.009483333333334</v>
      </c>
      <c r="K1089" s="65">
        <f t="shared" si="28"/>
        <v>12.015216666666667</v>
      </c>
      <c r="L1089" s="65">
        <f t="shared" si="28"/>
        <v>6.6354583333333323</v>
      </c>
      <c r="M1089" s="65">
        <f t="shared" si="28"/>
        <v>6.6411999999999987</v>
      </c>
      <c r="N1089" s="65">
        <f t="shared" si="28"/>
        <v>6.6354583333333323</v>
      </c>
      <c r="O1089" s="65">
        <f t="shared" si="28"/>
        <v>6.6411999999999987</v>
      </c>
    </row>
    <row r="1090" spans="1:15" ht="15">
      <c r="A1090" s="3">
        <v>2043</v>
      </c>
      <c r="B1090" s="65">
        <f t="shared" ref="B1090:O1090" si="29">AVERAGE(B364:B375)</f>
        <v>5.6088500000000003</v>
      </c>
      <c r="C1090" s="65">
        <f t="shared" si="29"/>
        <v>5.6088500000000003</v>
      </c>
      <c r="D1090" s="65">
        <f t="shared" si="29"/>
        <v>5.6135166666666665</v>
      </c>
      <c r="E1090" s="65">
        <f t="shared" si="29"/>
        <v>6.7975583333333347</v>
      </c>
      <c r="F1090" s="65">
        <f t="shared" si="29"/>
        <v>6.7975583333333347</v>
      </c>
      <c r="G1090" s="65">
        <f t="shared" si="29"/>
        <v>6.8033000000000001</v>
      </c>
      <c r="H1090" s="65">
        <f t="shared" si="29"/>
        <v>12.313191666666667</v>
      </c>
      <c r="I1090" s="65">
        <f t="shared" si="29"/>
        <v>12.318925</v>
      </c>
      <c r="J1090" s="65">
        <f t="shared" si="29"/>
        <v>12.313191666666667</v>
      </c>
      <c r="K1090" s="65">
        <f t="shared" si="29"/>
        <v>12.318925</v>
      </c>
      <c r="L1090" s="65">
        <f t="shared" si="29"/>
        <v>6.7975583333333347</v>
      </c>
      <c r="M1090" s="65">
        <f t="shared" si="29"/>
        <v>6.8033000000000001</v>
      </c>
      <c r="N1090" s="65">
        <f t="shared" si="29"/>
        <v>6.7975583333333347</v>
      </c>
      <c r="O1090" s="65">
        <f t="shared" si="29"/>
        <v>6.8033000000000001</v>
      </c>
    </row>
    <row r="1091" spans="1:15" ht="15">
      <c r="A1091" s="3">
        <v>2044</v>
      </c>
      <c r="B1091" s="65">
        <f t="shared" ref="B1091:O1091" si="30">AVERAGE(B376:B387)</f>
        <v>5.7567750000000011</v>
      </c>
      <c r="C1091" s="65">
        <f t="shared" si="30"/>
        <v>5.7567750000000011</v>
      </c>
      <c r="D1091" s="65">
        <f t="shared" si="30"/>
        <v>5.7614666666666672</v>
      </c>
      <c r="E1091" s="65">
        <f t="shared" si="30"/>
        <v>6.9636083333333332</v>
      </c>
      <c r="F1091" s="65">
        <f t="shared" si="30"/>
        <v>6.9636083333333332</v>
      </c>
      <c r="G1091" s="65">
        <f t="shared" si="30"/>
        <v>6.9693583333333331</v>
      </c>
      <c r="H1091" s="65">
        <f t="shared" si="30"/>
        <v>12.624566666666666</v>
      </c>
      <c r="I1091" s="65">
        <f t="shared" si="30"/>
        <v>12.630308333333334</v>
      </c>
      <c r="J1091" s="65">
        <f t="shared" si="30"/>
        <v>12.624566666666666</v>
      </c>
      <c r="K1091" s="65">
        <f t="shared" si="30"/>
        <v>12.630308333333334</v>
      </c>
      <c r="L1091" s="65">
        <f t="shared" si="30"/>
        <v>6.9636083333333332</v>
      </c>
      <c r="M1091" s="65">
        <f t="shared" si="30"/>
        <v>6.9693583333333331</v>
      </c>
      <c r="N1091" s="65">
        <f t="shared" si="30"/>
        <v>6.9636083333333332</v>
      </c>
      <c r="O1091" s="65">
        <f t="shared" si="30"/>
        <v>6.9693583333333331</v>
      </c>
    </row>
    <row r="1092" spans="1:15" ht="15">
      <c r="A1092" s="3">
        <v>2045</v>
      </c>
      <c r="B1092" s="65">
        <f t="shared" ref="B1092:O1092" si="31">AVERAGE(B388:B399)</f>
        <v>5.9086583333333325</v>
      </c>
      <c r="C1092" s="65">
        <f t="shared" si="31"/>
        <v>5.9086583333333325</v>
      </c>
      <c r="D1092" s="65">
        <f t="shared" si="31"/>
        <v>5.913333333333334</v>
      </c>
      <c r="E1092" s="65">
        <f t="shared" si="31"/>
        <v>7.13375</v>
      </c>
      <c r="F1092" s="65">
        <f t="shared" si="31"/>
        <v>7.13375</v>
      </c>
      <c r="G1092" s="65">
        <f t="shared" si="31"/>
        <v>7.1394833333333336</v>
      </c>
      <c r="H1092" s="65">
        <f t="shared" si="31"/>
        <v>12.943816666666665</v>
      </c>
      <c r="I1092" s="65">
        <f t="shared" si="31"/>
        <v>12.949558333333334</v>
      </c>
      <c r="J1092" s="65">
        <f t="shared" si="31"/>
        <v>12.943816666666665</v>
      </c>
      <c r="K1092" s="65">
        <f t="shared" si="31"/>
        <v>12.949558333333334</v>
      </c>
      <c r="L1092" s="65">
        <f t="shared" si="31"/>
        <v>7.13375</v>
      </c>
      <c r="M1092" s="65">
        <f t="shared" si="31"/>
        <v>7.1394833333333336</v>
      </c>
      <c r="N1092" s="65">
        <f t="shared" si="31"/>
        <v>7.13375</v>
      </c>
      <c r="O1092" s="65">
        <f t="shared" si="31"/>
        <v>7.1394833333333336</v>
      </c>
    </row>
    <row r="1093" spans="1:15" ht="15">
      <c r="A1093" s="3">
        <v>2046</v>
      </c>
      <c r="B1093" s="65">
        <f t="shared" ref="B1093:O1093" si="32">AVERAGE(B400:B411)</f>
        <v>6.0645833333333341</v>
      </c>
      <c r="C1093" s="65">
        <f t="shared" si="32"/>
        <v>6.0645833333333341</v>
      </c>
      <c r="D1093" s="65">
        <f t="shared" si="32"/>
        <v>6.0692666666666675</v>
      </c>
      <c r="E1093" s="65">
        <f t="shared" si="32"/>
        <v>7.308083333333335</v>
      </c>
      <c r="F1093" s="65">
        <f t="shared" si="32"/>
        <v>7.308083333333335</v>
      </c>
      <c r="G1093" s="65">
        <f t="shared" si="32"/>
        <v>7.3138083333333341</v>
      </c>
      <c r="H1093" s="65">
        <f t="shared" si="32"/>
        <v>13.271141666666667</v>
      </c>
      <c r="I1093" s="65">
        <f t="shared" si="32"/>
        <v>13.27688333333333</v>
      </c>
      <c r="J1093" s="65">
        <f t="shared" si="32"/>
        <v>13.271141666666667</v>
      </c>
      <c r="K1093" s="65">
        <f t="shared" si="32"/>
        <v>13.27688333333333</v>
      </c>
      <c r="L1093" s="65">
        <f t="shared" si="32"/>
        <v>7.308083333333335</v>
      </c>
      <c r="M1093" s="65">
        <f t="shared" si="32"/>
        <v>7.3138083333333341</v>
      </c>
      <c r="N1093" s="65">
        <f t="shared" si="32"/>
        <v>7.308083333333335</v>
      </c>
      <c r="O1093" s="65">
        <f t="shared" si="32"/>
        <v>7.3138083333333341</v>
      </c>
    </row>
    <row r="1094" spans="1:15" ht="15">
      <c r="A1094" s="3">
        <v>2047</v>
      </c>
      <c r="B1094" s="65">
        <f t="shared" ref="B1094:O1094" si="33">AVERAGE(B412:B423)</f>
        <v>6.2246583333333332</v>
      </c>
      <c r="C1094" s="65">
        <f t="shared" si="33"/>
        <v>6.2246583333333332</v>
      </c>
      <c r="D1094" s="65">
        <f t="shared" si="33"/>
        <v>6.2293500000000002</v>
      </c>
      <c r="E1094" s="65">
        <f t="shared" si="33"/>
        <v>7.4866750000000009</v>
      </c>
      <c r="F1094" s="65">
        <f t="shared" si="33"/>
        <v>7.4866750000000009</v>
      </c>
      <c r="G1094" s="65">
        <f t="shared" si="33"/>
        <v>7.4924166666666672</v>
      </c>
      <c r="H1094" s="65">
        <f t="shared" si="33"/>
        <v>13.606758333333334</v>
      </c>
      <c r="I1094" s="65">
        <f t="shared" si="33"/>
        <v>13.612508333333333</v>
      </c>
      <c r="J1094" s="65">
        <f t="shared" si="33"/>
        <v>13.606758333333334</v>
      </c>
      <c r="K1094" s="65">
        <f t="shared" si="33"/>
        <v>13.612508333333333</v>
      </c>
      <c r="L1094" s="65">
        <f t="shared" si="33"/>
        <v>7.4866750000000009</v>
      </c>
      <c r="M1094" s="65">
        <f t="shared" si="33"/>
        <v>7.4924166666666672</v>
      </c>
      <c r="N1094" s="65">
        <f t="shared" si="33"/>
        <v>7.4866750000000009</v>
      </c>
      <c r="O1094" s="65">
        <f t="shared" si="33"/>
        <v>7.4924166666666672</v>
      </c>
    </row>
    <row r="1095" spans="1:15" ht="15">
      <c r="A1095" s="3">
        <v>2048</v>
      </c>
      <c r="B1095" s="65">
        <f t="shared" ref="B1095:O1095" si="34">AVERAGE(B424:B435)</f>
        <v>6.3890083333333338</v>
      </c>
      <c r="C1095" s="65">
        <f t="shared" si="34"/>
        <v>6.3890083333333338</v>
      </c>
      <c r="D1095" s="65">
        <f t="shared" si="34"/>
        <v>6.3936999999999991</v>
      </c>
      <c r="E1095" s="65">
        <f t="shared" si="34"/>
        <v>7.6696083333333327</v>
      </c>
      <c r="F1095" s="65">
        <f t="shared" si="34"/>
        <v>7.6696083333333327</v>
      </c>
      <c r="G1095" s="65">
        <f t="shared" si="34"/>
        <v>7.6753750000000016</v>
      </c>
      <c r="H1095" s="65">
        <f t="shared" si="34"/>
        <v>13.950850000000001</v>
      </c>
      <c r="I1095" s="65">
        <f t="shared" si="34"/>
        <v>13.9566</v>
      </c>
      <c r="J1095" s="65">
        <f t="shared" si="34"/>
        <v>13.950850000000001</v>
      </c>
      <c r="K1095" s="65">
        <f t="shared" si="34"/>
        <v>13.9566</v>
      </c>
      <c r="L1095" s="65">
        <f t="shared" si="34"/>
        <v>7.6696083333333327</v>
      </c>
      <c r="M1095" s="65">
        <f t="shared" si="34"/>
        <v>7.6753750000000016</v>
      </c>
      <c r="N1095" s="65">
        <f t="shared" si="34"/>
        <v>7.6696083333333327</v>
      </c>
      <c r="O1095" s="65">
        <f t="shared" si="34"/>
        <v>7.6753750000000016</v>
      </c>
    </row>
    <row r="1096" spans="1:15" ht="15">
      <c r="A1096" s="3">
        <v>2049</v>
      </c>
      <c r="B1096" s="65">
        <f t="shared" ref="B1096:O1096" si="35">AVERAGE(B436:B447)</f>
        <v>6.5577333333333323</v>
      </c>
      <c r="C1096" s="65">
        <f t="shared" si="35"/>
        <v>6.5577333333333323</v>
      </c>
      <c r="D1096" s="65">
        <f t="shared" si="35"/>
        <v>6.5624166666666675</v>
      </c>
      <c r="E1096" s="65">
        <f t="shared" si="35"/>
        <v>7.8570916666666655</v>
      </c>
      <c r="F1096" s="65">
        <f t="shared" si="35"/>
        <v>7.8570916666666655</v>
      </c>
      <c r="G1096" s="65">
        <f t="shared" si="35"/>
        <v>7.8628333333333336</v>
      </c>
      <c r="H1096" s="65">
        <f t="shared" si="35"/>
        <v>14.303650000000005</v>
      </c>
      <c r="I1096" s="65">
        <f t="shared" si="35"/>
        <v>14.309408333333336</v>
      </c>
      <c r="J1096" s="65">
        <f t="shared" si="35"/>
        <v>14.303650000000005</v>
      </c>
      <c r="K1096" s="65">
        <f t="shared" si="35"/>
        <v>14.309408333333336</v>
      </c>
      <c r="L1096" s="65">
        <f t="shared" si="35"/>
        <v>7.8570916666666655</v>
      </c>
      <c r="M1096" s="65">
        <f t="shared" si="35"/>
        <v>7.8628333333333336</v>
      </c>
      <c r="N1096" s="65">
        <f t="shared" si="35"/>
        <v>7.8570916666666655</v>
      </c>
      <c r="O1096" s="65">
        <f t="shared" si="35"/>
        <v>7.8628333333333336</v>
      </c>
    </row>
    <row r="1097" spans="1:15" ht="15">
      <c r="A1097" s="3">
        <v>2050</v>
      </c>
      <c r="B1097" s="65">
        <f t="shared" ref="B1097:O1097" si="36">AVERAGE(B448:B459)</f>
        <v>6.7309499999999991</v>
      </c>
      <c r="C1097" s="65">
        <f t="shared" si="36"/>
        <v>6.7309499999999991</v>
      </c>
      <c r="D1097" s="65">
        <f t="shared" si="36"/>
        <v>6.735641666666667</v>
      </c>
      <c r="E1097" s="65">
        <f t="shared" si="36"/>
        <v>8.0491666666666681</v>
      </c>
      <c r="F1097" s="65">
        <f t="shared" si="36"/>
        <v>8.0491666666666681</v>
      </c>
      <c r="G1097" s="65">
        <f t="shared" si="36"/>
        <v>8.0548916666666681</v>
      </c>
      <c r="H1097" s="65">
        <f t="shared" si="36"/>
        <v>14.665374999999999</v>
      </c>
      <c r="I1097" s="65">
        <f t="shared" si="36"/>
        <v>14.671099999999997</v>
      </c>
      <c r="J1097" s="65">
        <f t="shared" si="36"/>
        <v>14.665374999999999</v>
      </c>
      <c r="K1097" s="65">
        <f t="shared" si="36"/>
        <v>14.671099999999997</v>
      </c>
      <c r="L1097" s="65">
        <f t="shared" si="36"/>
        <v>8.0491666666666681</v>
      </c>
      <c r="M1097" s="65">
        <f t="shared" si="36"/>
        <v>8.0548916666666681</v>
      </c>
      <c r="N1097" s="65">
        <f t="shared" si="36"/>
        <v>8.0491666666666681</v>
      </c>
      <c r="O1097" s="65">
        <f t="shared" si="36"/>
        <v>8.0548916666666681</v>
      </c>
    </row>
    <row r="1098" spans="1:15" ht="15">
      <c r="A1098" s="3">
        <v>2051</v>
      </c>
      <c r="B1098" s="65">
        <f t="shared" ref="B1098:O1098" si="37">AVERAGE(B460:B471)</f>
        <v>6.9087916666666667</v>
      </c>
      <c r="C1098" s="65">
        <f t="shared" si="37"/>
        <v>6.9087916666666667</v>
      </c>
      <c r="D1098" s="65">
        <f t="shared" si="37"/>
        <v>6.9134583333333337</v>
      </c>
      <c r="E1098" s="65">
        <f t="shared" si="37"/>
        <v>8.2459583333333324</v>
      </c>
      <c r="F1098" s="65">
        <f t="shared" si="37"/>
        <v>8.2459583333333324</v>
      </c>
      <c r="G1098" s="65">
        <f t="shared" si="37"/>
        <v>8.2516750000000041</v>
      </c>
      <c r="H1098" s="65">
        <f t="shared" si="37"/>
        <v>15.036225000000002</v>
      </c>
      <c r="I1098" s="65">
        <f t="shared" si="37"/>
        <v>15.041966666666667</v>
      </c>
      <c r="J1098" s="65">
        <f t="shared" si="37"/>
        <v>15.036225000000002</v>
      </c>
      <c r="K1098" s="65">
        <f t="shared" si="37"/>
        <v>15.041966666666667</v>
      </c>
      <c r="L1098" s="65">
        <f t="shared" si="37"/>
        <v>8.2459583333333324</v>
      </c>
      <c r="M1098" s="65">
        <f t="shared" si="37"/>
        <v>8.2516750000000041</v>
      </c>
      <c r="N1098" s="65">
        <f t="shared" si="37"/>
        <v>8.2459583333333324</v>
      </c>
      <c r="O1098" s="65">
        <f t="shared" si="37"/>
        <v>8.2516750000000041</v>
      </c>
    </row>
    <row r="1099" spans="1:15" ht="15">
      <c r="A1099" s="3">
        <v>2052</v>
      </c>
      <c r="B1099" s="65">
        <f t="shared" ref="B1099:O1099" si="38">AVERAGE(B472:B483)</f>
        <v>7.0913833333333329</v>
      </c>
      <c r="C1099" s="65">
        <f t="shared" si="38"/>
        <v>7.0913833333333329</v>
      </c>
      <c r="D1099" s="65">
        <f t="shared" si="38"/>
        <v>7.0960583333333345</v>
      </c>
      <c r="E1099" s="65">
        <f t="shared" si="38"/>
        <v>8.4475583333333333</v>
      </c>
      <c r="F1099" s="65">
        <f t="shared" si="38"/>
        <v>8.4475583333333333</v>
      </c>
      <c r="G1099" s="65">
        <f t="shared" si="38"/>
        <v>8.4532916666666669</v>
      </c>
      <c r="H1099" s="65">
        <f t="shared" si="38"/>
        <v>15.416466666666667</v>
      </c>
      <c r="I1099" s="65">
        <f t="shared" si="38"/>
        <v>15.422208333333332</v>
      </c>
      <c r="J1099" s="65">
        <f t="shared" si="38"/>
        <v>15.416466666666667</v>
      </c>
      <c r="K1099" s="65">
        <f t="shared" si="38"/>
        <v>15.422208333333332</v>
      </c>
      <c r="L1099" s="65">
        <f t="shared" si="38"/>
        <v>8.4475583333333333</v>
      </c>
      <c r="M1099" s="65">
        <f t="shared" si="38"/>
        <v>8.4532916666666669</v>
      </c>
      <c r="N1099" s="65">
        <f t="shared" si="38"/>
        <v>8.4475583333333333</v>
      </c>
      <c r="O1099" s="65">
        <f t="shared" si="38"/>
        <v>8.4532916666666669</v>
      </c>
    </row>
    <row r="1100" spans="1:15" ht="15">
      <c r="A1100" s="3">
        <v>2053</v>
      </c>
      <c r="B1100" s="65">
        <f t="shared" ref="B1100:O1100" si="39">AVERAGE(B484:B495)</f>
        <v>7.2788166666666667</v>
      </c>
      <c r="C1100" s="65">
        <f t="shared" si="39"/>
        <v>7.2788166666666667</v>
      </c>
      <c r="D1100" s="65">
        <f t="shared" si="39"/>
        <v>7.2834999999999992</v>
      </c>
      <c r="E1100" s="65">
        <f t="shared" si="39"/>
        <v>8.6541250000000005</v>
      </c>
      <c r="F1100" s="65">
        <f t="shared" si="39"/>
        <v>8.6541250000000005</v>
      </c>
      <c r="G1100" s="65">
        <f t="shared" si="39"/>
        <v>8.6598583333333341</v>
      </c>
      <c r="H1100" s="65">
        <f t="shared" si="39"/>
        <v>15.806333333333335</v>
      </c>
      <c r="I1100" s="65">
        <f t="shared" si="39"/>
        <v>15.812075</v>
      </c>
      <c r="J1100" s="65">
        <f t="shared" si="39"/>
        <v>15.806333333333335</v>
      </c>
      <c r="K1100" s="65">
        <f t="shared" si="39"/>
        <v>15.812075</v>
      </c>
      <c r="L1100" s="65">
        <f t="shared" si="39"/>
        <v>8.6541250000000005</v>
      </c>
      <c r="M1100" s="65">
        <f t="shared" si="39"/>
        <v>8.6598583333333341</v>
      </c>
      <c r="N1100" s="65">
        <f t="shared" si="39"/>
        <v>8.6541250000000005</v>
      </c>
      <c r="O1100" s="65">
        <f t="shared" si="39"/>
        <v>8.6598583333333341</v>
      </c>
    </row>
    <row r="1101" spans="1:15" ht="15">
      <c r="A1101" s="3">
        <v>2054</v>
      </c>
      <c r="B1101" s="65">
        <f t="shared" ref="B1101:O1101" si="40">AVERAGE(B496:B507)</f>
        <v>7.4712500000000004</v>
      </c>
      <c r="C1101" s="65">
        <f t="shared" si="40"/>
        <v>7.4712500000000004</v>
      </c>
      <c r="D1101" s="65">
        <f t="shared" si="40"/>
        <v>7.4759416666666683</v>
      </c>
      <c r="E1101" s="65">
        <f t="shared" si="40"/>
        <v>8.8657833333333329</v>
      </c>
      <c r="F1101" s="65">
        <f t="shared" si="40"/>
        <v>8.8657833333333329</v>
      </c>
      <c r="G1101" s="65">
        <f t="shared" si="40"/>
        <v>8.8715083333333329</v>
      </c>
      <c r="H1101" s="65">
        <f t="shared" si="40"/>
        <v>16.206050000000001</v>
      </c>
      <c r="I1101" s="65">
        <f t="shared" si="40"/>
        <v>16.211791666666667</v>
      </c>
      <c r="J1101" s="65">
        <f t="shared" si="40"/>
        <v>16.206050000000001</v>
      </c>
      <c r="K1101" s="65">
        <f t="shared" si="40"/>
        <v>16.211791666666667</v>
      </c>
      <c r="L1101" s="65">
        <f t="shared" si="40"/>
        <v>8.8657833333333329</v>
      </c>
      <c r="M1101" s="65">
        <f t="shared" si="40"/>
        <v>8.8715083333333329</v>
      </c>
      <c r="N1101" s="65">
        <f t="shared" si="40"/>
        <v>8.8657833333333329</v>
      </c>
      <c r="O1101" s="65">
        <f t="shared" si="40"/>
        <v>8.8715083333333329</v>
      </c>
    </row>
    <row r="1102" spans="1:15" ht="15">
      <c r="A1102" s="3">
        <v>2055</v>
      </c>
      <c r="B1102" s="65">
        <f t="shared" ref="B1102:O1102" si="41">AVERAGE(B16:B519)</f>
        <v>4.7406188492063492</v>
      </c>
      <c r="C1102" s="65">
        <f t="shared" si="41"/>
        <v>4.7409805555555558</v>
      </c>
      <c r="D1102" s="65">
        <f t="shared" si="41"/>
        <v>4.74565753968254</v>
      </c>
      <c r="E1102" s="65">
        <f t="shared" si="41"/>
        <v>5.7063898809523801</v>
      </c>
      <c r="F1102" s="65">
        <f t="shared" si="41"/>
        <v>5.7124347222222216</v>
      </c>
      <c r="G1102" s="65">
        <f t="shared" si="41"/>
        <v>5.7183430555555592</v>
      </c>
      <c r="H1102" s="65">
        <f t="shared" si="41"/>
        <v>10.420703174603181</v>
      </c>
      <c r="I1102" s="65">
        <f t="shared" si="41"/>
        <v>10.426612301587305</v>
      </c>
      <c r="J1102" s="65">
        <f t="shared" si="41"/>
        <v>10.420703174603181</v>
      </c>
      <c r="K1102" s="65">
        <f t="shared" si="41"/>
        <v>10.426612301587305</v>
      </c>
      <c r="L1102" s="65">
        <f t="shared" si="41"/>
        <v>5.7063898809523801</v>
      </c>
      <c r="M1102" s="65">
        <f t="shared" si="41"/>
        <v>5.712298809523813</v>
      </c>
      <c r="N1102" s="65">
        <f t="shared" si="41"/>
        <v>5.7063898809523801</v>
      </c>
      <c r="O1102" s="65">
        <f t="shared" si="41"/>
        <v>5.712298809523813</v>
      </c>
    </row>
    <row r="1103" spans="1:15" ht="15">
      <c r="A1103" s="3">
        <v>2056</v>
      </c>
      <c r="B1103" s="65">
        <f t="shared" ref="B1103:O1103" si="42">AVERAGE(B520:B531)</f>
        <v>7.8716833333333343</v>
      </c>
      <c r="C1103" s="65">
        <f t="shared" si="42"/>
        <v>7.8716833333333343</v>
      </c>
      <c r="D1103" s="65">
        <f t="shared" si="42"/>
        <v>7.8763666666666659</v>
      </c>
      <c r="E1103" s="65">
        <f t="shared" si="42"/>
        <v>9.3047749999999994</v>
      </c>
      <c r="F1103" s="65">
        <f t="shared" si="42"/>
        <v>9.3047749999999994</v>
      </c>
      <c r="G1103" s="65">
        <f t="shared" si="42"/>
        <v>9.3105166666666683</v>
      </c>
      <c r="H1103" s="65">
        <f t="shared" si="42"/>
        <v>17.036058333333333</v>
      </c>
      <c r="I1103" s="65">
        <f t="shared" si="42"/>
        <v>17.041799999999999</v>
      </c>
      <c r="J1103" s="65">
        <f t="shared" si="42"/>
        <v>17.036058333333333</v>
      </c>
      <c r="K1103" s="65">
        <f t="shared" si="42"/>
        <v>17.041799999999999</v>
      </c>
      <c r="L1103" s="65">
        <f t="shared" si="42"/>
        <v>9.3047749999999994</v>
      </c>
      <c r="M1103" s="65">
        <f t="shared" si="42"/>
        <v>9.3105166666666683</v>
      </c>
      <c r="N1103" s="65">
        <f t="shared" si="42"/>
        <v>9.3047749999999994</v>
      </c>
      <c r="O1103" s="65">
        <f t="shared" si="42"/>
        <v>9.3105166666666683</v>
      </c>
    </row>
    <row r="1104" spans="1:15" ht="15">
      <c r="A1104" s="3">
        <v>2057</v>
      </c>
      <c r="B1104" s="65">
        <f t="shared" ref="B1104:O1104" si="43">AVERAGE(B532:B543)</f>
        <v>8.079958333333332</v>
      </c>
      <c r="C1104" s="65">
        <f t="shared" si="43"/>
        <v>8.079958333333332</v>
      </c>
      <c r="D1104" s="65">
        <f t="shared" si="43"/>
        <v>8.0846166666666672</v>
      </c>
      <c r="E1104" s="65">
        <f t="shared" si="43"/>
        <v>9.5323916666666673</v>
      </c>
      <c r="F1104" s="65">
        <f t="shared" si="43"/>
        <v>9.5323916666666673</v>
      </c>
      <c r="G1104" s="65">
        <f t="shared" si="43"/>
        <v>9.5381499999999999</v>
      </c>
      <c r="H1104" s="65">
        <f t="shared" si="43"/>
        <v>17.466874999999998</v>
      </c>
      <c r="I1104" s="65">
        <f t="shared" si="43"/>
        <v>17.472616666666671</v>
      </c>
      <c r="J1104" s="65">
        <f t="shared" si="43"/>
        <v>17.466874999999998</v>
      </c>
      <c r="K1104" s="65">
        <f t="shared" si="43"/>
        <v>17.472616666666671</v>
      </c>
      <c r="L1104" s="65">
        <f t="shared" si="43"/>
        <v>9.5323916666666673</v>
      </c>
      <c r="M1104" s="65">
        <f t="shared" si="43"/>
        <v>9.5381499999999999</v>
      </c>
      <c r="N1104" s="65">
        <f t="shared" si="43"/>
        <v>9.5323916666666673</v>
      </c>
      <c r="O1104" s="65">
        <f t="shared" si="43"/>
        <v>9.5381499999999999</v>
      </c>
    </row>
    <row r="1105" spans="1:15" ht="15">
      <c r="A1105" s="3">
        <v>2058</v>
      </c>
      <c r="B1105" s="65">
        <f t="shared" ref="B1105:O1105" si="44">AVERAGE(B544:B555)</f>
        <v>8.2937916666666691</v>
      </c>
      <c r="C1105" s="65">
        <f t="shared" si="44"/>
        <v>8.2937916666666691</v>
      </c>
      <c r="D1105" s="65">
        <f t="shared" si="44"/>
        <v>8.2984666666666662</v>
      </c>
      <c r="E1105" s="65">
        <f t="shared" si="44"/>
        <v>9.7656249999999982</v>
      </c>
      <c r="F1105" s="65">
        <f t="shared" si="44"/>
        <v>9.7656249999999982</v>
      </c>
      <c r="G1105" s="65">
        <f t="shared" si="44"/>
        <v>9.7713583333333336</v>
      </c>
      <c r="H1105" s="65">
        <f t="shared" si="44"/>
        <v>17.908583333333329</v>
      </c>
      <c r="I1105" s="65">
        <f t="shared" si="44"/>
        <v>17.914325000000002</v>
      </c>
      <c r="J1105" s="65">
        <f t="shared" si="44"/>
        <v>17.908583333333329</v>
      </c>
      <c r="K1105" s="65">
        <f t="shared" si="44"/>
        <v>17.914325000000002</v>
      </c>
      <c r="L1105" s="65">
        <f t="shared" si="44"/>
        <v>9.7656249999999982</v>
      </c>
      <c r="M1105" s="65">
        <f t="shared" si="44"/>
        <v>9.7713583333333336</v>
      </c>
      <c r="N1105" s="65">
        <f t="shared" si="44"/>
        <v>9.7656249999999982</v>
      </c>
      <c r="O1105" s="65">
        <f t="shared" si="44"/>
        <v>9.7713583333333336</v>
      </c>
    </row>
    <row r="1106" spans="1:15" ht="15">
      <c r="A1106" s="3">
        <v>2059</v>
      </c>
      <c r="B1106" s="65">
        <f t="shared" ref="B1106:O1106" si="45">AVERAGE(B556:B567)</f>
        <v>8.513325</v>
      </c>
      <c r="C1106" s="65">
        <f t="shared" si="45"/>
        <v>8.513325</v>
      </c>
      <c r="D1106" s="65">
        <f t="shared" si="45"/>
        <v>8.5180166666666661</v>
      </c>
      <c r="E1106" s="65">
        <f t="shared" si="45"/>
        <v>10.004574999999999</v>
      </c>
      <c r="F1106" s="65">
        <f t="shared" si="45"/>
        <v>10.004574999999999</v>
      </c>
      <c r="G1106" s="65">
        <f t="shared" si="45"/>
        <v>10.010299999999999</v>
      </c>
      <c r="H1106" s="65">
        <f t="shared" si="45"/>
        <v>18.361466666666665</v>
      </c>
      <c r="I1106" s="65">
        <f t="shared" si="45"/>
        <v>18.367216666666668</v>
      </c>
      <c r="J1106" s="65">
        <f t="shared" si="45"/>
        <v>18.361466666666665</v>
      </c>
      <c r="K1106" s="65">
        <f t="shared" si="45"/>
        <v>18.367216666666668</v>
      </c>
      <c r="L1106" s="65">
        <f t="shared" si="45"/>
        <v>10.004574999999999</v>
      </c>
      <c r="M1106" s="65">
        <f t="shared" si="45"/>
        <v>10.010299999999999</v>
      </c>
      <c r="N1106" s="65">
        <f t="shared" si="45"/>
        <v>10.004574999999999</v>
      </c>
      <c r="O1106" s="65">
        <f t="shared" si="45"/>
        <v>10.010299999999999</v>
      </c>
    </row>
    <row r="1107" spans="1:15" ht="15">
      <c r="A1107" s="3">
        <v>2060</v>
      </c>
      <c r="B1107" s="65">
        <f t="shared" ref="B1107:O1107" si="46">AVERAGE(B568:B579)</f>
        <v>8.738741666666666</v>
      </c>
      <c r="C1107" s="65">
        <f t="shared" si="46"/>
        <v>8.738741666666666</v>
      </c>
      <c r="D1107" s="65">
        <f t="shared" si="46"/>
        <v>8.7434166666666666</v>
      </c>
      <c r="E1107" s="65">
        <f t="shared" si="46"/>
        <v>10.249391666666666</v>
      </c>
      <c r="F1107" s="65">
        <f t="shared" si="46"/>
        <v>10.249391666666666</v>
      </c>
      <c r="G1107" s="65">
        <f t="shared" si="46"/>
        <v>10.255133333333335</v>
      </c>
      <c r="H1107" s="65">
        <f t="shared" si="46"/>
        <v>18.82578333333333</v>
      </c>
      <c r="I1107" s="65">
        <f t="shared" si="46"/>
        <v>18.831549999999996</v>
      </c>
      <c r="J1107" s="65">
        <f t="shared" si="46"/>
        <v>18.82578333333333</v>
      </c>
      <c r="K1107" s="65">
        <f t="shared" si="46"/>
        <v>18.831549999999996</v>
      </c>
      <c r="L1107" s="65">
        <f t="shared" si="46"/>
        <v>10.249391666666666</v>
      </c>
      <c r="M1107" s="65">
        <f t="shared" si="46"/>
        <v>10.255133333333335</v>
      </c>
      <c r="N1107" s="65">
        <f t="shared" si="46"/>
        <v>10.249391666666666</v>
      </c>
      <c r="O1107" s="65">
        <f t="shared" si="46"/>
        <v>10.255133333333335</v>
      </c>
    </row>
    <row r="1108" spans="1:15" ht="15">
      <c r="A1108" s="3">
        <v>2061</v>
      </c>
      <c r="B1108" s="65">
        <f t="shared" ref="B1108:O1108" si="47">AVERAGE(B580:B591)</f>
        <v>8.9701666666666657</v>
      </c>
      <c r="C1108" s="65">
        <f t="shared" si="47"/>
        <v>8.9701666666666657</v>
      </c>
      <c r="D1108" s="65">
        <f t="shared" si="47"/>
        <v>8.9748416666666664</v>
      </c>
      <c r="E1108" s="65">
        <f t="shared" si="47"/>
        <v>10.500225000000002</v>
      </c>
      <c r="F1108" s="65">
        <f t="shared" si="47"/>
        <v>10.500225000000002</v>
      </c>
      <c r="G1108" s="65">
        <f t="shared" si="47"/>
        <v>10.505983333333335</v>
      </c>
      <c r="H1108" s="65">
        <f t="shared" si="47"/>
        <v>19.301883333333333</v>
      </c>
      <c r="I1108" s="65">
        <f t="shared" si="47"/>
        <v>19.307616666666664</v>
      </c>
      <c r="J1108" s="65">
        <f t="shared" si="47"/>
        <v>19.301883333333333</v>
      </c>
      <c r="K1108" s="65">
        <f t="shared" si="47"/>
        <v>19.307616666666664</v>
      </c>
      <c r="L1108" s="65">
        <f t="shared" si="47"/>
        <v>10.500225000000002</v>
      </c>
      <c r="M1108" s="65">
        <f t="shared" si="47"/>
        <v>10.505983333333335</v>
      </c>
      <c r="N1108" s="65">
        <f t="shared" si="47"/>
        <v>10.500225000000002</v>
      </c>
      <c r="O1108" s="65">
        <f t="shared" si="47"/>
        <v>10.505983333333335</v>
      </c>
    </row>
    <row r="1109" spans="1:15" ht="15">
      <c r="A1109" s="3">
        <v>2062</v>
      </c>
      <c r="B1109" s="65">
        <f t="shared" ref="B1109:O1118" ca="1" si="48">AVERAGE(OFFSET(B$592,($A1109-$A$1109)*12,0,12,1))</f>
        <v>9.2077833333333352</v>
      </c>
      <c r="C1109" s="65">
        <f t="shared" ca="1" si="48"/>
        <v>9.2077833333333352</v>
      </c>
      <c r="D1109" s="65">
        <f t="shared" ca="1" si="48"/>
        <v>9.2124583333333323</v>
      </c>
      <c r="E1109" s="65">
        <f t="shared" ca="1" si="48"/>
        <v>10.757233333333332</v>
      </c>
      <c r="F1109" s="65">
        <f t="shared" ca="1" si="48"/>
        <v>10.757233333333332</v>
      </c>
      <c r="G1109" s="65">
        <f t="shared" ca="1" si="48"/>
        <v>10.762991666666666</v>
      </c>
      <c r="H1109" s="65">
        <f t="shared" ca="1" si="48"/>
        <v>19.790008333333336</v>
      </c>
      <c r="I1109" s="65">
        <f t="shared" ca="1" si="48"/>
        <v>19.795733333333335</v>
      </c>
      <c r="J1109" s="65">
        <f t="shared" ca="1" si="48"/>
        <v>19.790008333333336</v>
      </c>
      <c r="K1109" s="65">
        <f t="shared" ca="1" si="48"/>
        <v>19.795733333333335</v>
      </c>
      <c r="L1109" s="65">
        <f t="shared" ca="1" si="48"/>
        <v>10.757233333333332</v>
      </c>
      <c r="M1109" s="65">
        <f t="shared" ca="1" si="48"/>
        <v>10.762991666666666</v>
      </c>
      <c r="N1109" s="65">
        <f t="shared" ca="1" si="48"/>
        <v>10.757233333333332</v>
      </c>
      <c r="O1109" s="65">
        <f t="shared" ca="1" si="48"/>
        <v>10.762991666666666</v>
      </c>
    </row>
    <row r="1110" spans="1:15" ht="15">
      <c r="A1110" s="3">
        <v>2063</v>
      </c>
      <c r="B1110" s="65">
        <f t="shared" ca="1" si="48"/>
        <v>9.4453666666666667</v>
      </c>
      <c r="C1110" s="65">
        <f t="shared" ca="1" si="48"/>
        <v>9.4453666666666667</v>
      </c>
      <c r="D1110" s="65">
        <f t="shared" ca="1" si="48"/>
        <v>9.4500583333333346</v>
      </c>
      <c r="E1110" s="65">
        <f t="shared" ca="1" si="48"/>
        <v>11.014258333333332</v>
      </c>
      <c r="F1110" s="65">
        <f t="shared" ca="1" si="48"/>
        <v>11.014258333333332</v>
      </c>
      <c r="G1110" s="65">
        <f t="shared" ca="1" si="48"/>
        <v>11.020000000000001</v>
      </c>
      <c r="H1110" s="65">
        <f t="shared" ca="1" si="48"/>
        <v>20.278116666666669</v>
      </c>
      <c r="I1110" s="65">
        <f t="shared" ca="1" si="48"/>
        <v>20.283850000000001</v>
      </c>
      <c r="J1110" s="65">
        <f t="shared" ca="1" si="48"/>
        <v>20.278116666666669</v>
      </c>
      <c r="K1110" s="65">
        <f t="shared" ca="1" si="48"/>
        <v>20.283850000000001</v>
      </c>
      <c r="L1110" s="65">
        <f t="shared" ca="1" si="48"/>
        <v>11.014258333333332</v>
      </c>
      <c r="M1110" s="65">
        <f t="shared" ca="1" si="48"/>
        <v>11.020000000000001</v>
      </c>
      <c r="N1110" s="65">
        <f t="shared" ca="1" si="48"/>
        <v>11.014258333333332</v>
      </c>
      <c r="O1110" s="65">
        <f t="shared" ca="1" si="48"/>
        <v>11.020000000000001</v>
      </c>
    </row>
    <row r="1111" spans="1:15" ht="15">
      <c r="A1111" s="3">
        <v>2064</v>
      </c>
      <c r="B1111" s="65">
        <f t="shared" ca="1" si="48"/>
        <v>9.6830083333333334</v>
      </c>
      <c r="C1111" s="65">
        <f t="shared" ca="1" si="48"/>
        <v>9.6830083333333334</v>
      </c>
      <c r="D1111" s="65">
        <f t="shared" ca="1" si="48"/>
        <v>9.6876750000000005</v>
      </c>
      <c r="E1111" s="65">
        <f t="shared" ca="1" si="48"/>
        <v>11.271266666666667</v>
      </c>
      <c r="F1111" s="65">
        <f t="shared" ca="1" si="48"/>
        <v>11.271266666666667</v>
      </c>
      <c r="G1111" s="65">
        <f t="shared" ca="1" si="48"/>
        <v>11.277008333333333</v>
      </c>
      <c r="H1111" s="65">
        <f t="shared" ca="1" si="48"/>
        <v>20.766216666666665</v>
      </c>
      <c r="I1111" s="65">
        <f t="shared" ca="1" si="48"/>
        <v>20.771966666666668</v>
      </c>
      <c r="J1111" s="65">
        <f t="shared" ca="1" si="48"/>
        <v>20.766216666666665</v>
      </c>
      <c r="K1111" s="65">
        <f t="shared" ca="1" si="48"/>
        <v>20.771966666666668</v>
      </c>
      <c r="L1111" s="65">
        <f t="shared" ca="1" si="48"/>
        <v>11.271266666666667</v>
      </c>
      <c r="M1111" s="65">
        <f t="shared" ca="1" si="48"/>
        <v>11.277008333333333</v>
      </c>
      <c r="N1111" s="65">
        <f t="shared" ca="1" si="48"/>
        <v>11.271266666666667</v>
      </c>
      <c r="O1111" s="65">
        <f t="shared" ca="1" si="48"/>
        <v>11.277008333333333</v>
      </c>
    </row>
    <row r="1112" spans="1:15" ht="15">
      <c r="A1112" s="3">
        <v>2065</v>
      </c>
      <c r="B1112" s="65">
        <f t="shared" ca="1" si="48"/>
        <v>9.9206166666666658</v>
      </c>
      <c r="C1112" s="65">
        <f t="shared" ca="1" si="48"/>
        <v>9.9206166666666658</v>
      </c>
      <c r="D1112" s="65">
        <f t="shared" ca="1" si="48"/>
        <v>9.9252999999999982</v>
      </c>
      <c r="E1112" s="65">
        <f t="shared" ca="1" si="48"/>
        <v>11.528291666666666</v>
      </c>
      <c r="F1112" s="65">
        <f t="shared" ca="1" si="48"/>
        <v>11.528291666666666</v>
      </c>
      <c r="G1112" s="65">
        <f t="shared" ca="1" si="48"/>
        <v>11.534008333333334</v>
      </c>
      <c r="H1112" s="65">
        <f t="shared" ca="1" si="48"/>
        <v>21.254341666666665</v>
      </c>
      <c r="I1112" s="65">
        <f t="shared" ca="1" si="48"/>
        <v>21.260074999999997</v>
      </c>
      <c r="J1112" s="65">
        <f t="shared" ca="1" si="48"/>
        <v>21.254341666666665</v>
      </c>
      <c r="K1112" s="65">
        <f t="shared" ca="1" si="48"/>
        <v>21.260074999999997</v>
      </c>
      <c r="L1112" s="65">
        <f t="shared" ca="1" si="48"/>
        <v>11.528291666666666</v>
      </c>
      <c r="M1112" s="65">
        <f t="shared" ca="1" si="48"/>
        <v>11.534008333333334</v>
      </c>
      <c r="N1112" s="65">
        <f t="shared" ca="1" si="48"/>
        <v>11.528291666666666</v>
      </c>
      <c r="O1112" s="65">
        <f t="shared" ca="1" si="48"/>
        <v>11.534008333333334</v>
      </c>
    </row>
    <row r="1113" spans="1:15" ht="15">
      <c r="A1113" s="3">
        <v>2066</v>
      </c>
      <c r="B1113" s="65">
        <f t="shared" ca="1" si="48"/>
        <v>10.158233333333335</v>
      </c>
      <c r="C1113" s="65">
        <f t="shared" ca="1" si="48"/>
        <v>10.158233333333335</v>
      </c>
      <c r="D1113" s="65">
        <f t="shared" ca="1" si="48"/>
        <v>10.162916666666666</v>
      </c>
      <c r="E1113" s="65">
        <f t="shared" ca="1" si="48"/>
        <v>11.785283333333332</v>
      </c>
      <c r="F1113" s="65">
        <f t="shared" ca="1" si="48"/>
        <v>11.785283333333332</v>
      </c>
      <c r="G1113" s="65">
        <f t="shared" ca="1" si="48"/>
        <v>11.791041666666667</v>
      </c>
      <c r="H1113" s="65">
        <f t="shared" ca="1" si="48"/>
        <v>21.742450000000002</v>
      </c>
      <c r="I1113" s="65">
        <f t="shared" ca="1" si="48"/>
        <v>21.748200000000001</v>
      </c>
      <c r="J1113" s="65">
        <f t="shared" ca="1" si="48"/>
        <v>21.742450000000002</v>
      </c>
      <c r="K1113" s="65">
        <f t="shared" ca="1" si="48"/>
        <v>21.748200000000001</v>
      </c>
      <c r="L1113" s="65">
        <f t="shared" ca="1" si="48"/>
        <v>11.785283333333332</v>
      </c>
      <c r="M1113" s="65">
        <f t="shared" ca="1" si="48"/>
        <v>11.791041666666667</v>
      </c>
      <c r="N1113" s="65">
        <f t="shared" ca="1" si="48"/>
        <v>11.785283333333332</v>
      </c>
      <c r="O1113" s="65">
        <f t="shared" ca="1" si="48"/>
        <v>11.791041666666667</v>
      </c>
    </row>
    <row r="1114" spans="1:15" ht="15">
      <c r="A1114" s="3">
        <v>2067</v>
      </c>
      <c r="B1114" s="65">
        <f t="shared" ca="1" si="48"/>
        <v>10.395849999999998</v>
      </c>
      <c r="C1114" s="65">
        <f t="shared" ca="1" si="48"/>
        <v>10.395849999999998</v>
      </c>
      <c r="D1114" s="65">
        <f t="shared" ca="1" si="48"/>
        <v>10.400525</v>
      </c>
      <c r="E1114" s="65">
        <f t="shared" ca="1" si="48"/>
        <v>12.042299999999999</v>
      </c>
      <c r="F1114" s="65">
        <f t="shared" ca="1" si="48"/>
        <v>12.042299999999999</v>
      </c>
      <c r="G1114" s="65">
        <f t="shared" ca="1" si="48"/>
        <v>12.048049999999998</v>
      </c>
      <c r="H1114" s="65">
        <f t="shared" ca="1" si="48"/>
        <v>22.230574999999998</v>
      </c>
      <c r="I1114" s="65">
        <f t="shared" ca="1" si="48"/>
        <v>22.23630833333333</v>
      </c>
      <c r="J1114" s="65">
        <f t="shared" ca="1" si="48"/>
        <v>22.230574999999998</v>
      </c>
      <c r="K1114" s="65">
        <f t="shared" ca="1" si="48"/>
        <v>22.23630833333333</v>
      </c>
      <c r="L1114" s="65">
        <f t="shared" ca="1" si="48"/>
        <v>12.042299999999999</v>
      </c>
      <c r="M1114" s="65">
        <f t="shared" ca="1" si="48"/>
        <v>12.048049999999998</v>
      </c>
      <c r="N1114" s="65">
        <f t="shared" ca="1" si="48"/>
        <v>12.042299999999999</v>
      </c>
      <c r="O1114" s="65">
        <f t="shared" ca="1" si="48"/>
        <v>12.048049999999998</v>
      </c>
    </row>
    <row r="1115" spans="1:15" ht="15">
      <c r="A1115" s="3">
        <v>2068</v>
      </c>
      <c r="B1115" s="65">
        <f t="shared" ca="1" si="48"/>
        <v>10.633449999999998</v>
      </c>
      <c r="C1115" s="65">
        <f t="shared" ca="1" si="48"/>
        <v>10.633449999999998</v>
      </c>
      <c r="D1115" s="65">
        <f t="shared" ca="1" si="48"/>
        <v>10.638141666666669</v>
      </c>
      <c r="E1115" s="65">
        <f t="shared" ca="1" si="48"/>
        <v>12.299291666666669</v>
      </c>
      <c r="F1115" s="65">
        <f t="shared" ca="1" si="48"/>
        <v>12.299291666666669</v>
      </c>
      <c r="G1115" s="65">
        <f t="shared" ca="1" si="48"/>
        <v>12.305041666666668</v>
      </c>
      <c r="H1115" s="65">
        <f t="shared" ca="1" si="48"/>
        <v>22.718675000000001</v>
      </c>
      <c r="I1115" s="65">
        <f t="shared" ca="1" si="48"/>
        <v>22.72441666666667</v>
      </c>
      <c r="J1115" s="65">
        <f t="shared" ca="1" si="48"/>
        <v>22.718675000000001</v>
      </c>
      <c r="K1115" s="65">
        <f t="shared" ca="1" si="48"/>
        <v>22.72441666666667</v>
      </c>
      <c r="L1115" s="65">
        <f t="shared" ca="1" si="48"/>
        <v>12.299291666666669</v>
      </c>
      <c r="M1115" s="65">
        <f t="shared" ca="1" si="48"/>
        <v>12.305041666666668</v>
      </c>
      <c r="N1115" s="65">
        <f t="shared" ca="1" si="48"/>
        <v>12.299291666666669</v>
      </c>
      <c r="O1115" s="65">
        <f t="shared" ca="1" si="48"/>
        <v>12.305041666666668</v>
      </c>
    </row>
    <row r="1116" spans="1:15" ht="15">
      <c r="A1116" s="3">
        <v>2069</v>
      </c>
      <c r="B1116" s="65">
        <f t="shared" ca="1" si="48"/>
        <v>10.871066666666664</v>
      </c>
      <c r="C1116" s="65">
        <f t="shared" ca="1" si="48"/>
        <v>10.871066666666664</v>
      </c>
      <c r="D1116" s="65">
        <f t="shared" ca="1" si="48"/>
        <v>10.875741666666665</v>
      </c>
      <c r="E1116" s="65">
        <f t="shared" ca="1" si="48"/>
        <v>12.556333333333333</v>
      </c>
      <c r="F1116" s="65">
        <f t="shared" ca="1" si="48"/>
        <v>12.556333333333333</v>
      </c>
      <c r="G1116" s="65">
        <f t="shared" ca="1" si="48"/>
        <v>12.562075000000002</v>
      </c>
      <c r="H1116" s="65">
        <f t="shared" ca="1" si="48"/>
        <v>23.206800000000001</v>
      </c>
      <c r="I1116" s="65">
        <f t="shared" ca="1" si="48"/>
        <v>23.212541666666667</v>
      </c>
      <c r="J1116" s="65">
        <f t="shared" ca="1" si="48"/>
        <v>23.206800000000001</v>
      </c>
      <c r="K1116" s="65">
        <f t="shared" ca="1" si="48"/>
        <v>23.212541666666667</v>
      </c>
      <c r="L1116" s="65">
        <f t="shared" ca="1" si="48"/>
        <v>12.556333333333333</v>
      </c>
      <c r="M1116" s="65">
        <f t="shared" ca="1" si="48"/>
        <v>12.562075000000002</v>
      </c>
      <c r="N1116" s="65">
        <f t="shared" ca="1" si="48"/>
        <v>12.556333333333333</v>
      </c>
      <c r="O1116" s="65">
        <f t="shared" ca="1" si="48"/>
        <v>12.562075000000002</v>
      </c>
    </row>
    <row r="1117" spans="1:15" ht="15">
      <c r="A1117" s="3">
        <v>2070</v>
      </c>
      <c r="B1117" s="65">
        <f t="shared" ca="1" si="48"/>
        <v>11.108683333333333</v>
      </c>
      <c r="C1117" s="65">
        <f t="shared" ca="1" si="48"/>
        <v>11.108683333333333</v>
      </c>
      <c r="D1117" s="65">
        <f t="shared" ca="1" si="48"/>
        <v>11.113358333333331</v>
      </c>
      <c r="E1117" s="65">
        <f t="shared" ca="1" si="48"/>
        <v>12.813333333333333</v>
      </c>
      <c r="F1117" s="65">
        <f t="shared" ca="1" si="48"/>
        <v>12.813333333333333</v>
      </c>
      <c r="G1117" s="65">
        <f t="shared" ca="1" si="48"/>
        <v>12.819066666666664</v>
      </c>
      <c r="H1117" s="65">
        <f t="shared" ca="1" si="48"/>
        <v>23.694900000000001</v>
      </c>
      <c r="I1117" s="65">
        <f t="shared" ca="1" si="48"/>
        <v>23.700666666666663</v>
      </c>
      <c r="J1117" s="65">
        <f t="shared" ca="1" si="48"/>
        <v>23.694900000000001</v>
      </c>
      <c r="K1117" s="65">
        <f t="shared" ca="1" si="48"/>
        <v>23.700666666666663</v>
      </c>
      <c r="L1117" s="65">
        <f t="shared" ca="1" si="48"/>
        <v>12.813333333333333</v>
      </c>
      <c r="M1117" s="65">
        <f t="shared" ca="1" si="48"/>
        <v>12.819066666666664</v>
      </c>
      <c r="N1117" s="65">
        <f t="shared" ca="1" si="48"/>
        <v>12.813333333333333</v>
      </c>
      <c r="O1117" s="65">
        <f t="shared" ca="1" si="48"/>
        <v>12.819066666666664</v>
      </c>
    </row>
    <row r="1118" spans="1:15" ht="15">
      <c r="A1118" s="3">
        <v>2071</v>
      </c>
      <c r="B1118" s="65">
        <f t="shared" ca="1" si="48"/>
        <v>11.346308333333333</v>
      </c>
      <c r="C1118" s="65">
        <f t="shared" ca="1" si="48"/>
        <v>11.346308333333333</v>
      </c>
      <c r="D1118" s="65">
        <f t="shared" ca="1" si="48"/>
        <v>11.350991666666665</v>
      </c>
      <c r="E1118" s="65">
        <f t="shared" ca="1" si="48"/>
        <v>13.070333333333332</v>
      </c>
      <c r="F1118" s="65">
        <f t="shared" ca="1" si="48"/>
        <v>13.070333333333332</v>
      </c>
      <c r="G1118" s="65">
        <f t="shared" ca="1" si="48"/>
        <v>13.076083333333335</v>
      </c>
      <c r="H1118" s="65">
        <f t="shared" ca="1" si="48"/>
        <v>24.183016666666663</v>
      </c>
      <c r="I1118" s="65">
        <f t="shared" ca="1" si="48"/>
        <v>24.188758333333329</v>
      </c>
      <c r="J1118" s="65">
        <f t="shared" ca="1" si="48"/>
        <v>24.183016666666663</v>
      </c>
      <c r="K1118" s="65">
        <f t="shared" ca="1" si="48"/>
        <v>24.188758333333329</v>
      </c>
      <c r="L1118" s="65">
        <f t="shared" ca="1" si="48"/>
        <v>13.070333333333332</v>
      </c>
      <c r="M1118" s="65">
        <f t="shared" ca="1" si="48"/>
        <v>13.076083333333335</v>
      </c>
      <c r="N1118" s="65">
        <f t="shared" ca="1" si="48"/>
        <v>13.070333333333332</v>
      </c>
      <c r="O1118" s="65">
        <f t="shared" ca="1" si="48"/>
        <v>13.076083333333335</v>
      </c>
    </row>
    <row r="1119" spans="1:15" ht="15">
      <c r="A1119" s="3">
        <v>2072</v>
      </c>
      <c r="B1119" s="65">
        <f t="shared" ref="B1119:O1128" ca="1" si="49">AVERAGE(OFFSET(B$592,($A1119-$A$1109)*12,0,12,1))</f>
        <v>11.583908333333333</v>
      </c>
      <c r="C1119" s="65">
        <f t="shared" ca="1" si="49"/>
        <v>11.583908333333333</v>
      </c>
      <c r="D1119" s="65">
        <f t="shared" ca="1" si="49"/>
        <v>11.588600000000001</v>
      </c>
      <c r="E1119" s="65">
        <f t="shared" ca="1" si="49"/>
        <v>13.327350000000001</v>
      </c>
      <c r="F1119" s="65">
        <f t="shared" ca="1" si="49"/>
        <v>13.327350000000001</v>
      </c>
      <c r="G1119" s="65">
        <f t="shared" ca="1" si="49"/>
        <v>13.333091666666668</v>
      </c>
      <c r="H1119" s="65">
        <f t="shared" ca="1" si="49"/>
        <v>24.67113333333333</v>
      </c>
      <c r="I1119" s="65">
        <f t="shared" ca="1" si="49"/>
        <v>24.676883333333336</v>
      </c>
      <c r="J1119" s="65">
        <f t="shared" ca="1" si="49"/>
        <v>24.67113333333333</v>
      </c>
      <c r="K1119" s="65">
        <f t="shared" ca="1" si="49"/>
        <v>24.676883333333336</v>
      </c>
      <c r="L1119" s="65">
        <f t="shared" ca="1" si="49"/>
        <v>13.327350000000001</v>
      </c>
      <c r="M1119" s="65">
        <f t="shared" ca="1" si="49"/>
        <v>13.333091666666668</v>
      </c>
      <c r="N1119" s="65">
        <f t="shared" ca="1" si="49"/>
        <v>13.327350000000001</v>
      </c>
      <c r="O1119" s="65">
        <f t="shared" ca="1" si="49"/>
        <v>13.333091666666668</v>
      </c>
    </row>
    <row r="1120" spans="1:15" ht="15">
      <c r="A1120" s="3">
        <v>2073</v>
      </c>
      <c r="B1120" s="65">
        <f t="shared" ca="1" si="49"/>
        <v>11.821525000000001</v>
      </c>
      <c r="C1120" s="65">
        <f t="shared" ca="1" si="49"/>
        <v>11.821525000000001</v>
      </c>
      <c r="D1120" s="65">
        <f t="shared" ca="1" si="49"/>
        <v>11.826191666666668</v>
      </c>
      <c r="E1120" s="65">
        <f t="shared" ca="1" si="49"/>
        <v>13.584366666666666</v>
      </c>
      <c r="F1120" s="65">
        <f t="shared" ca="1" si="49"/>
        <v>13.584366666666666</v>
      </c>
      <c r="G1120" s="65">
        <f t="shared" ca="1" si="49"/>
        <v>13.590091666666666</v>
      </c>
      <c r="H1120" s="65">
        <f t="shared" ca="1" si="49"/>
        <v>25.159241666666663</v>
      </c>
      <c r="I1120" s="65">
        <f t="shared" ca="1" si="49"/>
        <v>25.164999999999996</v>
      </c>
      <c r="J1120" s="65">
        <f t="shared" ca="1" si="49"/>
        <v>25.159241666666663</v>
      </c>
      <c r="K1120" s="65">
        <f t="shared" ca="1" si="49"/>
        <v>25.164999999999996</v>
      </c>
      <c r="L1120" s="65">
        <f t="shared" ca="1" si="49"/>
        <v>13.584366666666666</v>
      </c>
      <c r="M1120" s="65">
        <f t="shared" ca="1" si="49"/>
        <v>13.590091666666666</v>
      </c>
      <c r="N1120" s="65">
        <f t="shared" ca="1" si="49"/>
        <v>13.584366666666666</v>
      </c>
      <c r="O1120" s="65">
        <f t="shared" ca="1" si="49"/>
        <v>13.590091666666666</v>
      </c>
    </row>
    <row r="1121" spans="1:15" ht="15">
      <c r="A1121" s="3">
        <v>2074</v>
      </c>
      <c r="B1121" s="65">
        <f t="shared" ca="1" si="49"/>
        <v>12.059150000000001</v>
      </c>
      <c r="C1121" s="65">
        <f t="shared" ca="1" si="49"/>
        <v>12.059150000000001</v>
      </c>
      <c r="D1121" s="65">
        <f t="shared" ca="1" si="49"/>
        <v>12.063825000000001</v>
      </c>
      <c r="E1121" s="65">
        <f t="shared" ca="1" si="49"/>
        <v>13.841366666666666</v>
      </c>
      <c r="F1121" s="65">
        <f t="shared" ca="1" si="49"/>
        <v>13.841366666666666</v>
      </c>
      <c r="G1121" s="65">
        <f t="shared" ca="1" si="49"/>
        <v>13.847116666666665</v>
      </c>
      <c r="H1121" s="65">
        <f t="shared" ca="1" si="49"/>
        <v>25.647366666666667</v>
      </c>
      <c r="I1121" s="65">
        <f t="shared" ca="1" si="49"/>
        <v>25.653108333333336</v>
      </c>
      <c r="J1121" s="65">
        <f t="shared" ca="1" si="49"/>
        <v>25.647366666666667</v>
      </c>
      <c r="K1121" s="65">
        <f t="shared" ca="1" si="49"/>
        <v>25.653108333333336</v>
      </c>
      <c r="L1121" s="65">
        <f t="shared" ca="1" si="49"/>
        <v>13.841366666666666</v>
      </c>
      <c r="M1121" s="65">
        <f t="shared" ca="1" si="49"/>
        <v>13.847116666666665</v>
      </c>
      <c r="N1121" s="65">
        <f t="shared" ca="1" si="49"/>
        <v>13.841366666666666</v>
      </c>
      <c r="O1121" s="65">
        <f t="shared" ca="1" si="49"/>
        <v>13.847116666666665</v>
      </c>
    </row>
    <row r="1122" spans="1:15" ht="15">
      <c r="A1122" s="3">
        <v>2075</v>
      </c>
      <c r="B1122" s="65">
        <f t="shared" ca="1" si="49"/>
        <v>12.296750000000001</v>
      </c>
      <c r="C1122" s="65">
        <f t="shared" ca="1" si="49"/>
        <v>12.296750000000001</v>
      </c>
      <c r="D1122" s="65">
        <f t="shared" ca="1" si="49"/>
        <v>12.301433333333334</v>
      </c>
      <c r="E1122" s="65">
        <f t="shared" ca="1" si="49"/>
        <v>14.098391666666664</v>
      </c>
      <c r="F1122" s="65">
        <f t="shared" ca="1" si="49"/>
        <v>14.098391666666664</v>
      </c>
      <c r="G1122" s="65">
        <f t="shared" ca="1" si="49"/>
        <v>14.104116666666668</v>
      </c>
      <c r="H1122" s="65">
        <f t="shared" ca="1" si="49"/>
        <v>26.135475</v>
      </c>
      <c r="I1122" s="65">
        <f t="shared" ca="1" si="49"/>
        <v>26.141216666666669</v>
      </c>
      <c r="J1122" s="65">
        <f t="shared" ca="1" si="49"/>
        <v>26.135475</v>
      </c>
      <c r="K1122" s="65">
        <f t="shared" ca="1" si="49"/>
        <v>26.141216666666669</v>
      </c>
      <c r="L1122" s="65">
        <f t="shared" ca="1" si="49"/>
        <v>14.098391666666664</v>
      </c>
      <c r="M1122" s="65">
        <f t="shared" ca="1" si="49"/>
        <v>14.104116666666668</v>
      </c>
      <c r="N1122" s="65">
        <f t="shared" ca="1" si="49"/>
        <v>14.098391666666664</v>
      </c>
      <c r="O1122" s="65">
        <f t="shared" ca="1" si="49"/>
        <v>14.104116666666668</v>
      </c>
    </row>
    <row r="1123" spans="1:15" ht="15">
      <c r="A1123" s="3">
        <v>2076</v>
      </c>
      <c r="B1123" s="65">
        <f t="shared" ca="1" si="49"/>
        <v>12.534383333333331</v>
      </c>
      <c r="C1123" s="65">
        <f t="shared" ca="1" si="49"/>
        <v>12.534383333333331</v>
      </c>
      <c r="D1123" s="65">
        <f t="shared" ca="1" si="49"/>
        <v>12.539050000000001</v>
      </c>
      <c r="E1123" s="65">
        <f t="shared" ca="1" si="49"/>
        <v>14.355391666666668</v>
      </c>
      <c r="F1123" s="65">
        <f t="shared" ca="1" si="49"/>
        <v>14.355391666666668</v>
      </c>
      <c r="G1123" s="65">
        <f t="shared" ca="1" si="49"/>
        <v>14.36115</v>
      </c>
      <c r="H1123" s="65">
        <f t="shared" ca="1" si="49"/>
        <v>26.623583333333332</v>
      </c>
      <c r="I1123" s="65">
        <f t="shared" ca="1" si="49"/>
        <v>26.629333333333335</v>
      </c>
      <c r="J1123" s="65">
        <f t="shared" ca="1" si="49"/>
        <v>26.623583333333332</v>
      </c>
      <c r="K1123" s="65">
        <f t="shared" ca="1" si="49"/>
        <v>26.629333333333335</v>
      </c>
      <c r="L1123" s="65">
        <f t="shared" ca="1" si="49"/>
        <v>14.355391666666668</v>
      </c>
      <c r="M1123" s="65">
        <f t="shared" ca="1" si="49"/>
        <v>14.36115</v>
      </c>
      <c r="N1123" s="65">
        <f t="shared" ca="1" si="49"/>
        <v>14.355391666666668</v>
      </c>
      <c r="O1123" s="65">
        <f t="shared" ca="1" si="49"/>
        <v>14.36115</v>
      </c>
    </row>
    <row r="1124" spans="1:15" ht="15">
      <c r="A1124" s="3">
        <v>2077</v>
      </c>
      <c r="B1124" s="65">
        <f t="shared" ca="1" si="49"/>
        <v>12.771983333333333</v>
      </c>
      <c r="C1124" s="65">
        <f t="shared" ca="1" si="49"/>
        <v>12.771983333333333</v>
      </c>
      <c r="D1124" s="65">
        <f t="shared" ca="1" si="49"/>
        <v>12.776675000000003</v>
      </c>
      <c r="E1124" s="65">
        <f t="shared" ca="1" si="49"/>
        <v>14.612399999999999</v>
      </c>
      <c r="F1124" s="65">
        <f t="shared" ca="1" si="49"/>
        <v>14.612399999999999</v>
      </c>
      <c r="G1124" s="65">
        <f t="shared" ca="1" si="49"/>
        <v>14.618141666666668</v>
      </c>
      <c r="H1124" s="65">
        <f t="shared" ca="1" si="49"/>
        <v>27.111708333333329</v>
      </c>
      <c r="I1124" s="65">
        <f t="shared" ca="1" si="49"/>
        <v>27.117441666666664</v>
      </c>
      <c r="J1124" s="65">
        <f t="shared" ca="1" si="49"/>
        <v>27.111708333333329</v>
      </c>
      <c r="K1124" s="65">
        <f t="shared" ca="1" si="49"/>
        <v>27.117441666666664</v>
      </c>
      <c r="L1124" s="65">
        <f t="shared" ca="1" si="49"/>
        <v>14.612399999999999</v>
      </c>
      <c r="M1124" s="65">
        <f t="shared" ca="1" si="49"/>
        <v>14.618141666666668</v>
      </c>
      <c r="N1124" s="65">
        <f t="shared" ca="1" si="49"/>
        <v>14.612399999999999</v>
      </c>
      <c r="O1124" s="65">
        <f t="shared" ca="1" si="49"/>
        <v>14.618141666666668</v>
      </c>
    </row>
    <row r="1125" spans="1:15" ht="15">
      <c r="A1125" s="3">
        <v>2078</v>
      </c>
      <c r="B1125" s="65">
        <f t="shared" ca="1" si="49"/>
        <v>13.009583333333333</v>
      </c>
      <c r="C1125" s="65">
        <f t="shared" ca="1" si="49"/>
        <v>13.009583333333333</v>
      </c>
      <c r="D1125" s="65">
        <f t="shared" ca="1" si="49"/>
        <v>13.014266666666666</v>
      </c>
      <c r="E1125" s="65">
        <f t="shared" ca="1" si="49"/>
        <v>14.869391666666665</v>
      </c>
      <c r="F1125" s="65">
        <f t="shared" ca="1" si="49"/>
        <v>14.869391666666665</v>
      </c>
      <c r="G1125" s="65">
        <f t="shared" ca="1" si="49"/>
        <v>14.87514166666667</v>
      </c>
      <c r="H1125" s="65">
        <f t="shared" ca="1" si="49"/>
        <v>27.599816666666666</v>
      </c>
      <c r="I1125" s="65">
        <f t="shared" ca="1" si="49"/>
        <v>27.605566666666672</v>
      </c>
      <c r="J1125" s="65">
        <f t="shared" ca="1" si="49"/>
        <v>27.599816666666666</v>
      </c>
      <c r="K1125" s="65">
        <f t="shared" ca="1" si="49"/>
        <v>27.605566666666672</v>
      </c>
      <c r="L1125" s="65">
        <f t="shared" ca="1" si="49"/>
        <v>14.869391666666665</v>
      </c>
      <c r="M1125" s="65">
        <f t="shared" ca="1" si="49"/>
        <v>14.87514166666667</v>
      </c>
      <c r="N1125" s="65">
        <f t="shared" ca="1" si="49"/>
        <v>14.869391666666665</v>
      </c>
      <c r="O1125" s="65">
        <f t="shared" ca="1" si="49"/>
        <v>14.87514166666667</v>
      </c>
    </row>
    <row r="1126" spans="1:15" ht="15">
      <c r="A1126" s="3">
        <v>2079</v>
      </c>
      <c r="B1126" s="65">
        <f t="shared" ca="1" si="49"/>
        <v>13.247225000000002</v>
      </c>
      <c r="C1126" s="65">
        <f t="shared" ca="1" si="49"/>
        <v>13.247225000000002</v>
      </c>
      <c r="D1126" s="65">
        <f t="shared" ca="1" si="49"/>
        <v>13.251891666666667</v>
      </c>
      <c r="E1126" s="65">
        <f t="shared" ca="1" si="49"/>
        <v>15.126424999999999</v>
      </c>
      <c r="F1126" s="65">
        <f t="shared" ca="1" si="49"/>
        <v>15.126424999999999</v>
      </c>
      <c r="G1126" s="65">
        <f t="shared" ca="1" si="49"/>
        <v>15.132158333333329</v>
      </c>
      <c r="H1126" s="65">
        <f t="shared" ca="1" si="49"/>
        <v>28.087958333333333</v>
      </c>
      <c r="I1126" s="65">
        <f t="shared" ca="1" si="49"/>
        <v>28.093683333333331</v>
      </c>
      <c r="J1126" s="65">
        <f t="shared" ca="1" si="49"/>
        <v>28.087958333333333</v>
      </c>
      <c r="K1126" s="65">
        <f t="shared" ca="1" si="49"/>
        <v>28.093683333333331</v>
      </c>
      <c r="L1126" s="65">
        <f t="shared" ca="1" si="49"/>
        <v>15.126424999999999</v>
      </c>
      <c r="M1126" s="65">
        <f t="shared" ca="1" si="49"/>
        <v>15.132158333333329</v>
      </c>
      <c r="N1126" s="65">
        <f t="shared" ca="1" si="49"/>
        <v>15.126424999999999</v>
      </c>
      <c r="O1126" s="65">
        <f t="shared" ca="1" si="49"/>
        <v>15.132158333333329</v>
      </c>
    </row>
    <row r="1127" spans="1:15" ht="15">
      <c r="A1127" s="3">
        <v>2080</v>
      </c>
      <c r="B1127" s="65">
        <f t="shared" ca="1" si="49"/>
        <v>13.484824999999995</v>
      </c>
      <c r="C1127" s="65">
        <f t="shared" ca="1" si="49"/>
        <v>13.484824999999995</v>
      </c>
      <c r="D1127" s="65">
        <f t="shared" ca="1" si="49"/>
        <v>13.4895</v>
      </c>
      <c r="E1127" s="65">
        <f t="shared" ca="1" si="49"/>
        <v>15.383441666666668</v>
      </c>
      <c r="F1127" s="65">
        <f t="shared" ca="1" si="49"/>
        <v>15.383441666666668</v>
      </c>
      <c r="G1127" s="65">
        <f t="shared" ca="1" si="49"/>
        <v>15.389175</v>
      </c>
      <c r="H1127" s="65">
        <f t="shared" ca="1" si="49"/>
        <v>28.576066666666662</v>
      </c>
      <c r="I1127" s="65">
        <f t="shared" ca="1" si="49"/>
        <v>28.581808333333338</v>
      </c>
      <c r="J1127" s="65">
        <f t="shared" ca="1" si="49"/>
        <v>28.576066666666662</v>
      </c>
      <c r="K1127" s="65">
        <f t="shared" ca="1" si="49"/>
        <v>28.581808333333338</v>
      </c>
      <c r="L1127" s="65">
        <f t="shared" ca="1" si="49"/>
        <v>15.383441666666668</v>
      </c>
      <c r="M1127" s="65">
        <f t="shared" ca="1" si="49"/>
        <v>15.389175</v>
      </c>
      <c r="N1127" s="65">
        <f t="shared" ca="1" si="49"/>
        <v>15.383441666666668</v>
      </c>
      <c r="O1127" s="65">
        <f t="shared" ca="1" si="49"/>
        <v>15.389175</v>
      </c>
    </row>
    <row r="1128" spans="1:15" ht="15">
      <c r="A1128" s="3">
        <v>2081</v>
      </c>
      <c r="B1128" s="65">
        <f t="shared" ca="1" si="49"/>
        <v>13.72245</v>
      </c>
      <c r="C1128" s="65">
        <f t="shared" ca="1" si="49"/>
        <v>13.72245</v>
      </c>
      <c r="D1128" s="65">
        <f t="shared" ca="1" si="49"/>
        <v>13.727124999999999</v>
      </c>
      <c r="E1128" s="65">
        <f t="shared" ca="1" si="49"/>
        <v>15.640424999999999</v>
      </c>
      <c r="F1128" s="65">
        <f t="shared" ca="1" si="49"/>
        <v>15.640424999999999</v>
      </c>
      <c r="G1128" s="65">
        <f t="shared" ca="1" si="49"/>
        <v>15.646158333333332</v>
      </c>
      <c r="H1128" s="65">
        <f t="shared" ca="1" si="49"/>
        <v>29.064166666666669</v>
      </c>
      <c r="I1128" s="65">
        <f t="shared" ca="1" si="49"/>
        <v>29.069908333333331</v>
      </c>
      <c r="J1128" s="65">
        <f t="shared" ca="1" si="49"/>
        <v>29.064166666666669</v>
      </c>
      <c r="K1128" s="65">
        <f t="shared" ca="1" si="49"/>
        <v>29.069908333333331</v>
      </c>
      <c r="L1128" s="65">
        <f t="shared" ca="1" si="49"/>
        <v>15.640424999999999</v>
      </c>
      <c r="M1128" s="65">
        <f t="shared" ca="1" si="49"/>
        <v>15.646158333333332</v>
      </c>
      <c r="N1128" s="65">
        <f t="shared" ca="1" si="49"/>
        <v>15.640424999999999</v>
      </c>
      <c r="O1128" s="65">
        <f t="shared" ca="1" si="49"/>
        <v>15.646158333333332</v>
      </c>
    </row>
    <row r="1129" spans="1:15" ht="15">
      <c r="A1129" s="3">
        <v>2082</v>
      </c>
      <c r="B1129" s="65">
        <f t="shared" ref="B1129:O1138" ca="1" si="50">AVERAGE(OFFSET(B$592,($A1129-$A$1109)*12,0,12,1))</f>
        <v>13.960058333333334</v>
      </c>
      <c r="C1129" s="65">
        <f t="shared" ca="1" si="50"/>
        <v>13.960058333333334</v>
      </c>
      <c r="D1129" s="65">
        <f t="shared" ca="1" si="50"/>
        <v>13.964741666666663</v>
      </c>
      <c r="E1129" s="65">
        <f t="shared" ca="1" si="50"/>
        <v>15.897450000000001</v>
      </c>
      <c r="F1129" s="65">
        <f t="shared" ca="1" si="50"/>
        <v>15.897450000000001</v>
      </c>
      <c r="G1129" s="65">
        <f t="shared" ca="1" si="50"/>
        <v>15.903199999999998</v>
      </c>
      <c r="H1129" s="65">
        <f t="shared" ca="1" si="50"/>
        <v>29.552291666666672</v>
      </c>
      <c r="I1129" s="65">
        <f t="shared" ca="1" si="50"/>
        <v>29.558033333333327</v>
      </c>
      <c r="J1129" s="65">
        <f t="shared" ca="1" si="50"/>
        <v>29.552291666666672</v>
      </c>
      <c r="K1129" s="65">
        <f t="shared" ca="1" si="50"/>
        <v>29.558033333333327</v>
      </c>
      <c r="L1129" s="65">
        <f t="shared" ca="1" si="50"/>
        <v>15.897450000000001</v>
      </c>
      <c r="M1129" s="65">
        <f t="shared" ca="1" si="50"/>
        <v>15.903199999999998</v>
      </c>
      <c r="N1129" s="65">
        <f t="shared" ca="1" si="50"/>
        <v>15.897450000000001</v>
      </c>
      <c r="O1129" s="65">
        <f t="shared" ca="1" si="50"/>
        <v>15.903199999999998</v>
      </c>
    </row>
    <row r="1130" spans="1:15" ht="15">
      <c r="A1130" s="3">
        <v>2083</v>
      </c>
      <c r="B1130" s="65">
        <f t="shared" ca="1" si="50"/>
        <v>14.197650000000001</v>
      </c>
      <c r="C1130" s="65">
        <f t="shared" ca="1" si="50"/>
        <v>14.197650000000001</v>
      </c>
      <c r="D1130" s="65">
        <f t="shared" ca="1" si="50"/>
        <v>14.202341666666667</v>
      </c>
      <c r="E1130" s="65">
        <f t="shared" ca="1" si="50"/>
        <v>16.154466666666668</v>
      </c>
      <c r="F1130" s="65">
        <f t="shared" ca="1" si="50"/>
        <v>16.154466666666668</v>
      </c>
      <c r="G1130" s="65">
        <f t="shared" ca="1" si="50"/>
        <v>16.1602</v>
      </c>
      <c r="H1130" s="65">
        <f t="shared" ca="1" si="50"/>
        <v>30.040383333333335</v>
      </c>
      <c r="I1130" s="65">
        <f t="shared" ca="1" si="50"/>
        <v>30.046150000000001</v>
      </c>
      <c r="J1130" s="65">
        <f t="shared" ca="1" si="50"/>
        <v>30.040383333333335</v>
      </c>
      <c r="K1130" s="65">
        <f t="shared" ca="1" si="50"/>
        <v>30.046150000000001</v>
      </c>
      <c r="L1130" s="65">
        <f t="shared" ca="1" si="50"/>
        <v>16.154466666666668</v>
      </c>
      <c r="M1130" s="65">
        <f t="shared" ca="1" si="50"/>
        <v>16.1602</v>
      </c>
      <c r="N1130" s="65">
        <f t="shared" ca="1" si="50"/>
        <v>16.154466666666668</v>
      </c>
      <c r="O1130" s="65">
        <f t="shared" ca="1" si="50"/>
        <v>16.1602</v>
      </c>
    </row>
    <row r="1131" spans="1:15" ht="15">
      <c r="A1131" s="3">
        <v>2084</v>
      </c>
      <c r="B1131" s="65">
        <f t="shared" ca="1" si="50"/>
        <v>14.435274999999997</v>
      </c>
      <c r="C1131" s="65">
        <f t="shared" ca="1" si="50"/>
        <v>14.435274999999997</v>
      </c>
      <c r="D1131" s="65">
        <f t="shared" ca="1" si="50"/>
        <v>14.439950000000001</v>
      </c>
      <c r="E1131" s="65">
        <f t="shared" ca="1" si="50"/>
        <v>16.411466666666669</v>
      </c>
      <c r="F1131" s="65">
        <f t="shared" ca="1" si="50"/>
        <v>16.411466666666669</v>
      </c>
      <c r="G1131" s="65">
        <f t="shared" ca="1" si="50"/>
        <v>16.417233333333332</v>
      </c>
      <c r="H1131" s="65">
        <f t="shared" ca="1" si="50"/>
        <v>30.528533333333339</v>
      </c>
      <c r="I1131" s="65">
        <f t="shared" ca="1" si="50"/>
        <v>30.534266666666671</v>
      </c>
      <c r="J1131" s="65">
        <f t="shared" ca="1" si="50"/>
        <v>30.528533333333339</v>
      </c>
      <c r="K1131" s="65">
        <f t="shared" ca="1" si="50"/>
        <v>30.534266666666671</v>
      </c>
      <c r="L1131" s="65">
        <f t="shared" ca="1" si="50"/>
        <v>16.411466666666669</v>
      </c>
      <c r="M1131" s="65">
        <f t="shared" ca="1" si="50"/>
        <v>16.417233333333332</v>
      </c>
      <c r="N1131" s="65">
        <f t="shared" ca="1" si="50"/>
        <v>16.411466666666669</v>
      </c>
      <c r="O1131" s="65">
        <f t="shared" ca="1" si="50"/>
        <v>16.417233333333332</v>
      </c>
    </row>
    <row r="1132" spans="1:15" ht="15">
      <c r="A1132" s="3">
        <v>2085</v>
      </c>
      <c r="B1132" s="65">
        <f t="shared" ca="1" si="50"/>
        <v>14.672899999999998</v>
      </c>
      <c r="C1132" s="65">
        <f t="shared" ca="1" si="50"/>
        <v>14.672899999999998</v>
      </c>
      <c r="D1132" s="65">
        <f t="shared" ca="1" si="50"/>
        <v>14.677574999999999</v>
      </c>
      <c r="E1132" s="65">
        <f t="shared" ca="1" si="50"/>
        <v>16.668466666666667</v>
      </c>
      <c r="F1132" s="65">
        <f t="shared" ca="1" si="50"/>
        <v>16.668466666666667</v>
      </c>
      <c r="G1132" s="65">
        <f t="shared" ca="1" si="50"/>
        <v>16.674200000000003</v>
      </c>
      <c r="H1132" s="65">
        <f t="shared" ca="1" si="50"/>
        <v>31.016633333333331</v>
      </c>
      <c r="I1132" s="65">
        <f t="shared" ca="1" si="50"/>
        <v>31.02236666666666</v>
      </c>
      <c r="J1132" s="65">
        <f t="shared" ca="1" si="50"/>
        <v>31.016633333333331</v>
      </c>
      <c r="K1132" s="65">
        <f t="shared" ca="1" si="50"/>
        <v>31.02236666666666</v>
      </c>
      <c r="L1132" s="65">
        <f t="shared" ca="1" si="50"/>
        <v>16.668466666666667</v>
      </c>
      <c r="M1132" s="65">
        <f t="shared" ca="1" si="50"/>
        <v>16.674200000000003</v>
      </c>
      <c r="N1132" s="65">
        <f t="shared" ca="1" si="50"/>
        <v>16.668466666666667</v>
      </c>
      <c r="O1132" s="65">
        <f t="shared" ca="1" si="50"/>
        <v>16.674200000000003</v>
      </c>
    </row>
    <row r="1133" spans="1:15" ht="15">
      <c r="A1133" s="3">
        <v>2086</v>
      </c>
      <c r="B1133" s="65">
        <f t="shared" ca="1" si="50"/>
        <v>14.910500000000004</v>
      </c>
      <c r="C1133" s="65">
        <f t="shared" ca="1" si="50"/>
        <v>14.910500000000004</v>
      </c>
      <c r="D1133" s="65">
        <f t="shared" ca="1" si="50"/>
        <v>14.915191666666667</v>
      </c>
      <c r="E1133" s="65">
        <f t="shared" ca="1" si="50"/>
        <v>16.925483333333336</v>
      </c>
      <c r="F1133" s="65">
        <f t="shared" ca="1" si="50"/>
        <v>16.925483333333336</v>
      </c>
      <c r="G1133" s="65">
        <f t="shared" ca="1" si="50"/>
        <v>16.931224999999998</v>
      </c>
      <c r="H1133" s="65">
        <f t="shared" ca="1" si="50"/>
        <v>31.504741666666671</v>
      </c>
      <c r="I1133" s="65">
        <f t="shared" ca="1" si="50"/>
        <v>31.510491666666667</v>
      </c>
      <c r="J1133" s="65">
        <f t="shared" ca="1" si="50"/>
        <v>31.504741666666671</v>
      </c>
      <c r="K1133" s="65">
        <f t="shared" ca="1" si="50"/>
        <v>31.510491666666667</v>
      </c>
      <c r="L1133" s="65">
        <f t="shared" ca="1" si="50"/>
        <v>16.925483333333336</v>
      </c>
      <c r="M1133" s="65">
        <f t="shared" ca="1" si="50"/>
        <v>16.931224999999998</v>
      </c>
      <c r="N1133" s="65">
        <f t="shared" ca="1" si="50"/>
        <v>16.925483333333336</v>
      </c>
      <c r="O1133" s="65">
        <f t="shared" ca="1" si="50"/>
        <v>16.931224999999998</v>
      </c>
    </row>
    <row r="1134" spans="1:15" ht="15">
      <c r="A1134" s="3">
        <v>2087</v>
      </c>
      <c r="B1134" s="65">
        <f t="shared" ca="1" si="50"/>
        <v>15.148116666666667</v>
      </c>
      <c r="C1134" s="65">
        <f t="shared" ca="1" si="50"/>
        <v>15.148116666666667</v>
      </c>
      <c r="D1134" s="65">
        <f t="shared" ca="1" si="50"/>
        <v>15.152799999999999</v>
      </c>
      <c r="E1134" s="65">
        <f t="shared" ca="1" si="50"/>
        <v>17.182508333333335</v>
      </c>
      <c r="F1134" s="65">
        <f t="shared" ca="1" si="50"/>
        <v>17.182508333333335</v>
      </c>
      <c r="G1134" s="65">
        <f t="shared" ca="1" si="50"/>
        <v>17.188258333333334</v>
      </c>
      <c r="H1134" s="65">
        <f t="shared" ca="1" si="50"/>
        <v>31.992850000000004</v>
      </c>
      <c r="I1134" s="65">
        <f t="shared" ca="1" si="50"/>
        <v>31.998599999999996</v>
      </c>
      <c r="J1134" s="65">
        <f t="shared" ca="1" si="50"/>
        <v>31.992850000000004</v>
      </c>
      <c r="K1134" s="65">
        <f t="shared" ca="1" si="50"/>
        <v>31.998599999999996</v>
      </c>
      <c r="L1134" s="65">
        <f t="shared" ca="1" si="50"/>
        <v>17.182508333333335</v>
      </c>
      <c r="M1134" s="65">
        <f t="shared" ca="1" si="50"/>
        <v>17.188258333333334</v>
      </c>
      <c r="N1134" s="65">
        <f t="shared" ca="1" si="50"/>
        <v>17.182508333333335</v>
      </c>
      <c r="O1134" s="65">
        <f t="shared" ca="1" si="50"/>
        <v>17.188258333333334</v>
      </c>
    </row>
    <row r="1135" spans="1:15" ht="15">
      <c r="A1135" s="3">
        <v>2088</v>
      </c>
      <c r="B1135" s="65">
        <f t="shared" ca="1" si="50"/>
        <v>15.385741666666663</v>
      </c>
      <c r="C1135" s="65">
        <f t="shared" ca="1" si="50"/>
        <v>15.385741666666663</v>
      </c>
      <c r="D1135" s="65">
        <f t="shared" ca="1" si="50"/>
        <v>15.390408333333333</v>
      </c>
      <c r="E1135" s="65">
        <f t="shared" ca="1" si="50"/>
        <v>17.439516666666666</v>
      </c>
      <c r="F1135" s="65">
        <f t="shared" ca="1" si="50"/>
        <v>17.439516666666666</v>
      </c>
      <c r="G1135" s="65">
        <f t="shared" ca="1" si="50"/>
        <v>17.445241666666671</v>
      </c>
      <c r="H1135" s="65">
        <f t="shared" ca="1" si="50"/>
        <v>32.480991666666675</v>
      </c>
      <c r="I1135" s="65">
        <f t="shared" ca="1" si="50"/>
        <v>32.486716666666673</v>
      </c>
      <c r="J1135" s="65">
        <f t="shared" ca="1" si="50"/>
        <v>32.480991666666675</v>
      </c>
      <c r="K1135" s="65">
        <f t="shared" ca="1" si="50"/>
        <v>32.486716666666673</v>
      </c>
      <c r="L1135" s="65">
        <f t="shared" ca="1" si="50"/>
        <v>17.439516666666666</v>
      </c>
      <c r="M1135" s="65">
        <f t="shared" ca="1" si="50"/>
        <v>17.445241666666671</v>
      </c>
      <c r="N1135" s="65">
        <f t="shared" ca="1" si="50"/>
        <v>17.439516666666666</v>
      </c>
      <c r="O1135" s="65">
        <f t="shared" ca="1" si="50"/>
        <v>17.445241666666671</v>
      </c>
    </row>
    <row r="1136" spans="1:15" ht="15">
      <c r="A1136" s="3">
        <v>2089</v>
      </c>
      <c r="B1136" s="65">
        <f t="shared" ca="1" si="50"/>
        <v>15.623341666666667</v>
      </c>
      <c r="C1136" s="65">
        <f t="shared" ca="1" si="50"/>
        <v>15.623341666666667</v>
      </c>
      <c r="D1136" s="65">
        <f t="shared" ca="1" si="50"/>
        <v>15.628033333333329</v>
      </c>
      <c r="E1136" s="65">
        <f t="shared" ca="1" si="50"/>
        <v>17.696524999999998</v>
      </c>
      <c r="F1136" s="65">
        <f t="shared" ca="1" si="50"/>
        <v>17.696524999999998</v>
      </c>
      <c r="G1136" s="65">
        <f t="shared" ca="1" si="50"/>
        <v>17.702258333333337</v>
      </c>
      <c r="H1136" s="65">
        <f t="shared" ca="1" si="50"/>
        <v>32.969091666666664</v>
      </c>
      <c r="I1136" s="65">
        <f t="shared" ca="1" si="50"/>
        <v>32.974833333333343</v>
      </c>
      <c r="J1136" s="65">
        <f t="shared" ca="1" si="50"/>
        <v>32.969091666666664</v>
      </c>
      <c r="K1136" s="65">
        <f t="shared" ca="1" si="50"/>
        <v>32.974833333333343</v>
      </c>
      <c r="L1136" s="65">
        <f t="shared" ca="1" si="50"/>
        <v>17.696524999999998</v>
      </c>
      <c r="M1136" s="65">
        <f t="shared" ca="1" si="50"/>
        <v>17.702258333333337</v>
      </c>
      <c r="N1136" s="65">
        <f t="shared" ca="1" si="50"/>
        <v>17.696524999999998</v>
      </c>
      <c r="O1136" s="65">
        <f t="shared" ca="1" si="50"/>
        <v>17.702258333333337</v>
      </c>
    </row>
    <row r="1137" spans="1:15" ht="15">
      <c r="A1137" s="3">
        <v>2090</v>
      </c>
      <c r="B1137" s="65">
        <f t="shared" ca="1" si="50"/>
        <v>15.860966666666668</v>
      </c>
      <c r="C1137" s="65">
        <f t="shared" ca="1" si="50"/>
        <v>15.860966666666668</v>
      </c>
      <c r="D1137" s="65">
        <f t="shared" ca="1" si="50"/>
        <v>15.865633333333333</v>
      </c>
      <c r="E1137" s="65">
        <f t="shared" ca="1" si="50"/>
        <v>17.953533333333333</v>
      </c>
      <c r="F1137" s="65">
        <f t="shared" ca="1" si="50"/>
        <v>17.953533333333333</v>
      </c>
      <c r="G1137" s="65">
        <f t="shared" ca="1" si="50"/>
        <v>17.959291666666662</v>
      </c>
      <c r="H1137" s="65">
        <f t="shared" ca="1" si="50"/>
        <v>33.4572</v>
      </c>
      <c r="I1137" s="65">
        <f t="shared" ca="1" si="50"/>
        <v>33.462941666666666</v>
      </c>
      <c r="J1137" s="65">
        <f t="shared" ca="1" si="50"/>
        <v>33.4572</v>
      </c>
      <c r="K1137" s="65">
        <f t="shared" ca="1" si="50"/>
        <v>33.462941666666666</v>
      </c>
      <c r="L1137" s="65">
        <f t="shared" ca="1" si="50"/>
        <v>17.953533333333333</v>
      </c>
      <c r="M1137" s="65">
        <f t="shared" ca="1" si="50"/>
        <v>17.959291666666662</v>
      </c>
      <c r="N1137" s="65">
        <f t="shared" ca="1" si="50"/>
        <v>17.953533333333333</v>
      </c>
      <c r="O1137" s="65">
        <f t="shared" ca="1" si="50"/>
        <v>17.959291666666662</v>
      </c>
    </row>
    <row r="1138" spans="1:15" ht="15">
      <c r="A1138" s="3">
        <v>2091</v>
      </c>
      <c r="B1138" s="65">
        <f t="shared" ca="1" si="50"/>
        <v>16.098591666666668</v>
      </c>
      <c r="C1138" s="65">
        <f t="shared" ca="1" si="50"/>
        <v>16.098591666666668</v>
      </c>
      <c r="D1138" s="65">
        <f t="shared" ca="1" si="50"/>
        <v>16.10326666666667</v>
      </c>
      <c r="E1138" s="65">
        <f t="shared" ca="1" si="50"/>
        <v>18.210533333333338</v>
      </c>
      <c r="F1138" s="65">
        <f t="shared" ca="1" si="50"/>
        <v>18.210533333333338</v>
      </c>
      <c r="G1138" s="65">
        <f t="shared" ca="1" si="50"/>
        <v>18.216275</v>
      </c>
      <c r="H1138" s="65">
        <f t="shared" ca="1" si="50"/>
        <v>33.94530833333333</v>
      </c>
      <c r="I1138" s="65">
        <f t="shared" ca="1" si="50"/>
        <v>33.951050000000002</v>
      </c>
      <c r="J1138" s="65">
        <f t="shared" ca="1" si="50"/>
        <v>33.94530833333333</v>
      </c>
      <c r="K1138" s="65">
        <f t="shared" ca="1" si="50"/>
        <v>33.951050000000002</v>
      </c>
      <c r="L1138" s="65">
        <f t="shared" ca="1" si="50"/>
        <v>18.210533333333338</v>
      </c>
      <c r="M1138" s="65">
        <f t="shared" ca="1" si="50"/>
        <v>18.216275</v>
      </c>
      <c r="N1138" s="65">
        <f t="shared" ca="1" si="50"/>
        <v>18.210533333333338</v>
      </c>
      <c r="O1138" s="65">
        <f t="shared" ca="1" si="50"/>
        <v>18.216275</v>
      </c>
    </row>
    <row r="1139" spans="1:15" ht="15">
      <c r="A1139" s="3">
        <v>2092</v>
      </c>
      <c r="B1139" s="65">
        <f t="shared" ref="B1139:O1147" ca="1" si="51">AVERAGE(OFFSET(B$592,($A1139-$A$1109)*12,0,12,1))</f>
        <v>16.336183333333331</v>
      </c>
      <c r="C1139" s="65">
        <f t="shared" ca="1" si="51"/>
        <v>16.336183333333331</v>
      </c>
      <c r="D1139" s="65">
        <f t="shared" ca="1" si="51"/>
        <v>16.340883333333334</v>
      </c>
      <c r="E1139" s="65">
        <f t="shared" ca="1" si="51"/>
        <v>18.467549999999999</v>
      </c>
      <c r="F1139" s="65">
        <f t="shared" ca="1" si="51"/>
        <v>18.467549999999999</v>
      </c>
      <c r="G1139" s="65">
        <f t="shared" ca="1" si="51"/>
        <v>18.473291666666665</v>
      </c>
      <c r="H1139" s="65">
        <f t="shared" ca="1" si="51"/>
        <v>34.433433333333333</v>
      </c>
      <c r="I1139" s="65">
        <f t="shared" ca="1" si="51"/>
        <v>34.439183333333325</v>
      </c>
      <c r="J1139" s="65">
        <f t="shared" ca="1" si="51"/>
        <v>34.433433333333333</v>
      </c>
      <c r="K1139" s="65">
        <f t="shared" ca="1" si="51"/>
        <v>34.439183333333325</v>
      </c>
      <c r="L1139" s="65">
        <f t="shared" ca="1" si="51"/>
        <v>18.467549999999999</v>
      </c>
      <c r="M1139" s="65">
        <f t="shared" ca="1" si="51"/>
        <v>18.473291666666665</v>
      </c>
      <c r="N1139" s="65">
        <f t="shared" ca="1" si="51"/>
        <v>18.467549999999999</v>
      </c>
      <c r="O1139" s="65">
        <f t="shared" ca="1" si="51"/>
        <v>18.473291666666665</v>
      </c>
    </row>
    <row r="1140" spans="1:15" ht="15">
      <c r="A1140" s="3">
        <v>2093</v>
      </c>
      <c r="B1140" s="65">
        <f t="shared" ca="1" si="51"/>
        <v>16.573799999999999</v>
      </c>
      <c r="C1140" s="65">
        <f t="shared" ca="1" si="51"/>
        <v>16.573799999999999</v>
      </c>
      <c r="D1140" s="65">
        <f t="shared" ca="1" si="51"/>
        <v>16.578466666666667</v>
      </c>
      <c r="E1140" s="65">
        <f t="shared" ca="1" si="51"/>
        <v>18.724558333333331</v>
      </c>
      <c r="F1140" s="65">
        <f t="shared" ca="1" si="51"/>
        <v>18.724558333333331</v>
      </c>
      <c r="G1140" s="65">
        <f t="shared" ca="1" si="51"/>
        <v>18.730291666666663</v>
      </c>
      <c r="H1140" s="65">
        <f t="shared" ca="1" si="51"/>
        <v>34.921533333333336</v>
      </c>
      <c r="I1140" s="65">
        <f t="shared" ca="1" si="51"/>
        <v>34.927283333333335</v>
      </c>
      <c r="J1140" s="65">
        <f t="shared" ca="1" si="51"/>
        <v>34.921533333333336</v>
      </c>
      <c r="K1140" s="65">
        <f t="shared" ca="1" si="51"/>
        <v>34.927283333333335</v>
      </c>
      <c r="L1140" s="65">
        <f t="shared" ca="1" si="51"/>
        <v>18.724558333333331</v>
      </c>
      <c r="M1140" s="65">
        <f t="shared" ca="1" si="51"/>
        <v>18.730291666666663</v>
      </c>
      <c r="N1140" s="65">
        <f t="shared" ca="1" si="51"/>
        <v>18.724558333333331</v>
      </c>
      <c r="O1140" s="65">
        <f t="shared" ca="1" si="51"/>
        <v>18.730291666666663</v>
      </c>
    </row>
    <row r="1141" spans="1:15" ht="15">
      <c r="A1141" s="3">
        <v>2094</v>
      </c>
      <c r="B1141" s="65">
        <f t="shared" ca="1" si="51"/>
        <v>16.81141666666667</v>
      </c>
      <c r="C1141" s="65">
        <f t="shared" ca="1" si="51"/>
        <v>16.81141666666667</v>
      </c>
      <c r="D1141" s="65">
        <f t="shared" ca="1" si="51"/>
        <v>16.816100000000002</v>
      </c>
      <c r="E1141" s="65">
        <f t="shared" ca="1" si="51"/>
        <v>18.981583333333333</v>
      </c>
      <c r="F1141" s="65">
        <f t="shared" ca="1" si="51"/>
        <v>18.981583333333333</v>
      </c>
      <c r="G1141" s="65">
        <f t="shared" ca="1" si="51"/>
        <v>18.987325000000002</v>
      </c>
      <c r="H1141" s="65">
        <f t="shared" ca="1" si="51"/>
        <v>35.409675</v>
      </c>
      <c r="I1141" s="65">
        <f t="shared" ca="1" si="51"/>
        <v>35.415391666666672</v>
      </c>
      <c r="J1141" s="65">
        <f t="shared" ca="1" si="51"/>
        <v>35.409675</v>
      </c>
      <c r="K1141" s="65">
        <f t="shared" ca="1" si="51"/>
        <v>35.415391666666672</v>
      </c>
      <c r="L1141" s="65">
        <f t="shared" ca="1" si="51"/>
        <v>18.981583333333333</v>
      </c>
      <c r="M1141" s="65">
        <f t="shared" ca="1" si="51"/>
        <v>18.987325000000002</v>
      </c>
      <c r="N1141" s="65">
        <f t="shared" ca="1" si="51"/>
        <v>18.981583333333333</v>
      </c>
      <c r="O1141" s="65">
        <f t="shared" ca="1" si="51"/>
        <v>18.987325000000002</v>
      </c>
    </row>
    <row r="1142" spans="1:15" ht="15">
      <c r="A1142" s="3">
        <v>2095</v>
      </c>
      <c r="B1142" s="65">
        <f t="shared" ca="1" si="51"/>
        <v>17.049025</v>
      </c>
      <c r="C1142" s="65">
        <f t="shared" ca="1" si="51"/>
        <v>17.049025</v>
      </c>
      <c r="D1142" s="65">
        <f t="shared" ca="1" si="51"/>
        <v>17.053708333333333</v>
      </c>
      <c r="E1142" s="65">
        <f t="shared" ca="1" si="51"/>
        <v>19.238591666666668</v>
      </c>
      <c r="F1142" s="65">
        <f t="shared" ca="1" si="51"/>
        <v>19.238591666666668</v>
      </c>
      <c r="G1142" s="65">
        <f t="shared" ca="1" si="51"/>
        <v>19.244333333333334</v>
      </c>
      <c r="H1142" s="65">
        <f t="shared" ca="1" si="51"/>
        <v>35.897775000000003</v>
      </c>
      <c r="I1142" s="65">
        <f t="shared" ca="1" si="51"/>
        <v>35.903516666666668</v>
      </c>
      <c r="J1142" s="65">
        <f t="shared" ca="1" si="51"/>
        <v>35.897775000000003</v>
      </c>
      <c r="K1142" s="65">
        <f t="shared" ca="1" si="51"/>
        <v>35.903516666666668</v>
      </c>
      <c r="L1142" s="65">
        <f t="shared" ca="1" si="51"/>
        <v>19.238591666666668</v>
      </c>
      <c r="M1142" s="65">
        <f t="shared" ca="1" si="51"/>
        <v>19.244333333333334</v>
      </c>
      <c r="N1142" s="65">
        <f t="shared" ca="1" si="51"/>
        <v>19.238591666666668</v>
      </c>
      <c r="O1142" s="65">
        <f t="shared" ca="1" si="51"/>
        <v>19.244333333333334</v>
      </c>
    </row>
    <row r="1143" spans="1:15" ht="15">
      <c r="A1143" s="3">
        <v>2096</v>
      </c>
      <c r="B1143" s="65">
        <f t="shared" ca="1" si="51"/>
        <v>17.286658333333332</v>
      </c>
      <c r="C1143" s="65">
        <f t="shared" ca="1" si="51"/>
        <v>17.286658333333332</v>
      </c>
      <c r="D1143" s="65">
        <f t="shared" ca="1" si="51"/>
        <v>17.291333333333334</v>
      </c>
      <c r="E1143" s="65">
        <f t="shared" ca="1" si="51"/>
        <v>19.49559166666667</v>
      </c>
      <c r="F1143" s="65">
        <f t="shared" ca="1" si="51"/>
        <v>19.49559166666667</v>
      </c>
      <c r="G1143" s="65">
        <f t="shared" ca="1" si="51"/>
        <v>19.501324999999998</v>
      </c>
      <c r="H1143" s="65">
        <f t="shared" ca="1" si="51"/>
        <v>36.385874999999999</v>
      </c>
      <c r="I1143" s="65">
        <f t="shared" ca="1" si="51"/>
        <v>36.391624999999998</v>
      </c>
      <c r="J1143" s="65">
        <f t="shared" ca="1" si="51"/>
        <v>36.385874999999999</v>
      </c>
      <c r="K1143" s="65">
        <f t="shared" ca="1" si="51"/>
        <v>36.391624999999998</v>
      </c>
      <c r="L1143" s="65">
        <f t="shared" ca="1" si="51"/>
        <v>19.49559166666667</v>
      </c>
      <c r="M1143" s="65">
        <f t="shared" ca="1" si="51"/>
        <v>19.501324999999998</v>
      </c>
      <c r="N1143" s="65">
        <f t="shared" ca="1" si="51"/>
        <v>19.49559166666667</v>
      </c>
      <c r="O1143" s="65">
        <f t="shared" ca="1" si="51"/>
        <v>19.501324999999998</v>
      </c>
    </row>
    <row r="1144" spans="1:15" ht="15">
      <c r="A1144" s="3">
        <v>2097</v>
      </c>
      <c r="B1144" s="65">
        <f t="shared" ca="1" si="51"/>
        <v>17.524258333333332</v>
      </c>
      <c r="C1144" s="65">
        <f t="shared" ca="1" si="51"/>
        <v>17.524258333333332</v>
      </c>
      <c r="D1144" s="65">
        <f t="shared" ca="1" si="51"/>
        <v>17.528949999999998</v>
      </c>
      <c r="E1144" s="65">
        <f t="shared" ca="1" si="51"/>
        <v>19.752591666666664</v>
      </c>
      <c r="F1144" s="65">
        <f t="shared" ca="1" si="51"/>
        <v>19.752591666666664</v>
      </c>
      <c r="G1144" s="65">
        <f t="shared" ca="1" si="51"/>
        <v>19.758350000000004</v>
      </c>
      <c r="H1144" s="65">
        <f t="shared" ca="1" si="51"/>
        <v>36.873983333333335</v>
      </c>
      <c r="I1144" s="65">
        <f t="shared" ca="1" si="51"/>
        <v>36.879741666666668</v>
      </c>
      <c r="J1144" s="65">
        <f t="shared" ca="1" si="51"/>
        <v>36.873983333333335</v>
      </c>
      <c r="K1144" s="65">
        <f t="shared" ca="1" si="51"/>
        <v>36.879741666666668</v>
      </c>
      <c r="L1144" s="65">
        <f t="shared" ca="1" si="51"/>
        <v>19.752591666666664</v>
      </c>
      <c r="M1144" s="65">
        <f t="shared" ca="1" si="51"/>
        <v>19.758350000000004</v>
      </c>
      <c r="N1144" s="65">
        <f t="shared" ca="1" si="51"/>
        <v>19.752591666666664</v>
      </c>
      <c r="O1144" s="65">
        <f t="shared" ca="1" si="51"/>
        <v>19.758350000000004</v>
      </c>
    </row>
    <row r="1145" spans="1:15" ht="15">
      <c r="A1145" s="3">
        <v>2098</v>
      </c>
      <c r="B1145" s="65">
        <f t="shared" ca="1" si="51"/>
        <v>17.761866666666666</v>
      </c>
      <c r="C1145" s="65">
        <f t="shared" ca="1" si="51"/>
        <v>17.761866666666666</v>
      </c>
      <c r="D1145" s="65">
        <f t="shared" ca="1" si="51"/>
        <v>17.766541666666665</v>
      </c>
      <c r="E1145" s="65">
        <f t="shared" ca="1" si="51"/>
        <v>20.009608333333329</v>
      </c>
      <c r="F1145" s="65">
        <f t="shared" ca="1" si="51"/>
        <v>20.009608333333329</v>
      </c>
      <c r="G1145" s="65">
        <f t="shared" ca="1" si="51"/>
        <v>20.015341666666668</v>
      </c>
      <c r="H1145" s="65">
        <f t="shared" ca="1" si="51"/>
        <v>37.362124999999999</v>
      </c>
      <c r="I1145" s="65">
        <f t="shared" ca="1" si="51"/>
        <v>37.367858333333338</v>
      </c>
      <c r="J1145" s="65">
        <f t="shared" ca="1" si="51"/>
        <v>37.362124999999999</v>
      </c>
      <c r="K1145" s="65">
        <f t="shared" ca="1" si="51"/>
        <v>37.367858333333338</v>
      </c>
      <c r="L1145" s="65">
        <f t="shared" ca="1" si="51"/>
        <v>20.009608333333329</v>
      </c>
      <c r="M1145" s="65">
        <f t="shared" ca="1" si="51"/>
        <v>20.015341666666668</v>
      </c>
      <c r="N1145" s="65">
        <f t="shared" ca="1" si="51"/>
        <v>20.009608333333329</v>
      </c>
      <c r="O1145" s="65">
        <f t="shared" ca="1" si="51"/>
        <v>20.015341666666668</v>
      </c>
    </row>
    <row r="1146" spans="1:15" ht="15">
      <c r="A1146" s="3">
        <v>2099</v>
      </c>
      <c r="B1146" s="65">
        <f t="shared" ca="1" si="51"/>
        <v>17.999491666666668</v>
      </c>
      <c r="C1146" s="65">
        <f t="shared" ca="1" si="51"/>
        <v>17.999491666666668</v>
      </c>
      <c r="D1146" s="65">
        <f t="shared" ca="1" si="51"/>
        <v>18.004166666666666</v>
      </c>
      <c r="E1146" s="65">
        <f t="shared" ca="1" si="51"/>
        <v>20.266633333333331</v>
      </c>
      <c r="F1146" s="65">
        <f t="shared" ca="1" si="51"/>
        <v>20.266633333333331</v>
      </c>
      <c r="G1146" s="65">
        <f t="shared" ca="1" si="51"/>
        <v>20.272366666666667</v>
      </c>
      <c r="H1146" s="65">
        <f t="shared" ca="1" si="51"/>
        <v>37.850241666666655</v>
      </c>
      <c r="I1146" s="65">
        <f t="shared" ca="1" si="51"/>
        <v>37.855991666666668</v>
      </c>
      <c r="J1146" s="65">
        <f t="shared" ca="1" si="51"/>
        <v>37.850241666666655</v>
      </c>
      <c r="K1146" s="65">
        <f t="shared" ca="1" si="51"/>
        <v>37.855991666666668</v>
      </c>
      <c r="L1146" s="65">
        <f t="shared" ca="1" si="51"/>
        <v>20.266633333333331</v>
      </c>
      <c r="M1146" s="65">
        <f t="shared" ca="1" si="51"/>
        <v>20.272366666666667</v>
      </c>
      <c r="N1146" s="65">
        <f t="shared" ca="1" si="51"/>
        <v>20.266633333333331</v>
      </c>
      <c r="O1146" s="65">
        <f t="shared" ca="1" si="51"/>
        <v>20.272366666666667</v>
      </c>
    </row>
    <row r="1147" spans="1:15" ht="15">
      <c r="A1147" s="3">
        <v>2100</v>
      </c>
      <c r="B1147" s="65">
        <f t="shared" ca="1" si="51"/>
        <v>18.237108333333328</v>
      </c>
      <c r="C1147" s="65">
        <f t="shared" ca="1" si="51"/>
        <v>18.237108333333328</v>
      </c>
      <c r="D1147" s="65">
        <f t="shared" ca="1" si="51"/>
        <v>18.241791666666668</v>
      </c>
      <c r="E1147" s="65">
        <f t="shared" ca="1" si="51"/>
        <v>20.523624999999999</v>
      </c>
      <c r="F1147" s="65">
        <f t="shared" ca="1" si="51"/>
        <v>20.523624999999999</v>
      </c>
      <c r="G1147" s="65">
        <f t="shared" ca="1" si="51"/>
        <v>20.529375000000002</v>
      </c>
      <c r="H1147" s="65">
        <f t="shared" ca="1" si="51"/>
        <v>38.338341666666672</v>
      </c>
      <c r="I1147" s="65">
        <f t="shared" ca="1" si="51"/>
        <v>38.344091666666664</v>
      </c>
      <c r="J1147" s="65">
        <f t="shared" ca="1" si="51"/>
        <v>38.338341666666672</v>
      </c>
      <c r="K1147" s="65">
        <f t="shared" ca="1" si="51"/>
        <v>38.344091666666664</v>
      </c>
      <c r="L1147" s="65">
        <f t="shared" ca="1" si="51"/>
        <v>20.523624999999999</v>
      </c>
      <c r="M1147" s="65">
        <f t="shared" ca="1" si="51"/>
        <v>20.529375000000002</v>
      </c>
      <c r="N1147" s="65">
        <f t="shared" ca="1" si="51"/>
        <v>20.523624999999999</v>
      </c>
      <c r="O1147" s="65">
        <f t="shared" ca="1" si="51"/>
        <v>20.529375000000002</v>
      </c>
    </row>
  </sheetData>
  <mergeCells count="7">
    <mergeCell ref="B13:D13"/>
    <mergeCell ref="P13:Q13"/>
    <mergeCell ref="R13:S13"/>
    <mergeCell ref="P12:S12"/>
    <mergeCell ref="E13:G13"/>
    <mergeCell ref="H13:K13"/>
    <mergeCell ref="L13:O13"/>
  </mergeCells>
  <pageMargins left="0.25" right="0.25" top="0.5" bottom="0.5" header="0.25" footer="0.25"/>
  <pageSetup paperSize="3" scale="6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10</xdr:row>
                    <xdr:rowOff>47625</xdr:rowOff>
                  </from>
                  <to>
                    <xdr:col>6</xdr:col>
                    <xdr:colOff>381000</xdr:colOff>
                    <xdr:row>11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8"/>
  <sheetViews>
    <sheetView showGridLines="0" workbookViewId="0">
      <selection activeCell="A6" sqref="A6"/>
    </sheetView>
  </sheetViews>
  <sheetFormatPr defaultColWidth="8.88671875" defaultRowHeight="15.75"/>
  <cols>
    <col min="1" max="1" width="8.88671875" style="78"/>
    <col min="2" max="2" width="15.5546875" style="78" bestFit="1" customWidth="1"/>
    <col min="3" max="3" width="9.5546875" style="78" bestFit="1" customWidth="1"/>
    <col min="4" max="16384" width="8.88671875" style="78"/>
  </cols>
  <sheetData>
    <row r="1" spans="1:3">
      <c r="A1" s="92" t="s">
        <v>65</v>
      </c>
    </row>
    <row r="2" spans="1:3">
      <c r="A2" s="92" t="s">
        <v>66</v>
      </c>
    </row>
    <row r="3" spans="1:3">
      <c r="A3" s="92" t="s">
        <v>67</v>
      </c>
    </row>
    <row r="4" spans="1:3">
      <c r="A4" s="92" t="s">
        <v>68</v>
      </c>
    </row>
    <row r="5" spans="1:3" s="86" customFormat="1">
      <c r="A5" s="92" t="s">
        <v>69</v>
      </c>
    </row>
    <row r="6" spans="1:3" s="86" customFormat="1">
      <c r="A6" s="92" t="s">
        <v>74</v>
      </c>
    </row>
    <row r="9" spans="1:3">
      <c r="B9" s="83" t="s">
        <v>64</v>
      </c>
      <c r="C9" s="83" t="s">
        <v>55</v>
      </c>
    </row>
    <row r="10" spans="1:3">
      <c r="B10" s="85" t="s">
        <v>62</v>
      </c>
      <c r="C10" s="101">
        <v>2</v>
      </c>
    </row>
    <row r="11" spans="1:3">
      <c r="B11" s="85" t="s">
        <v>61</v>
      </c>
      <c r="C11" s="103"/>
    </row>
    <row r="12" spans="1:3">
      <c r="B12" s="84" t="s">
        <v>60</v>
      </c>
      <c r="C12" s="102"/>
    </row>
    <row r="15" spans="1:3">
      <c r="B15" s="83" t="s">
        <v>56</v>
      </c>
      <c r="C15" s="83" t="s">
        <v>55</v>
      </c>
    </row>
    <row r="16" spans="1:3">
      <c r="B16" s="85" t="s">
        <v>62</v>
      </c>
      <c r="C16" s="101">
        <v>2</v>
      </c>
    </row>
    <row r="17" spans="2:3">
      <c r="B17" s="85" t="s">
        <v>61</v>
      </c>
      <c r="C17" s="103"/>
    </row>
    <row r="18" spans="2:3">
      <c r="B18" s="84" t="s">
        <v>60</v>
      </c>
      <c r="C18" s="102"/>
    </row>
    <row r="22" spans="2:3">
      <c r="B22" s="83" t="s">
        <v>63</v>
      </c>
      <c r="C22" s="83" t="s">
        <v>55</v>
      </c>
    </row>
    <row r="23" spans="2:3">
      <c r="B23" s="85" t="s">
        <v>62</v>
      </c>
      <c r="C23" s="101">
        <v>2</v>
      </c>
    </row>
    <row r="24" spans="2:3">
      <c r="B24" s="85" t="s">
        <v>61</v>
      </c>
      <c r="C24" s="103"/>
    </row>
    <row r="25" spans="2:3">
      <c r="B25" s="84" t="s">
        <v>60</v>
      </c>
      <c r="C25" s="102"/>
    </row>
    <row r="28" spans="2:3">
      <c r="B28" s="83" t="s">
        <v>59</v>
      </c>
      <c r="C28" s="83" t="s">
        <v>55</v>
      </c>
    </row>
    <row r="29" spans="2:3">
      <c r="B29" s="82" t="s">
        <v>58</v>
      </c>
      <c r="C29" s="101">
        <v>1</v>
      </c>
    </row>
    <row r="30" spans="2:3">
      <c r="B30" s="81" t="s">
        <v>57</v>
      </c>
      <c r="C30" s="102"/>
    </row>
    <row r="32" spans="2:3">
      <c r="B32" s="83" t="s">
        <v>56</v>
      </c>
      <c r="C32" s="83" t="s">
        <v>55</v>
      </c>
    </row>
    <row r="33" spans="2:5">
      <c r="B33" s="82" t="s">
        <v>54</v>
      </c>
      <c r="C33" s="101">
        <v>1</v>
      </c>
    </row>
    <row r="34" spans="2:5">
      <c r="B34" s="81" t="s">
        <v>53</v>
      </c>
      <c r="C34" s="102"/>
    </row>
    <row r="38" spans="2:5">
      <c r="C38" s="80"/>
      <c r="E38" s="79"/>
    </row>
  </sheetData>
  <mergeCells count="5">
    <mergeCell ref="C33:C34"/>
    <mergeCell ref="C23:C25"/>
    <mergeCell ref="C29:C30"/>
    <mergeCell ref="C10:C12"/>
    <mergeCell ref="C16:C18"/>
  </mergeCells>
  <pageMargins left="0.75" right="0.75" top="1" bottom="1" header="0.5" footer="0.5"/>
  <pageSetup scale="7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2016-07-29T14:04:37Z</dcterms:created>
  <dcterms:modified xsi:type="dcterms:W3CDTF">2016-07-29T14:04:51Z</dcterms:modified>
</cp:coreProperties>
</file>